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CÂY QUYẾT ĐỊNH" sheetId="1" r:id="rId4"/>
    <sheet state="visible" name="KIDS&amp;ADULTS" sheetId="2" r:id="rId5"/>
    <sheet state="visible" name="DL T12" sheetId="3" r:id="rId6"/>
    <sheet state="visible" name="TH SĐT" sheetId="4" r:id="rId7"/>
    <sheet state="visible" name="DL T11" sheetId="5" r:id="rId8"/>
    <sheet state="visible" name="DL T10" sheetId="6" r:id="rId9"/>
    <sheet state="visible" name="DL T9" sheetId="7" r:id="rId10"/>
    <sheet state="visible" name="DL T8" sheetId="8" r:id="rId11"/>
    <sheet state="visible" name="DL T7" sheetId="9" r:id="rId12"/>
    <sheet state="visible" name="DL T6" sheetId="10" r:id="rId13"/>
    <sheet state="visible" name="DL T5" sheetId="11" r:id="rId14"/>
    <sheet state="visible" name="Data chờ lớp" sheetId="12" r:id="rId15"/>
    <sheet state="visible" name="Thống kê năm 2023" sheetId="13" r:id="rId16"/>
    <sheet state="hidden" name="BÁO CÁO NĂM" sheetId="14" r:id="rId17"/>
    <sheet state="visible" name="data cần chăm sóc" sheetId="15" r:id="rId18"/>
    <sheet state="visible" name="Học Viên giới thiệu" sheetId="16" r:id="rId19"/>
    <sheet state="visible" name="DATA TỔNG HỢP" sheetId="17" r:id="rId20"/>
    <sheet state="visible" name="Trang tính17" sheetId="18" r:id="rId21"/>
    <sheet state="visible" name="Trang tính18" sheetId="19" r:id="rId22"/>
  </sheets>
  <definedNames>
    <definedName hidden="1" localSheetId="1" name="_xlnm._FilterDatabase">'KIDS&amp;ADULTS'!$N$1:$N$1179</definedName>
    <definedName hidden="1" localSheetId="11" name="_xlnm._FilterDatabase">'Data chờ lớp'!$A$1:$J$1</definedName>
    <definedName hidden="1" localSheetId="0" name="Z_8B4F3AA9_994E_4165_A053_3D23BC014B6F_.wvu.FilterData">'DATA CÂY QUYẾT ĐỊNH'!$J$106</definedName>
    <definedName hidden="1" localSheetId="1" name="Z_8B4F3AA9_994E_4165_A053_3D23BC014B6F_.wvu.FilterData">'KIDS&amp;ADULTS'!$K$106</definedName>
    <definedName hidden="1" localSheetId="0" name="Z_788F554C_76BF_4814_BCD0_7201D004C9E3_.wvu.FilterData">'DATA CÂY QUYẾT ĐỊNH'!$O$134</definedName>
    <definedName hidden="1" localSheetId="1" name="Z_788F554C_76BF_4814_BCD0_7201D004C9E3_.wvu.FilterData">'KIDS&amp;ADULTS'!$P$134</definedName>
    <definedName hidden="1" localSheetId="0" name="Z_46E27461_6572_4F70_BBCA_68ADBA430C22_.wvu.FilterData">'DATA CÂY QUYẾT ĐỊNH'!$O$134</definedName>
    <definedName hidden="1" localSheetId="1" name="Z_46E27461_6572_4F70_BBCA_68ADBA430C22_.wvu.FilterData">'KIDS&amp;ADULTS'!$P$134</definedName>
    <definedName hidden="1" localSheetId="1" name="Z_5877F429_DFCF_49D4_8CD4_A9642EB63131_.wvu.FilterData">'KIDS&amp;ADULTS'!$AC$932:$AC$935</definedName>
    <definedName hidden="1" localSheetId="16" name="Z_5EA97B06_ADCE_4576_8366_C60E49E73598_.wvu.FilterData">'DATA TỔNG HỢP'!$C$1:$C$230</definedName>
    <definedName hidden="1" localSheetId="0" name="Z_66972218_6189_4DB2_AAB0_5F8A0E4CA726_.wvu.FilterData">'DATA CÂY QUYẾT ĐỊNH'!$E$181:$F$182</definedName>
    <definedName hidden="1" localSheetId="1" name="Z_66972218_6189_4DB2_AAB0_5F8A0E4CA726_.wvu.FilterData">'KIDS&amp;ADULTS'!$F$182:$G$183</definedName>
    <definedName hidden="1" localSheetId="0" name="Z_7A6E234F_62B9_4BDA_BF89_573BC3F926A6_.wvu.FilterData">'DATA CÂY QUYẾT ĐỊNH'!$A$186:$F$218</definedName>
    <definedName hidden="1" localSheetId="1" name="Z_7A6E234F_62B9_4BDA_BF89_573BC3F926A6_.wvu.FilterData">'KIDS&amp;ADULTS'!$A$187:$G$219</definedName>
    <definedName hidden="1" localSheetId="0" name="Z_4A4CD9B8_4786_4845_90B1_25BF77E7868B_.wvu.FilterData">'DATA CÂY QUYẾT ĐỊNH'!$K$161:$K$162</definedName>
    <definedName hidden="1" localSheetId="1" name="Z_4A4CD9B8_4786_4845_90B1_25BF77E7868B_.wvu.FilterData">'KIDS&amp;ADULTS'!$L$162:$L$163</definedName>
    <definedName hidden="1" localSheetId="0" name="Z_15A83D7A_E81D_42F9_A738_1DDEC2E1AF01_.wvu.FilterData">'DATA CÂY QUYẾT ĐỊNH'!$O$134</definedName>
    <definedName hidden="1" localSheetId="1" name="Z_15A83D7A_E81D_42F9_A738_1DDEC2E1AF01_.wvu.FilterData">'KIDS&amp;ADULTS'!$P$134</definedName>
    <definedName hidden="1" localSheetId="0" name="Z_1798342C_4677_457B_8342_8A359684EE59_.wvu.FilterData">'DATA CÂY QUYẾT ĐỊNH'!$O$145</definedName>
    <definedName hidden="1" localSheetId="1" name="Z_1798342C_4677_457B_8342_8A359684EE59_.wvu.FilterData">'KIDS&amp;ADULTS'!$P$145</definedName>
    <definedName hidden="1" localSheetId="0" name="Z_AFA8AEEE_A3EE_4E5F_B075_63759EA97324_.wvu.FilterData">'DATA CÂY QUYẾT ĐỊNH'!$K$103</definedName>
    <definedName hidden="1" localSheetId="1" name="Z_AFA8AEEE_A3EE_4E5F_B075_63759EA97324_.wvu.FilterData">'KIDS&amp;ADULTS'!$L$103</definedName>
  </definedNames>
  <calcPr/>
  <customWorkbookViews>
    <customWorkbookView activeSheetId="0" maximized="1" windowHeight="0" windowWidth="0" guid="{4A4CD9B8-4786-4845-90B1-25BF77E7868B}" name="Bộ lọc 30"/>
    <customWorkbookView activeSheetId="0" maximized="1" windowHeight="0" windowWidth="0" guid="{66972218-6189-4DB2-AAB0-5F8A0E4CA726}" name="Bộ lọc 43"/>
    <customWorkbookView activeSheetId="0" maximized="1" windowHeight="0" windowWidth="0" guid="{AFA8AEEE-A3EE-4E5F-B075-63759EA97324}" name="Bộ lọc 21"/>
    <customWorkbookView activeSheetId="0" maximized="1" windowHeight="0" windowWidth="0" guid="{15A83D7A-E81D-42F9-A738-1DDEC2E1AF01}" name="Bộ lọc 11"/>
    <customWorkbookView activeSheetId="0" maximized="1" windowHeight="0" windowWidth="0" guid="{1798342C-4677-457B-8342-8A359684EE59}" name="Bộ lọc 33"/>
    <customWorkbookView activeSheetId="0" maximized="1" windowHeight="0" windowWidth="0" guid="{8B4F3AA9-994E-4165-A053-3D23BC014B6F}" name="Bộ lọc 5"/>
    <customWorkbookView activeSheetId="0" maximized="1" windowHeight="0" windowWidth="0" guid="{7A6E234F-62B9-4BDA-BF89-573BC3F926A6}" name="Bộ lọc 56"/>
    <customWorkbookView activeSheetId="0" maximized="1" windowHeight="0" windowWidth="0" guid="{46E27461-6572-4F70-BBCA-68ADBA430C22}" name="Bộ lọc 12"/>
    <customWorkbookView activeSheetId="0" maximized="1" windowHeight="0" windowWidth="0" guid="{788F554C-76BF-4814-BCD0-7201D004C9E3}" name="Bộ lọc 13"/>
    <customWorkbookView activeSheetId="0" maximized="1" windowHeight="0" windowWidth="0" guid="{5877F429-DFCF-49D4-8CD4-A9642EB63131}" name="Bộ lọc 222"/>
    <customWorkbookView activeSheetId="0" maximized="1" windowHeight="0" windowWidth="0" guid="{5EA97B06-ADCE-4576-8366-C60E49E73598}" name="Bộ lọc 1"/>
  </customWorkbookViews>
  <extLst>
    <ext uri="GoogleSheetsCustomDataVersion2">
      <go:sheetsCustomData xmlns:go="http://customooxmlschemas.google.com/" r:id="rId23" roundtripDataChecksum="KDpieAOXcTBAcnqS2V2C9CcM4zfwbZbQB2/YofDdSXc="/>
    </ext>
  </extLst>
</workbook>
</file>

<file path=xl/comments1.xml><?xml version="1.0" encoding="utf-8"?>
<comments xmlns:r="http://schemas.openxmlformats.org/officeDocument/2006/relationships" xmlns="http://schemas.openxmlformats.org/spreadsheetml/2006/main">
  <authors>
    <author/>
  </authors>
  <commentList>
    <comment authorId="0" ref="B115">
      <text>
        <t xml:space="preserve">======
ID#AAABB7XF3cQ
    (2024-01-18 07:38:41)
Mẹ của Mai Khanh - đang học VUI08</t>
      </text>
    </comment>
    <comment authorId="0" ref="P418">
      <text>
        <t xml:space="preserve">======
ID#AAABB7XF3cY
    (2024-01-18 07:38:41)
Phương</t>
      </text>
    </comment>
    <comment authorId="0" ref="B76">
      <text>
        <t xml:space="preserve">======
ID#AAABB7XF3cI
    (2024-01-18 07:38:41)
Mẹ Hải Ly giới thiệu</t>
      </text>
    </comment>
    <comment authorId="0" ref="P637">
      <text>
        <t xml:space="preserve">======
ID#AAABB7XF3cM
    (2024-01-18 07:38:41)
Phương</t>
      </text>
    </comment>
    <comment authorId="0" ref="P52">
      <text>
        <t xml:space="preserve">======
ID#AAABB7XF3cA
    (2024-01-18 07:38:41)
Loan</t>
      </text>
    </comment>
    <comment authorId="0" ref="P175">
      <text>
        <t xml:space="preserve">======
ID#AAABB7XF3bw
    (2024-01-18 07:38:41)
Phương</t>
      </text>
    </comment>
    <comment authorId="0" ref="P521">
      <text>
        <t xml:space="preserve">======
ID#AAABB7XF3bo
    (2024-01-18 07:38:41)
Phương</t>
      </text>
    </comment>
    <comment authorId="0" ref="P669">
      <text>
        <t xml:space="preserve">======
ID#AAABB7XF3bs
    (2024-01-18 07:38:41)
Phương</t>
      </text>
    </comment>
    <comment authorId="0" ref="P509">
      <text>
        <t xml:space="preserve">======
ID#AAABB7XF3bk
    (2024-01-18 07:38:41)
Phương</t>
      </text>
    </comment>
    <comment authorId="0" ref="P169">
      <text>
        <t xml:space="preserve">======
ID#AAABB7XF3bc
    (2024-01-18 07:38:41)
Phương</t>
      </text>
    </comment>
    <comment authorId="0" ref="B136">
      <text>
        <t xml:space="preserve">======
ID#AAABB7XF3bU
    (2024-01-18 07:38:41)
Mẹ Khải Minh VUI07</t>
      </text>
    </comment>
    <comment authorId="0" ref="P926">
      <text>
        <t xml:space="preserve">======
ID#AAABB7XF3bY
    (2024-01-18 07:38:41)
Phương</t>
      </text>
    </comment>
    <comment authorId="0" ref="P378">
      <text>
        <t xml:space="preserve">======
ID#AAABB7XF3bM
    (2024-01-18 07:38:41)
Phương test</t>
      </text>
    </comment>
    <comment authorId="0" ref="P304">
      <text>
        <t xml:space="preserve">======
ID#AAABB7XF3bA
    (2024-01-18 07:38:41)
Phương</t>
      </text>
    </comment>
    <comment authorId="0" ref="P498">
      <text>
        <t xml:space="preserve">======
ID#AAABB7XF3a4
    (2024-01-18 07:38:41)
Phương</t>
      </text>
    </comment>
    <comment authorId="0" ref="P69">
      <text>
        <t xml:space="preserve">======
ID#AAABB7XF3a8
    (2024-01-18 07:38:41)
Phương</t>
      </text>
    </comment>
    <comment authorId="0" ref="P103">
      <text>
        <t xml:space="preserve">======
ID#AAABB7XF3as
    (2024-01-18 07:38:41)
Phương</t>
      </text>
    </comment>
    <comment authorId="0" ref="P248">
      <text>
        <t xml:space="preserve">======
ID#AAABB7XF3aw
    (2024-01-18 07:38:41)
Phương</t>
      </text>
    </comment>
    <comment authorId="0" ref="P520">
      <text>
        <t xml:space="preserve">======
ID#AAABB7XF3ak
    (2024-01-18 07:38:41)
Phương</t>
      </text>
    </comment>
    <comment authorId="0" ref="B300">
      <text>
        <t xml:space="preserve">======
ID#AAABB7XF3ac
    (2024-01-18 07:38:41)
Bạn của Mẹ Gia Hân VUI08</t>
      </text>
    </comment>
    <comment authorId="0" ref="B164">
      <text>
        <t xml:space="preserve">======
ID#AAABB7XF3aI
    (2024-01-18 07:38:41)
FB thầy</t>
      </text>
    </comment>
    <comment authorId="0" ref="P123">
      <text>
        <t xml:space="preserve">======
ID#AAABB7XF3aM
    (2024-01-18 07:38:41)
Loan</t>
      </text>
    </comment>
    <comment authorId="0" ref="B228">
      <text>
        <t xml:space="preserve">======
ID#AAABB7XF3Z8
    (2024-01-18 07:38:41)
Mẹ Gia Hân Vui 08 giới thiệu</t>
      </text>
    </comment>
    <comment authorId="0" ref="P386">
      <text>
        <t xml:space="preserve">======
ID#AAABB7XF3Z0
    (2024-01-18 07:38:41)
Phương</t>
      </text>
    </comment>
    <comment authorId="0" ref="P168">
      <text>
        <t xml:space="preserve">======
ID#AAABB7XF3Z4
    (2024-01-18 07:38:41)
Phương</t>
      </text>
    </comment>
    <comment authorId="0" ref="B160">
      <text>
        <t xml:space="preserve">======
ID#AAABB7XF3Zw
    (2024-01-18 07:38:41)
FB thầy</t>
      </text>
    </comment>
    <comment authorId="0" ref="P61">
      <text>
        <t xml:space="preserve">======
ID#AAABB7XF3Zk
    (2024-01-18 07:38:41)
Loan</t>
      </text>
    </comment>
    <comment authorId="0" ref="P379">
      <text>
        <t xml:space="preserve">======
ID#AAABB7XF3Zs
    (2024-01-18 07:38:41)
Phương</t>
      </text>
    </comment>
    <comment authorId="0" ref="P516">
      <text>
        <t xml:space="preserve">======
ID#AAABB7XF3Zg
    (2024-01-18 07:38:41)
Phương</t>
      </text>
    </comment>
    <comment authorId="0" ref="B168">
      <text>
        <t xml:space="preserve">======
ID#AAABB7XF3ZY
    (2024-01-18 07:38:41)
Chị Phượng - King VUI04 giới thiệu</t>
      </text>
    </comment>
    <comment authorId="0" ref="P629">
      <text>
        <t xml:space="preserve">======
ID#AAABB7XF3ZM
    (2024-01-18 07:38:41)
Phương</t>
      </text>
    </comment>
    <comment authorId="0" ref="P139">
      <text>
        <t xml:space="preserve">======
ID#AAABB7XF3ZE
    (2024-01-18 07:38:41)
Phương test</t>
      </text>
    </comment>
    <comment authorId="0" ref="P633">
      <text>
        <t xml:space="preserve">======
ID#AAABB7XF3ZI
    (2024-01-18 07:38:41)
Phương</t>
      </text>
    </comment>
    <comment authorId="0" ref="B240">
      <text>
        <t xml:space="preserve">======
ID#AAABB7XF3Y8
    (2024-01-18 07:38:41)
Nhật Thi _ VUI 04_ Đã giới thiệu Quỳnh Như</t>
      </text>
    </comment>
    <comment authorId="0" ref="P937">
      <text>
        <t xml:space="preserve">======
ID#AAABB7XF3Y4
    (2024-01-18 07:38:41)
Phương</t>
      </text>
    </comment>
    <comment authorId="0" ref="B120">
      <text>
        <t xml:space="preserve">======
ID#AAABB7XF3Yk
    (2024-01-18 07:38:41)
Mẹ Khải Minh - VUI07</t>
      </text>
    </comment>
    <comment authorId="0" ref="B58">
      <text>
        <t xml:space="preserve">======
ID#AAABB7XF3Yo
    (2024-01-18 07:38:41)
Mẹ Gia Hân VUI08 giới thiệu</t>
      </text>
    </comment>
    <comment authorId="0" ref="P100">
      <text>
        <t xml:space="preserve">======
ID#AAABB7XF3Yg
    (2024-01-18 07:38:41)
Phương</t>
      </text>
    </comment>
    <comment authorId="0" ref="P435">
      <text>
        <t xml:space="preserve">======
ID#AAABB7XF3Yc
    (2024-01-18 07:38:41)
Phương</t>
      </text>
    </comment>
    <comment authorId="0" ref="P56">
      <text>
        <t xml:space="preserve">======
ID#AAABB7XF3YY
    (2024-01-18 07:38:41)
Loan</t>
      </text>
    </comment>
    <comment authorId="0" ref="B42">
      <text>
        <t xml:space="preserve">======
ID#AAABB7XF3YM
    (2024-01-18 07:38:41)
Hương Nhi K5_14_01 giới thiệu</t>
      </text>
    </comment>
    <comment authorId="0" ref="B52">
      <text>
        <t xml:space="preserve">======
ID#AAABB7XF3YI
    (2024-01-18 07:38:41)
Mẹ Hoàng Uyên - K5_14_01 giới thiệu</t>
      </text>
    </comment>
    <comment authorId="0" ref="P77">
      <text>
        <t xml:space="preserve">======
ID#AAABB7XF3YA
    (2024-01-18 07:38:41)
Phương</t>
      </text>
    </comment>
    <comment authorId="0" ref="P404">
      <text>
        <t xml:space="preserve">======
ID#AAABB7XF3YE
    (2024-01-18 07:38:41)
Phương</t>
      </text>
    </comment>
    <comment authorId="0" ref="C116">
      <text>
        <t xml:space="preserve">======
ID#AAABB7XF3X8
    (2024-01-18 07:38:41)
Thầy Tuấn</t>
      </text>
    </comment>
    <comment authorId="0" ref="P116">
      <text>
        <t xml:space="preserve">======
ID#AAABB7XF3X0
    (2024-01-18 07:38:41)
Loan</t>
      </text>
    </comment>
    <comment authorId="0" ref="B159">
      <text>
        <t xml:space="preserve">======
ID#AAABB7XF3X4
    (2024-01-18 07:38:41)
FB thầy</t>
      </text>
    </comment>
    <comment authorId="0" ref="B166">
      <text>
        <t xml:space="preserve">======
ID#AAABB7XF3Xs
    (2024-01-18 07:38:41)
tele thầy</t>
      </text>
    </comment>
    <comment authorId="0" ref="P13">
      <text>
        <t xml:space="preserve">======
ID#AAABB7XF3Xg
    (2024-01-18 07:38:41)
Phương Test</t>
      </text>
    </comment>
    <comment authorId="0" ref="P220">
      <text>
        <t xml:space="preserve">======
ID#AAABB7XF3Xk
    (2024-01-18 07:38:41)
Phương</t>
      </text>
    </comment>
    <comment authorId="0" ref="B163">
      <text>
        <t xml:space="preserve">======
ID#AAABB7XF3Xo
    (2024-01-18 07:38:41)
FB thầy</t>
      </text>
    </comment>
    <comment authorId="0" ref="B231">
      <text>
        <t xml:space="preserve">======
ID#AAABB7XF3XY
    (2024-01-18 07:38:41)
Nhắn tin vào ZALO chính KM</t>
      </text>
    </comment>
    <comment authorId="0" ref="P302">
      <text>
        <t xml:space="preserve">======
ID#AAABB7XF3Xc
    (2024-01-18 07:38:41)
Phương</t>
      </text>
    </comment>
    <comment authorId="0" ref="P38">
      <text>
        <t xml:space="preserve">======
ID#AAABB7XF3XU
    (2024-01-18 07:38:41)
Phương test</t>
      </text>
    </comment>
    <comment authorId="0" ref="P202">
      <text>
        <t xml:space="preserve">======
ID#AAABB7XF3XE
    (2024-01-18 07:38:41)
Phương</t>
      </text>
    </comment>
    <comment authorId="0" ref="B162">
      <text>
        <t xml:space="preserve">======
ID#AAABB7XF3Ww
    (2024-01-18 07:38:41)
MẸ GIA HÂN - VUI08</t>
      </text>
    </comment>
    <comment authorId="0" ref="C71">
      <text>
        <t xml:space="preserve">======
ID#AAABB7XF3Wk
    (2024-01-18 07:38:41)
Thầy Tuấn</t>
      </text>
    </comment>
    <comment authorId="0" ref="P170">
      <text>
        <t xml:space="preserve">======
ID#AAABB7XF3Ws
    (2024-01-18 07:38:41)
Phương</t>
      </text>
    </comment>
    <comment authorId="0" ref="B125">
      <text>
        <t xml:space="preserve">======
ID#AAABB7XF3Wc
    (2024-01-18 07:38:41)
Thầy Tuấn gửi</t>
      </text>
    </comment>
    <comment authorId="0" ref="S27">
      <text>
        <t xml:space="preserve">======
ID#AAABB7XF3WY
    (2024-01-18 07:38:41)
Đã gọi điện nhưng chưa nghe</t>
      </text>
    </comment>
    <comment authorId="0" ref="P156">
      <text>
        <t xml:space="preserve">======
ID#AAABB7XF3WI
    (2024-01-18 07:38:41)
PHƯƠNG</t>
      </text>
    </comment>
    <comment authorId="0" ref="P454">
      <text>
        <t xml:space="preserve">======
ID#AAABB7XF3WM
    (2024-01-18 07:38:41)
Phương</t>
      </text>
    </comment>
    <comment authorId="0" ref="P86">
      <text>
        <t xml:space="preserve">======
ID#AAABB7XF3WQ
    (2024-01-18 07:38:41)
Phương</t>
      </text>
    </comment>
    <comment authorId="0" ref="P571">
      <text>
        <t xml:space="preserve">======
ID#AAABB7XF3WA
    (2024-01-18 07:38:41)
Phương</t>
      </text>
    </comment>
    <comment authorId="0" ref="P203">
      <text>
        <t xml:space="preserve">======
ID#AAABB7XF3V8
    (2024-01-18 07:38:41)
Phương</t>
      </text>
    </comment>
    <comment authorId="0" ref="P92">
      <text>
        <t xml:space="preserve">======
ID#AAABB7XF3Vw
    (2024-01-18 07:38:41)
Loan</t>
      </text>
    </comment>
    <comment authorId="0" ref="P244">
      <text>
        <t xml:space="preserve">======
ID#AAABB7XF3V4
    (2024-01-18 07:38:41)
Phương</t>
      </text>
    </comment>
    <comment authorId="0" ref="D54">
      <text>
        <t xml:space="preserve">======
ID#AAABB7XF3Vk
    (2024-01-18 07:38:41)
Chị Loan test</t>
      </text>
    </comment>
    <comment authorId="0" ref="P149">
      <text>
        <t xml:space="preserve">======
ID#AAABB7XF3Vo
    (2024-01-18 07:38:41)
Phương test</t>
      </text>
    </comment>
    <comment authorId="0" ref="D55">
      <text>
        <t xml:space="preserve">======
ID#AAABB7XF3Vs
    (2024-01-18 07:38:41)
Phương test</t>
      </text>
    </comment>
    <comment authorId="0" ref="P6">
      <text>
        <t xml:space="preserve">======
ID#AAABB7XF3VY
    (2024-01-18 07:38:41)
Phương trả kết quả test</t>
      </text>
    </comment>
    <comment authorId="0" ref="C60">
      <text>
        <t xml:space="preserve">======
ID#AAABB7XF3VU
    (2024-01-18 07:38:41)
Data chị Mỹ gửi</t>
      </text>
    </comment>
    <comment authorId="0" ref="P576">
      <text>
        <t xml:space="preserve">======
ID#AAABB7XF3VE
    (2024-01-18 07:38:41)
Phương</t>
      </text>
    </comment>
    <comment authorId="0" ref="P206">
      <text>
        <t xml:space="preserve">======
ID#AAABB7XF3U8
    (2024-01-18 07:38:41)
Phương test</t>
      </text>
    </comment>
    <comment authorId="0" ref="P490">
      <text>
        <t xml:space="preserve">======
ID#AAABB7XF3VA
    (2024-01-18 07:38:41)
Phương</t>
      </text>
    </comment>
    <comment authorId="0" ref="P163">
      <text>
        <t xml:space="preserve">======
ID#AAABB7XF3Uw
    (2024-01-18 07:38:41)
Phương test</t>
      </text>
    </comment>
    <comment authorId="0" ref="P26">
      <text>
        <t xml:space="preserve">======
ID#AAABB7XF3Us
    (2024-01-18 07:38:41)
Phương test</t>
      </text>
    </comment>
    <comment authorId="0" ref="P200">
      <text>
        <t xml:space="preserve">======
ID#AAABEIAJ60k
    (2024-01-18 07:38:41)
Phương</t>
      </text>
    </comment>
    <comment authorId="0" ref="P494">
      <text>
        <t xml:space="preserve">======
ID#AAABEIAJ60g
    (2024-01-18 07:38:41)
Phương</t>
      </text>
    </comment>
    <comment authorId="0" ref="P495">
      <text>
        <t xml:space="preserve">======
ID#AAABEIAJ60c
    (2024-01-18 07:38:41)
Phương</t>
      </text>
    </comment>
    <comment authorId="0" ref="P388">
      <text>
        <t xml:space="preserve">======
ID#AAABEIAJ60Y
    (2024-01-18 07:38:41)
Phương</t>
      </text>
    </comment>
    <comment authorId="0" ref="C56">
      <text>
        <t xml:space="preserve">======
ID#AAABEIAJ60U
    (2024-01-18 07:38:41)
Bạn chj Mỹ</t>
      </text>
    </comment>
    <comment authorId="0" ref="P219">
      <text>
        <t xml:space="preserve">======
ID#AAABEIAJ60I
    (2024-01-18 07:38:41)
Phương</t>
      </text>
    </comment>
    <comment authorId="0" ref="C66">
      <text>
        <t xml:space="preserve">======
ID#AAABEIAJ6z4
    (2024-01-18 07:38:41)
Thầy Tuấn</t>
      </text>
    </comment>
    <comment authorId="0" ref="C50">
      <text>
        <t xml:space="preserve">======
ID#AAABEIAJ6z0
    (2024-01-18 07:38:41)
Phương Linh VUI06 giới thiệu</t>
      </text>
    </comment>
    <comment authorId="0" ref="P218">
      <text>
        <t xml:space="preserve">======
ID#AAABEIAJ6zs
    (2024-01-18 07:38:41)
Phương</t>
      </text>
    </comment>
    <comment authorId="0" ref="B165">
      <text>
        <t xml:space="preserve">======
ID#AAABEIAJ6zw
    (2024-01-18 07:38:41)
tele thầy</t>
      </text>
    </comment>
    <comment authorId="0" ref="P166">
      <text>
        <t xml:space="preserve">======
ID#AAABEIAJ6zc
    (2024-01-18 07:38:41)
Phương test</t>
      </text>
    </comment>
    <comment authorId="0" ref="P72">
      <text>
        <t xml:space="preserve">======
ID#AAABEIAJ6zE
    (2024-01-18 07:38:41)
Loan</t>
      </text>
    </comment>
    <comment authorId="0" ref="P300">
      <text>
        <t xml:space="preserve">======
ID#AAABEIAJ6zI
    (2024-01-18 07:38:41)
Phương</t>
      </text>
    </comment>
    <comment authorId="0" ref="P532">
      <text>
        <t xml:space="preserve">======
ID#AAABEIAJ6zA
    (2024-01-18 07:38:41)
Phương</t>
      </text>
    </comment>
    <comment authorId="0" ref="P678">
      <text>
        <t xml:space="preserve">======
ID#AAABEIAJ6y8
    (2024-01-18 07:38:41)
Phương</t>
      </text>
    </comment>
    <comment authorId="0" ref="P689">
      <text>
        <t xml:space="preserve">======
ID#AAABEIAJ6y0
    (2024-01-18 07:38:41)
Phương</t>
      </text>
    </comment>
    <comment authorId="0" ref="P165">
      <text>
        <t xml:space="preserve">======
ID#AAABEIAJ6yw
    (2024-01-18 07:38:41)
Loan Test</t>
      </text>
    </comment>
    <comment authorId="0" ref="B150">
      <text>
        <t xml:space="preserve">======
ID#AAABEIAJ6yk
    (2024-01-18 07:38:41)
Chị Mỹ</t>
      </text>
    </comment>
    <comment authorId="0" ref="B31">
      <text>
        <t xml:space="preserve">======
ID#AAABEIAJ6yg
    (2024-01-18 07:38:41)
Hương Nhi K5_14_01 giới thiệu</t>
      </text>
    </comment>
    <comment authorId="0" ref="P285">
      <text>
        <t xml:space="preserve">======
ID#AAABEIAJ6yc
    (2024-01-18 07:38:41)
Phương</t>
      </text>
    </comment>
    <comment authorId="0" ref="B151">
      <text>
        <t xml:space="preserve">======
ID#AAABEIAJ6yY
    (2024-01-18 07:38:41)
Chị Mỹ</t>
      </text>
    </comment>
    <comment authorId="0" ref="B170">
      <text>
        <t xml:space="preserve">======
ID#AAABEIAJ6yU
    (2024-01-18 07:38:41)
FB thầy</t>
      </text>
    </comment>
    <comment authorId="0" ref="P434">
      <text>
        <t xml:space="preserve">======
ID#AAABEIAJ6yI
    (2024-01-18 07:38:41)
Loan</t>
      </text>
    </comment>
    <comment authorId="0" ref="P389">
      <text>
        <t xml:space="preserve">======
ID#AAABEIAJ6yM
    (2024-01-18 07:38:41)
Phương</t>
      </text>
    </comment>
    <comment authorId="0" ref="P337">
      <text>
        <t xml:space="preserve">======
ID#AAABEIAJ6yE
    (2024-01-18 07:38:41)
Phương</t>
      </text>
    </comment>
    <comment authorId="0" ref="P107">
      <text>
        <t xml:space="preserve">======
ID#AAABEIAJ6yA
    (2024-01-18 07:38:41)
Loan</t>
      </text>
    </comment>
    <comment authorId="0" ref="P451">
      <text>
        <t xml:space="preserve">======
ID#AAABEIAJ6xw
    (2024-01-18 07:38:41)
Phương</t>
      </text>
    </comment>
    <comment authorId="0" ref="P457">
      <text>
        <t xml:space="preserve">======
ID#AAABEIAJ6x0
    (2024-01-18 07:38:41)
Phương</t>
      </text>
    </comment>
    <comment authorId="0" ref="P25">
      <text>
        <t xml:space="preserve">======
ID#AAABEIAJ6xo
    (2024-01-18 07:38:41)
Loan test</t>
      </text>
    </comment>
    <comment authorId="0" ref="P347">
      <text>
        <t xml:space="preserve">======
ID#AAABEIAJ6xk
    (2024-01-18 07:38:41)
Phương</t>
      </text>
    </comment>
    <comment authorId="0" ref="P66">
      <text>
        <t xml:space="preserve">======
ID#AAABEIAJ6xg
    (2024-01-18 07:38:41)
Loan</t>
      </text>
    </comment>
    <comment authorId="0" ref="P423">
      <text>
        <t xml:space="preserve">======
ID#AAABEIAJ6xY
    (2024-01-18 07:38:41)
Phương</t>
      </text>
    </comment>
    <comment authorId="0" ref="B67">
      <text>
        <t xml:space="preserve">======
ID#AAABEIAJ6xU
    (2024-01-18 07:38:41)
Form Phiếu học tiếng Anh OO đồng</t>
      </text>
    </comment>
    <comment authorId="0" ref="P679">
      <text>
        <t xml:space="preserve">======
ID#AAABEIAJ6xQ
    (2024-01-18 07:38:41)
Phương</t>
      </text>
    </comment>
    <comment authorId="0" ref="B171">
      <text>
        <t xml:space="preserve">======
ID#AAABEIAJ6xI
    (2024-01-18 07:38:41)
fb thấy</t>
      </text>
    </comment>
    <comment authorId="0" ref="P60">
      <text>
        <t xml:space="preserve">======
ID#AAABEIAJ6xM
    (2024-01-18 07:38:41)
Loan</t>
      </text>
    </comment>
    <comment authorId="0" ref="P128">
      <text>
        <t xml:space="preserve">======
ID#AAABEIAJ6xE
    (2024-01-18 07:38:41)
Phương test</t>
      </text>
    </comment>
    <comment authorId="0" ref="B119">
      <text>
        <t xml:space="preserve">======
ID#AAABEIAJ6w8
    (2024-01-18 07:38:41)
Mẹ Khải Minh - VUI07</t>
      </text>
    </comment>
    <comment authorId="0" ref="P129">
      <text>
        <t xml:space="preserve">======
ID#AAABEIAJ6ww
    (2024-01-18 07:38:41)
Phương</t>
      </text>
    </comment>
    <comment authorId="0" ref="I98">
      <text>
        <t xml:space="preserve">======
ID#AAABEIAJ6w0
    (2024-01-18 07:38:41)
SỐ MẸ: 0777483289</t>
      </text>
    </comment>
    <comment authorId="0" ref="P54">
      <text>
        <t xml:space="preserve">======
ID#AAABEIAJ6w4
    (2024-01-18 07:38:41)
Loan</t>
      </text>
    </comment>
    <comment authorId="0" ref="P126">
      <text>
        <t xml:space="preserve">======
ID#AAABEIAJ6wo
    (2024-01-18 07:38:41)
Phương</t>
      </text>
    </comment>
    <comment authorId="0" ref="B229">
      <text>
        <t xml:space="preserve">======
ID#AAABEIAJ6ws
    (2024-01-18 07:38:41)
Mẹ Gia Hân VUI 08 giới thiệu</t>
      </text>
    </comment>
    <comment authorId="0" ref="P327">
      <text>
        <t xml:space="preserve">======
ID#AAABEIAJ6wk
    (2024-01-18 07:38:41)
Phương</t>
      </text>
    </comment>
    <comment authorId="0" ref="B156">
      <text>
        <t xml:space="preserve">======
ID#AAABEIAJ6wQ
    (2024-01-18 07:38:41)
FB thầy</t>
      </text>
    </comment>
    <comment authorId="0" ref="P408">
      <text>
        <t xml:space="preserve">======
ID#AAABEIAJ6wI
    (2024-01-18 07:38:41)
Phương</t>
      </text>
    </comment>
    <comment authorId="0" ref="P602">
      <text>
        <t xml:space="preserve">======
ID#AAABEIAJ6wM
    (2024-01-18 07:38:41)
Phương</t>
      </text>
    </comment>
    <comment authorId="0" ref="P4">
      <text>
        <t xml:space="preserve">======
ID#AAABEIAJ6wE
    (2024-01-18 07:38:41)
Phương
Đã thay đổi con học lớp Vườn Ươm</t>
      </text>
    </comment>
    <comment authorId="0" ref="P64">
      <text>
        <t xml:space="preserve">======
ID#AAABEIAJ6v4
    (2024-01-18 07:38:41)
Phương</t>
      </text>
    </comment>
    <comment authorId="0" ref="P76">
      <text>
        <t xml:space="preserve">======
ID#AAABEIAJ6v0
    (2024-01-18 07:38:41)
Phương</t>
      </text>
    </comment>
    <comment authorId="0" ref="P284">
      <text>
        <t xml:space="preserve">======
ID#AAABEIAJ6vw
    (2024-01-18 07:38:41)
Phương</t>
      </text>
    </comment>
    <comment authorId="0" ref="P55">
      <text>
        <t xml:space="preserve">======
ID#AAABEIAJ6vo
    (2024-01-18 07:38:41)
Phương STARTER</t>
      </text>
    </comment>
    <comment authorId="0" ref="B57">
      <text>
        <t xml:space="preserve">======
ID#AAABEIAJ6vg
    (2024-01-18 07:38:41)
Mẹ Gia Hân VUI08 giới thiệu</t>
      </text>
    </comment>
    <comment authorId="0" ref="B124">
      <text>
        <t xml:space="preserve">======
ID#AAABEIAJ6vY
    (2024-01-18 07:38:41)
Ba Phương Linh VUI06 gt</t>
      </text>
    </comment>
    <comment authorId="0" ref="P124">
      <text>
        <t xml:space="preserve">======
ID#AAABEIAJ6vM
    (2024-01-18 07:38:41)
Phương</t>
      </text>
    </comment>
    <comment authorId="0" ref="B209">
      <text>
        <t xml:space="preserve">======
ID#AAABEIAJ6vQ
    (2024-01-18 07:38:41)
Phụ huynh 
Gia Hân đang học</t>
      </text>
    </comment>
    <comment authorId="0" ref="P99">
      <text>
        <t xml:space="preserve">======
ID#AAABEIAJ6vA
    (2024-01-18 07:38:41)
Phương</t>
      </text>
    </comment>
    <comment authorId="0" ref="B118">
      <text>
        <t xml:space="preserve">======
ID#AAABEIAJ6vE
    (2024-01-18 07:38:41)
Mẹ Phương Nga VUI06 giới thiệu</t>
      </text>
    </comment>
    <comment authorId="0" ref="P184">
      <text>
        <t xml:space="preserve">======
ID#AAABEIAJ6u8
    (2024-01-18 07:38:41)
Phương</t>
      </text>
    </comment>
  </commentList>
  <extLst>
    <ext uri="GoogleSheetsCustomDataVersion2">
      <go:sheetsCustomData xmlns:go="http://customooxmlschemas.google.com/" r:id="rId1" roundtripDataSignature="AMtx7mgTRSdc8n8Ginr0HltsI5wPuwL8Bw=="/>
    </ext>
  </extLst>
</comments>
</file>

<file path=xl/comments2.xml><?xml version="1.0" encoding="utf-8"?>
<comments xmlns:r="http://schemas.openxmlformats.org/officeDocument/2006/relationships" xmlns="http://schemas.openxmlformats.org/spreadsheetml/2006/main">
  <authors>
    <author/>
  </authors>
  <commentList>
    <comment authorId="0" ref="Y66">
      <text>
        <t xml:space="preserve">======
ID#AAABEIAJ60Q
    (2024-01-18 07:38:41)
Tạ Đức Nam đóng phần học phí còn lại
	-Kim Cúc Nguyễn</t>
      </text>
    </comment>
  </commentList>
  <extLst>
    <ext uri="GoogleSheetsCustomDataVersion2">
      <go:sheetsCustomData xmlns:go="http://customooxmlschemas.google.com/" r:id="rId1" roundtripDataSignature="AMtx7mgQpEfuf+g8z7c2cWmsl03m5kq8Kw=="/>
    </ext>
  </extLst>
</comments>
</file>

<file path=xl/comments3.xml><?xml version="1.0" encoding="utf-8"?>
<comments xmlns:r="http://schemas.openxmlformats.org/officeDocument/2006/relationships" xmlns="http://schemas.openxmlformats.org/spreadsheetml/2006/main">
  <authors>
    <author/>
  </authors>
  <commentList>
    <comment authorId="0" ref="E8">
      <text>
        <t xml:space="preserve">======
ID#AAABB7XF3Wg
    (2024-01-18 07:38:41)
Nộp nốt nửa khóa còn lại</t>
      </text>
    </comment>
    <comment authorId="0" ref="V10">
      <text>
        <t xml:space="preserve">======
ID#AAABEIAJ6y4
    (2024-01-18 07:38:41)
1 HỌC VIÊN NỘP NỬA KHÓA CÒN LẠI
	-Kim Cúc Nguyễn</t>
      </text>
    </comment>
  </commentList>
  <extLst>
    <ext uri="GoogleSheetsCustomDataVersion2">
      <go:sheetsCustomData xmlns:go="http://customooxmlschemas.google.com/" r:id="rId1" roundtripDataSignature="AMtx7mhO/GMM+Nx6fP4nsMqsFLF9lvrLbg=="/>
    </ext>
  </extLst>
</comments>
</file>

<file path=xl/comments4.xml><?xml version="1.0" encoding="utf-8"?>
<comments xmlns:r="http://schemas.openxmlformats.org/officeDocument/2006/relationships" xmlns="http://schemas.openxmlformats.org/spreadsheetml/2006/main">
  <authors>
    <author/>
  </authors>
  <commentList>
    <comment authorId="0" ref="B13">
      <text>
        <t xml:space="preserve">======
ID#AAABB7XF3Y0
    (2024-01-18 07:38:41)
Thu chốt</t>
      </text>
    </comment>
  </commentList>
  <extLst>
    <ext uri="GoogleSheetsCustomDataVersion2">
      <go:sheetsCustomData xmlns:go="http://customooxmlschemas.google.com/" r:id="rId1" roundtripDataSignature="AMtx7mhJWLwCVRYLHJQqgIIoADfcUjSxbg=="/>
    </ext>
  </extLst>
</comments>
</file>

<file path=xl/comments5.xml><?xml version="1.0" encoding="utf-8"?>
<comments xmlns:r="http://schemas.openxmlformats.org/officeDocument/2006/relationships" xmlns="http://schemas.openxmlformats.org/spreadsheetml/2006/main">
  <authors>
    <author/>
  </authors>
  <commentList>
    <comment authorId="0" ref="P2">
      <text>
        <t xml:space="preserve">======
ID#AAABEIAJ6wY
    (2024-01-18 07:38:41)
Link test của P: https://meet.google.com/gxq-yupe-mtg
Link test của L: https://meet.google.com/zex-crqu-fpj</t>
      </text>
    </comment>
  </commentList>
  <extLst>
    <ext uri="GoogleSheetsCustomDataVersion2">
      <go:sheetsCustomData xmlns:go="http://customooxmlschemas.google.com/" r:id="rId1" roundtripDataSignature="AMtx7mh6lrLX7qZl5ZePFB0Mkz8f3MdFFA=="/>
    </ext>
  </extLst>
</comments>
</file>

<file path=xl/comments6.xml><?xml version="1.0" encoding="utf-8"?>
<comments xmlns:r="http://schemas.openxmlformats.org/officeDocument/2006/relationships" xmlns="http://schemas.openxmlformats.org/spreadsheetml/2006/main">
  <authors>
    <author/>
  </authors>
  <commentList>
    <comment authorId="0" ref="B193">
      <text>
        <t xml:space="preserve">======
ID#AAABB7XF3cg
    (2024-01-18 07:38:41)
Nhật Thi _ VUI 04_ Đã giới thiệu Quỳnh Như</t>
      </text>
    </comment>
    <comment authorId="0" ref="P433">
      <text>
        <t xml:space="preserve">======
ID#AAABB7XF3cc
    (2024-01-18 07:38:41)
Phương</t>
      </text>
    </comment>
    <comment authorId="0" ref="P165">
      <text>
        <t xml:space="preserve">======
ID#AAABB7XF3cU
    (2024-01-18 07:38:41)
Phương</t>
      </text>
    </comment>
    <comment authorId="0" ref="P554">
      <text>
        <t xml:space="preserve">======
ID#AAABB7XF3b8
    (2024-01-18 07:38:41)
Phương</t>
      </text>
    </comment>
    <comment authorId="0" ref="P55">
      <text>
        <t xml:space="preserve">======
ID#AAABB7XF3cE
    (2024-01-18 07:38:41)
Phương</t>
      </text>
    </comment>
    <comment authorId="0" ref="P57">
      <text>
        <t xml:space="preserve">======
ID#AAABB7XF3b0
    (2024-01-18 07:38:41)
Loan</t>
      </text>
    </comment>
    <comment authorId="0" ref="P84">
      <text>
        <t xml:space="preserve">======
ID#AAABB7XF3b4
    (2024-01-18 07:38:41)
Phương</t>
      </text>
    </comment>
    <comment authorId="0" ref="P562">
      <text>
        <t xml:space="preserve">======
ID#AAABB7XF3bg
    (2024-01-18 07:38:41)
Phương</t>
      </text>
    </comment>
    <comment authorId="0" ref="P134">
      <text>
        <t xml:space="preserve">======
ID#AAABB7XF3bQ
    (2024-01-18 07:38:41)
Phương test</t>
      </text>
    </comment>
    <comment authorId="0" ref="P346">
      <text>
        <t xml:space="preserve">======
ID#AAABB7XF3bE
    (2024-01-18 07:38:41)
Phương</t>
      </text>
    </comment>
    <comment authorId="0" ref="P135">
      <text>
        <t xml:space="preserve">======
ID#AAABB7XF3bI
    (2024-01-18 07:38:41)
Phương test</t>
      </text>
    </comment>
    <comment authorId="0" ref="P103">
      <text>
        <t xml:space="preserve">======
ID#AAABB7XF3a0
    (2024-01-18 07:38:41)
Phương</t>
      </text>
    </comment>
    <comment authorId="0" ref="P167">
      <text>
        <t xml:space="preserve">======
ID#AAABB7XF3ao
    (2024-01-18 07:38:41)
Phương test</t>
      </text>
    </comment>
    <comment authorId="0" ref="B185">
      <text>
        <t xml:space="preserve">======
ID#AAABB7XF3ag
    (2024-01-18 07:38:41)
Nhắn tin vào ZALO chính KM</t>
      </text>
    </comment>
    <comment authorId="0" ref="B50">
      <text>
        <t xml:space="preserve">======
ID#AAABB7XF3aY
    (2024-01-18 07:38:41)
Mẹ Gia Hân VUI08 giới thiệu</t>
      </text>
    </comment>
    <comment authorId="0" ref="P137">
      <text>
        <t xml:space="preserve">======
ID#AAABB7XF3aU
    (2024-01-18 07:38:41)
Phương</t>
      </text>
    </comment>
    <comment authorId="0" ref="C46">
      <text>
        <t xml:space="preserve">======
ID#AAABB7XF3aE
    (2024-01-18 07:38:41)
Phương Linh VUI06 giới thiệu</t>
      </text>
    </comment>
    <comment authorId="0" ref="P115">
      <text>
        <t xml:space="preserve">======
ID#AAABB7XF3aA
    (2024-01-18 07:38:41)
Phương test</t>
      </text>
    </comment>
    <comment authorId="0" ref="P524">
      <text>
        <t xml:space="preserve">======
ID#AAABB7XF3Zo
    (2024-01-18 07:38:41)
Phương</t>
      </text>
    </comment>
    <comment authorId="0" ref="S24">
      <text>
        <t xml:space="preserve">======
ID#AAABB7XF3Zc
    (2024-01-18 07:38:41)
Đã gọi điện nhưng chưa nghe</t>
      </text>
    </comment>
    <comment authorId="0" ref="B48">
      <text>
        <t xml:space="preserve">======
ID#AAABB7XF3ZQ
    (2024-01-18 07:38:41)
Mẹ Hoàng Uyên - K5_14_01 giới thiệu</t>
      </text>
    </comment>
    <comment authorId="0" ref="P125">
      <text>
        <t xml:space="preserve">======
ID#AAABB7XF3ZU
    (2024-01-18 07:38:41)
Phương test</t>
      </text>
    </comment>
    <comment authorId="0" ref="P283">
      <text>
        <t xml:space="preserve">======
ID#AAABB7XF3ZA
    (2024-01-18 07:38:41)
Phương</t>
      </text>
    </comment>
    <comment authorId="0" ref="P107">
      <text>
        <t xml:space="preserve">======
ID#AAABB7XF3Yw
    (2024-01-18 07:38:41)
Phương test</t>
      </text>
    </comment>
    <comment authorId="0" ref="B99">
      <text>
        <t xml:space="preserve">======
ID#AAABB7XF3Ys
    (2024-01-18 07:38:41)
Mẹ Phương Nga VUI06 giới thiệu</t>
      </text>
    </comment>
    <comment authorId="0" ref="B38">
      <text>
        <t xml:space="preserve">======
ID#AAABB7XF3YQ
    (2024-01-18 07:38:41)
Hương Nhi K5_14_01 giới thiệu</t>
      </text>
    </comment>
    <comment authorId="0" ref="P332">
      <text>
        <t xml:space="preserve">======
ID#AAABB7XF3YU
    (2024-01-18 07:38:41)
Phương</t>
      </text>
    </comment>
    <comment authorId="0" ref="B138">
      <text>
        <t xml:space="preserve">======
ID#AAABB7XF3Xw
    (2024-01-18 07:38:41)
fb thấy</t>
      </text>
    </comment>
    <comment authorId="0" ref="P563">
      <text>
        <t xml:space="preserve">======
ID#AAABB7XF3XM
    (2024-01-18 07:38:41)
Phương</t>
      </text>
    </comment>
    <comment authorId="0" ref="P415">
      <text>
        <t xml:space="preserve">======
ID#AAABB7XF3XQ
    (2024-01-18 07:38:41)
Phương</t>
      </text>
    </comment>
    <comment authorId="0" ref="P316">
      <text>
        <t xml:space="preserve">======
ID#AAABB7XF3XI
    (2024-01-18 07:38:41)
Phương</t>
      </text>
    </comment>
    <comment authorId="0" ref="P78">
      <text>
        <t xml:space="preserve">======
ID#AAABB7XF3XA
    (2024-01-18 07:38:41)
Loan</t>
      </text>
    </comment>
    <comment authorId="0" ref="P2">
      <text>
        <t xml:space="preserve">======
ID#AAABB7XF3W8
    (2024-01-18 07:38:41)
Link test của P: https://meet.google.com/gxq-yupe-mtg
Link test của L: https://meet.google.com/zex-crqu-fpj</t>
      </text>
    </comment>
    <comment authorId="0" ref="P142">
      <text>
        <t xml:space="preserve">======
ID#AAABB7XF3W4
    (2024-01-18 07:38:41)
Phương</t>
      </text>
    </comment>
    <comment authorId="0" ref="B28">
      <text>
        <t xml:space="preserve">======
ID#AAABB7XF3W0
    (2024-01-18 07:38:41)
Hương Nhi K5_14_01 giới thiệu</t>
      </text>
    </comment>
    <comment authorId="0" ref="P53">
      <text>
        <t xml:space="preserve">======
ID#AAABB7XF3Wo
    (2024-01-18 07:38:41)
Loan</t>
      </text>
    </comment>
    <comment authorId="0" ref="B51">
      <text>
        <t xml:space="preserve">======
ID#AAABB7XF3WU
    (2024-01-18 07:38:41)
Mẹ Gia Hân VUI08 giới thiệu</t>
      </text>
    </comment>
    <comment authorId="0" ref="C57">
      <text>
        <t xml:space="preserve">======
ID#AAABB7XF3WE
    (2024-01-18 07:38:41)
Thầy Tuấn</t>
      </text>
    </comment>
    <comment authorId="0" ref="P362">
      <text>
        <t xml:space="preserve">======
ID#AAABB7XF3V0
    (2024-01-18 07:38:41)
Loan</t>
      </text>
    </comment>
    <comment authorId="0" ref="P177">
      <text>
        <t xml:space="preserve">======
ID#AAABB7XF3Vc
    (2024-01-18 07:38:41)
Phương</t>
      </text>
    </comment>
    <comment authorId="0" ref="P72">
      <text>
        <t xml:space="preserve">======
ID#AAABB7XF3Vg
    (2024-01-18 07:38:41)
Phương</t>
      </text>
    </comment>
    <comment authorId="0" ref="P22">
      <text>
        <t xml:space="preserve">======
ID#AAABB7XF3VQ
    (2024-01-18 07:38:41)
Loan test</t>
      </text>
    </comment>
    <comment authorId="0" ref="P226">
      <text>
        <t xml:space="preserve">======
ID#AAABB7XF3VI
    (2024-01-18 07:38:41)
Phương</t>
      </text>
    </comment>
    <comment authorId="0" ref="P378">
      <text>
        <t xml:space="preserve">======
ID#AAABB7XF3VM
    (2024-01-18 07:38:41)
Phương</t>
      </text>
    </comment>
    <comment authorId="0" ref="B103">
      <text>
        <t xml:space="preserve">======
ID#AAABB7XF3U4
    (2024-01-18 07:38:41)
Ba Phương Linh VUI06 gt</t>
      </text>
    </comment>
    <comment authorId="0" ref="P526">
      <text>
        <t xml:space="preserve">======
ID#AAABB7XF3U0
    (2024-01-18 07:38:41)
Phương</t>
      </text>
    </comment>
    <comment authorId="0" ref="B135">
      <text>
        <t xml:space="preserve">======
ID#AAABEIAJ60o
    (2024-01-18 07:38:41)
tele thầy</t>
      </text>
    </comment>
    <comment authorId="0" ref="P23">
      <text>
        <t xml:space="preserve">======
ID#AAABEIAJ60A
    (2024-01-18 07:38:41)
Phương test</t>
      </text>
    </comment>
    <comment authorId="0" ref="P63">
      <text>
        <t xml:space="preserve">======
ID#AAABEIAJ60E
    (2024-01-18 07:38:41)
Phương</t>
      </text>
    </comment>
    <comment authorId="0" ref="P105">
      <text>
        <t xml:space="preserve">======
ID#AAABEIAJ60M
    (2024-01-18 07:38:41)
Phương</t>
      </text>
    </comment>
    <comment authorId="0" ref="P64">
      <text>
        <t xml:space="preserve">======
ID#AAABEIAJ6z8
    (2024-01-18 07:38:41)
Phương</t>
      </text>
    </comment>
    <comment authorId="0" ref="P244">
      <text>
        <t xml:space="preserve">======
ID#AAABEIAJ6zo
    (2024-01-18 07:38:41)
Phương</t>
      </text>
    </comment>
    <comment authorId="0" ref="P473">
      <text>
        <t xml:space="preserve">======
ID#AAABEIAJ6zk
    (2024-01-18 07:38:41)
Phương</t>
      </text>
    </comment>
    <comment authorId="0" ref="P59">
      <text>
        <t xml:space="preserve">======
ID#AAABEIAJ6zg
    (2024-01-18 07:38:41)
Phương</t>
      </text>
    </comment>
    <comment authorId="0" ref="P11">
      <text>
        <t xml:space="preserve">======
ID#AAABEIAJ6zY
    (2024-01-18 07:38:41)
Phương Test</t>
      </text>
    </comment>
    <comment authorId="0" ref="P430">
      <text>
        <t xml:space="preserve">======
ID#AAABEIAJ6zM
    (2024-01-18 07:38:41)
Phương</t>
      </text>
    </comment>
    <comment authorId="0" ref="P85">
      <text>
        <t xml:space="preserve">======
ID#AAABEIAJ6zQ
    (2024-01-18 07:38:41)
Phương</t>
      </text>
    </comment>
    <comment authorId="0" ref="B58">
      <text>
        <t xml:space="preserve">======
ID#AAABEIAJ6zU
    (2024-01-18 07:38:41)
Form Phiếu học tiếng Anh OO đồng</t>
      </text>
    </comment>
    <comment authorId="0" ref="P351">
      <text>
        <t xml:space="preserve">======
ID#AAABEIAJ6yo
    (2024-01-18 07:38:41)
Phương</t>
      </text>
    </comment>
    <comment authorId="0" ref="B134">
      <text>
        <t xml:space="preserve">======
ID#AAABEIAJ6ys
    (2024-01-18 07:38:41)
FB thầy</t>
      </text>
    </comment>
    <comment authorId="0" ref="P48">
      <text>
        <t xml:space="preserve">======
ID#AAABEIAJ6yQ
    (2024-01-18 07:38:41)
Loan</t>
      </text>
    </comment>
    <comment authorId="0" ref="P237">
      <text>
        <t xml:space="preserve">======
ID#AAABEIAJ6x8
    (2024-01-18 07:38:41)
Phương</t>
      </text>
    </comment>
    <comment authorId="0" ref="P5">
      <text>
        <t xml:space="preserve">======
ID#AAABEIAJ6x4
    (2024-01-18 07:38:41)
Phương
Đã thay đổi con học lớp Vườn Ươm</t>
      </text>
    </comment>
    <comment authorId="0" ref="P163">
      <text>
        <t xml:space="preserve">======
ID#AAABEIAJ6xs
    (2024-01-18 07:38:41)
Phương</t>
      </text>
    </comment>
    <comment authorId="0" ref="P7">
      <text>
        <t xml:space="preserve">======
ID#AAABEIAJ6xc
    (2024-01-18 07:38:41)
Phương trả kết quả test</t>
      </text>
    </comment>
    <comment authorId="0" ref="B63">
      <text>
        <t xml:space="preserve">======
ID#AAABEIAJ6xA
    (2024-01-18 07:38:41)
Mẹ Hải Ly giới thiệu</t>
      </text>
    </comment>
    <comment authorId="0" ref="P88">
      <text>
        <t xml:space="preserve">======
ID#AAABEIAJ6wg
    (2024-01-18 07:38:41)
Phương</t>
      </text>
    </comment>
    <comment authorId="0" ref="B137">
      <text>
        <t xml:space="preserve">======
ID#AAABEIAJ6wc
    (2024-01-18 07:38:41)
FB thầy</t>
      </text>
    </comment>
    <comment authorId="0" ref="P375">
      <text>
        <t xml:space="preserve">======
ID#AAABEIAJ6wU
    (2024-01-18 07:38:41)
Phương</t>
      </text>
    </comment>
    <comment authorId="0" ref="P363">
      <text>
        <t xml:space="preserve">======
ID#AAABEIAJ6v8
    (2024-01-18 07:38:41)
Phương</t>
      </text>
    </comment>
    <comment authorId="0" ref="B104">
      <text>
        <t xml:space="preserve">======
ID#AAABEIAJ6wA
    (2024-01-18 07:38:41)
Thầy Tuấn gửi</t>
      </text>
    </comment>
    <comment authorId="0" ref="P336">
      <text>
        <t xml:space="preserve">======
ID#AAABEIAJ6vs
    (2024-01-18 07:38:41)
Phương</t>
      </text>
    </comment>
    <comment authorId="0" ref="B132">
      <text>
        <t xml:space="preserve">======
ID#AAABEIAJ6vk
    (2024-01-18 07:38:41)
FB thầy</t>
      </text>
    </comment>
    <comment authorId="0" ref="P108">
      <text>
        <t xml:space="preserve">======
ID#AAABEIAJ6vc
    (2024-01-18 07:38:41)
Phương</t>
      </text>
    </comment>
    <comment authorId="0" ref="B183">
      <text>
        <t xml:space="preserve">======
ID#AAABEIAJ6vU
    (2024-01-18 07:38:41)
Mẹ Gia Hân VUI 08 giới thiệu</t>
      </text>
    </comment>
    <comment authorId="0" ref="P434">
      <text>
        <t xml:space="preserve">======
ID#AAABEIAJ6vI
    (2024-01-18 07:38:41)
Phương</t>
      </text>
    </comment>
    <comment authorId="0" ref="P102">
      <text>
        <t xml:space="preserve">======
ID#AAABEIAJ6u4
    (2024-01-18 07:38:41)
Loan</t>
      </text>
    </comment>
  </commentList>
  <extLst>
    <ext uri="GoogleSheetsCustomDataVersion2">
      <go:sheetsCustomData xmlns:go="http://customooxmlschemas.google.com/" r:id="rId1" roundtripDataSignature="AMtx7mghrv1u3jjeriYqe+U654n79OdTGg=="/>
    </ext>
  </extLst>
</comments>
</file>

<file path=xl/sharedStrings.xml><?xml version="1.0" encoding="utf-8"?>
<sst xmlns="http://schemas.openxmlformats.org/spreadsheetml/2006/main" count="28069" uniqueCount="5960">
  <si>
    <t>Ngày liên hệ</t>
  </si>
  <si>
    <t>Nguồn</t>
  </si>
  <si>
    <t>Tên Phụ huynh</t>
  </si>
  <si>
    <t>Tên học sinh</t>
  </si>
  <si>
    <t>Tuổi</t>
  </si>
  <si>
    <t>Lớp</t>
  </si>
  <si>
    <t>Tỉnh/Tp</t>
  </si>
  <si>
    <t>Số điện thoại</t>
  </si>
  <si>
    <t>Facebook</t>
  </si>
  <si>
    <t>Zalo</t>
  </si>
  <si>
    <t>Thông tin ban đầu</t>
  </si>
  <si>
    <t>Giao cho nhân viên Sale</t>
  </si>
  <si>
    <t>Trạng thái</t>
  </si>
  <si>
    <t>Đã test</t>
  </si>
  <si>
    <t>KQ test đầu vào</t>
  </si>
  <si>
    <t>Đánh giá KQ quả trình độ sau test đầu vào</t>
  </si>
  <si>
    <t>Khóa học</t>
  </si>
  <si>
    <t>Lịch học</t>
  </si>
  <si>
    <t>Nhật ký chăm sóc</t>
  </si>
  <si>
    <t>Kế hoạch tiếp theo</t>
  </si>
  <si>
    <t>Ngày chăm sóc tiếp theo</t>
  </si>
  <si>
    <t>Ngày thu học phí</t>
  </si>
  <si>
    <t>Khóa học cụ thể</t>
  </si>
  <si>
    <t>Doanh thu danh nghĩa</t>
  </si>
  <si>
    <t>Chiết khấu</t>
  </si>
  <si>
    <t>Doanh thu thực thu</t>
  </si>
  <si>
    <t>Tháng Liên hệ</t>
  </si>
  <si>
    <t>Tháng đóng học phí</t>
  </si>
  <si>
    <t>Fanpage</t>
  </si>
  <si>
    <t>Hương Suri</t>
  </si>
  <si>
    <t>0905919106</t>
  </si>
  <si>
    <r>
      <rPr>
        <rFont val="Cambria"/>
        <color rgb="FF1155CC"/>
        <sz val="11.0"/>
        <u/>
      </rPr>
      <t>https://www.facebook.com/suri.huong.73</t>
    </r>
    <r>
      <rPr>
        <rFont val="Cambria"/>
        <sz val="11.0"/>
      </rPr>
      <t xml:space="preserve"> </t>
    </r>
  </si>
  <si>
    <t>Liên hệ qua Fanpage</t>
  </si>
  <si>
    <t>Thu</t>
  </si>
  <si>
    <t>Từ chối</t>
  </si>
  <si>
    <t>9/5Đã tư vấn khóa học cho bé nhưng mẹ nói không thích giáo viên Phil, tư vấn giáo viên Âu Mỹ thì mẹ không phản hồi
10/5 Gửi ưu đãi và video 
11/5 mẹ báo là tìm đc trung tâm khác có giáo viên Việt và Anh học phí rẻ hơn rồi</t>
  </si>
  <si>
    <t>Ngừng chăm sóc</t>
  </si>
  <si>
    <t>Kiều Phan</t>
  </si>
  <si>
    <t>Sỹ Quý</t>
  </si>
  <si>
    <t>0905769076</t>
  </si>
  <si>
    <t xml:space="preserve">https://www.facebook.com/thuykieu.phan.100 </t>
  </si>
  <si>
    <t>Quý - 11 tuổi
Con ngoan hiền và có độ tập trung cao khi tham gia buổi test.
Con tích cực tương tác với cô.
Tốc độ phản xạ: khá tốt
Con có thể nghe và trả lời những câu hỏi giao tiếp cơ bản về tên, tuổi, nơi ở,...
Phát âm và giọng điệu của con khá tốt.
Con nghe hiểu và trả lời tốt các câu hỏi của cô. 
Con có thể nắm được số từ 1-10 000.
Con có những vốn từ khá rộng về các chủ đề: con vật, đồ vật,...
Con vẫn cần cải thiện thêm kiến thức ngữ pháp cơ bản.
Con cần rèn luyện thêm về từ vựng và ngữ pháp với chương trình GTPX Level: Vườn Ươm</t>
  </si>
  <si>
    <t>Tốt</t>
  </si>
  <si>
    <t>9/5: đã tư vấn khóa học và mẹ đang cân nhắc giá
10/5: gửi thêm video lớp học để mẹ tham khảo và báo ưu đãi
13/5 báo lại mẹ là con có thể phù hợp vs lớp paxs, báo giá các mô hình, mẹ nói con học online không hiệu quả nên tìm lớp off cho học</t>
  </si>
  <si>
    <t>Thúy Hà Lê</t>
  </si>
  <si>
    <t xml:space="preserve">Bảo Ngọc </t>
  </si>
  <si>
    <t>0398229438</t>
  </si>
  <si>
    <t>https://business.facebook.com/latest/inbox/all?bpn_id=363372930910989&amp;asset_id=140924759399774&amp;nav_ref=pages_classic_isolated_section_inbox_diode&amp;entry_exp=sodhniwgpb&amp;mailbox_id=&amp;selected_item_id=100000335441713</t>
  </si>
  <si>
    <t>Linh</t>
  </si>
  <si>
    <t>9/5: bé chưa học tiếng Anh trên trường nhưng đã biết viết chữ nên tư vấn mẹ học razkid
10/5: Nhắn tin mẹ xem không rep, gọi điện mẹ ậm ừ cho qua xong mẹ tắt máy. 
20/6: Gọi nhưng không nghe máy
22/6: Gọi nhưng k nghe máy
5/7: KNM
10/11: gọi lại không nghe máy</t>
  </si>
  <si>
    <t>Nguyễn Hiếu</t>
  </si>
  <si>
    <t>Uyên Nhi</t>
  </si>
  <si>
    <t xml:space="preserve">Home schooling </t>
  </si>
  <si>
    <t>0905575651</t>
  </si>
  <si>
    <t>https://www.facebook.com/Hangkhuyenmaitreem</t>
  </si>
  <si>
    <t>CON mình 11t, mình muốn tư vấn về khóa học VUI</t>
  </si>
  <si>
    <t xml:space="preserve">Duyên </t>
  </si>
  <si>
    <t>Uyên Nhi - 11 tuổi
Con ngoan hiền và có độ tập trung cao khi tham gia buổi test.
Con tích cực tương tác với cô.
Tốc độ phản xạ: khá tốt
Con có thể nghe và trả lời tốt những câu hỏi giao tiếp cơ bản về tên, tuổi, nơi ở,...
Con nói lưu loát, ngữ điệu tự nhiên.
Con nghe hiểu và trả lời tốt các câu hỏi của cô. 
Con có thể nắm được số từ 1-10 000.
Con có những vốn từ khá rộng về các chủ đề: con vật, đồ vật,...
Con vẫn cần cải thiện thêm về phát âm và kiến thức ngữ pháp cơ bản.
Con cần rèn luyện thêm về phát âm và ngữ pháp với chương trình Vườn Ươm Level 1.</t>
  </si>
  <si>
    <t>08/05: HS học homeschooling, giao tiếp tôt. PH muốn cho con cải thiện phát âm 
08/05: Test lúc 18:00
09/05: PH cảm thấy học phí khóa 1:4 khá phù hợp. PH quan tâm nhất là về GV dạy lớp này có phát âm như thế nào. PH không ngại chờ lớp đông. 
09/05: Đã gửi PH lộ trình phát âm, thông tin GV và thông tin học phí khóa 1:2 và 1:4
10/05: Đã gửi PH video mẫu chương trình vườn ươm với thầy Tuấn, thầy Pim và cô Nadya
11/05: Mẹ đồng ý học lớp PAXS 40b nhưng chưa chốt được học phí
12/05: Đã gửi cam kết đào tạo 
26/05: Đã thông tin về lớp 1:8 sắp khai giảng. 
26/05: PH hẹn ngày mai chốt lại.
27/05: PH sẽ cho học với GV PH đã tự tìm được. 
14/6: gọi không nghe máy</t>
  </si>
  <si>
    <t>Phonics Fun</t>
  </si>
  <si>
    <t>Data cũ</t>
  </si>
  <si>
    <t>Thúy</t>
  </si>
  <si>
    <t>Phan Văn Tùng</t>
  </si>
  <si>
    <t>2, sắp lên lớp 3</t>
  </si>
  <si>
    <t>Đà Nẵng</t>
  </si>
  <si>
    <t>0907405075</t>
  </si>
  <si>
    <t>Phương</t>
  </si>
  <si>
    <t>Đã đóng học phí</t>
  </si>
  <si>
    <t>up1</t>
  </si>
  <si>
    <t>Chưa tốt</t>
  </si>
  <si>
    <t>Thứ 246 - tối</t>
  </si>
  <si>
    <t>9/5: Mẹ đồng ý học 1:2, đang tìm 1 bạn phù hợp
15/5: Mẹ đã chốt đăng ký theo lịch học 2-4-6, 19h. Cần chờ ghép với 1 bạn Up 1 rồi báo lại mẹ để chuyển khoản
26/5: gọi điện liên hệ lại với mẹ. Tư vấn cho mẹ khóa Phonics Fun. Mẹ đồng ý học UP 1 lớp 1 kèm 1. Mẹ muốn cho con học Phonis Fun trước rồi mới aans đăng ký lớp UP 1. Mẹ nói sang tuần mẹ chuyển khoản.
1/6: Tư vấn học ghép 1-2 nhưng con muốn học xong Phonics Fun</t>
  </si>
  <si>
    <t>Chốt</t>
  </si>
  <si>
    <t>Hotline</t>
  </si>
  <si>
    <t>Ngô Hữu Hiền</t>
  </si>
  <si>
    <t>906430668</t>
  </si>
  <si>
    <t>Anh muốn học giao tiếp phục vụ cho đi làm</t>
  </si>
  <si>
    <t>9/5: hỏi xem anh đã đi công tác về chưa để sắp xếp học thử
10/5: Đã báo ưu đãi cũng như nói thêm về chính sách đổi giáo viên của trung tâm nhưng anh nói anh làm việc cả ngày với máy tính rồi nên không muốn học onl nữa, anh kiếm lớp off học.</t>
  </si>
  <si>
    <t>TOEIC nền tảng</t>
  </si>
  <si>
    <t>Nguyễn Sơn</t>
  </si>
  <si>
    <t>0358481123</t>
  </si>
  <si>
    <t>TOEIC</t>
  </si>
  <si>
    <t>Đã tư vấn giá và khóa học, đã đưa thông tin chuyển khoản, anh hỏi có uu đãi gì không thì báo không có nên anh đang suy nghĩ.
10/9: Anh nói chiều anh chuyển khoản
11/9: báo giảm 750k và đề xuất giảm 100k mỗi bạn được giới thiệu đk học.
31/05: Sai số đt
31/05: Không nghe máy 0335532002</t>
  </si>
  <si>
    <t>GTPX 4</t>
  </si>
  <si>
    <t>Người quen</t>
  </si>
  <si>
    <t>Thanh Vân</t>
  </si>
  <si>
    <t>Anh Thư</t>
  </si>
  <si>
    <t>lớp 7</t>
  </si>
  <si>
    <t>905569559</t>
  </si>
  <si>
    <t>Loan</t>
  </si>
  <si>
    <t>up4</t>
  </si>
  <si>
    <t>GTPX</t>
  </si>
  <si>
    <t xml:space="preserve">9/5: Đã tư vấn hết khóa học và mẹ đang muốn cho học 1:1, mẹ còn hơi băn khoăn về giáo viên nhưng đã giải đáp. Mẹ nói cần hỏi ý kiến ba và bé. Hỏi lại và báo ưu đãi.
11/5: Sắp xếp học thử vs giáo viên Việt Nam vào thứ 6 cho bé. Liên hệ lại chốt lịch thì mẹ không rep
13/5: Hỏi lại mẹ có sắp xếp được buổi nào học thử nữa không, mẹ nói lại bữa trc mẹ viết tắt là tháng 6 chứ ko phải thứ 6. Gợi ý mẹ học thử luôn nếu bé thích thì đăng ký cho bé tháng 6 học. Mẹ nói để về hỏi con rồi báo lại.
15/5: giải thích lại cho mẹ về chương trình ưu đãi 35% trong tháng đầu tiên (áp dụng trong tháng 5)
16/05: Gọi điện xin lỗi mẹ và tư vấn lại cho mẹ, mẹ vẫn đồng ý cho con học vào đầu tháng 6. Sau 02/06. </t>
  </si>
  <si>
    <t>Thu Hiền</t>
  </si>
  <si>
    <t>0962504027</t>
  </si>
  <si>
    <t>Sinh viên năm 2, hồi trước có tự test được tầm 400đ</t>
  </si>
  <si>
    <t>9/5: hẹn test 9h sáng 10/5
10/5: bạn từ chối test vì không muốn học onl, bạn muốn tìm lớp học off</t>
  </si>
  <si>
    <t>Dung Lê</t>
  </si>
  <si>
    <t>Huỳnh Lê Thảo My</t>
  </si>
  <si>
    <t>936703377</t>
  </si>
  <si>
    <t>20/6: gọi nhưng không bắt máy
21/6: gọi nhưng khách hàng nói đang có học ở trung tâm rồi, mấy tháng sau rồi liên lạc
10/11: học hiện tại ở trung tâm con thích học trực tiếp , không muốn đổi</t>
  </si>
  <si>
    <t>Mạc Anh Phước</t>
  </si>
  <si>
    <t>Vịnh</t>
  </si>
  <si>
    <t>Lớp 4 chuẩn bị lên lớp 5</t>
  </si>
  <si>
    <t>0903511589</t>
  </si>
  <si>
    <t>Bé học tiếng Pháp trên trường, chưa học tiếng Anh</t>
  </si>
  <si>
    <t>Vịnh - 9 tuổi
Con ngoan hiền và có độ tập trung cao khi tham gia buổi test.
Tốc độ phản xạ: còn chậm
Con trả lời câu hỏi về tên và biết một số từ vựng cơ bản.
Tuy nhiên, con chưa nắm được bảng chữ cái và một số những câu hỏi thông tin cơ bản khác.
Con cần rèn luyện thêm về từ vựng và cấu trúc câu với chương trình GTPX Level: UP Starter</t>
  </si>
  <si>
    <t>10/5: Kết bạn và hẹn lịch test tối 8h5p
11/5: Trả kết quả test và tư vấn báo giá, mẹ nói để mẹ xem xét.
13/5 báo có bạn cùng level, đề xuất ghép 2, và báo ưu đãi
23/5: Gọi điện ghép lớp nhưng mẹ nói con đã đi học chỗ khác</t>
  </si>
  <si>
    <t>Nguyễn Thị Thủy</t>
  </si>
  <si>
    <t>Võ Minh Kiệt</t>
  </si>
  <si>
    <t>0817221581</t>
  </si>
  <si>
    <t>Ánh</t>
  </si>
  <si>
    <t>Kiệt- 8 tuổi
Con ngoan hiền và có độ tập trung cao khi tham gia buổi test.
Tốc độ phản xạ: còn chậm
Con trả lời câu hỏi về tên và biết một số từ vựng cơ bản.
Tuy nhiên, con chưa nắm được bảng chữ cái và một số những câu hỏi thông tin cơ bản khác.
Con cần rèn luyện thêm về từ vựng và cấu trúc câu với chương trình GTPX Level: UP Starter</t>
  </si>
  <si>
    <t>11/5: Bé học lớp 4, đã giưới thiệu sơ về khóa học với mẹ và xin lịch test tối lúc 20h10
12/5: Trả kết quả test cho mẹ. Tư vấn học phí, khóa học và ưu đãi cho mẹ. Gửi mẹ xem video mẫu.
13/5: Đã gửi cam kết khóa học. Phụ huynh từ chối vì không đủ điều kiện cho con theo học.
30/5: Gọi định hướng mẹ học 1:2 chia học phí mà mẹ không nghe máy
14/6: đã tìm được khóa học cho con. không nhu cầu</t>
  </si>
  <si>
    <t>Nguyễn Thị Sao Ly</t>
  </si>
  <si>
    <t>Lớp 4</t>
  </si>
  <si>
    <t>918932096</t>
  </si>
  <si>
    <r>
      <rPr>
        <rFont val="Cambria"/>
        <color rgb="FFFF0000"/>
        <sz val="11.0"/>
      </rPr>
      <t>11/5: Bé đang thi học kỳ nên chưa có thời gian test, hẹn hết tuần bé thi xong thì test</t>
    </r>
    <r>
      <rPr>
        <rFont val="Cambria"/>
        <color theme="1"/>
        <sz val="11.0"/>
      </rPr>
      <t xml:space="preserve">
13/5 hỏi lại bé thi xong chưa mẹ nói vẫn chưa, xong thì mẹ báo lại
17/05: Học sinh không hợp tác để test
14/6: goi bận đang đi ngoài đường cúp ngang. 
22/6: Bé không muốn học</t>
    </r>
  </si>
  <si>
    <t>Lê Giang Cẩm Ly</t>
  </si>
  <si>
    <t>Nguyễn Lê Nguyên</t>
  </si>
  <si>
    <t>905901507</t>
  </si>
  <si>
    <t>Chờ thi xong hẹn test, đang giữ 100k trải nghiệm, bé chưa học</t>
  </si>
  <si>
    <t>11/5: Bé đang thi nên chưa có thời gian test, chờ bé thi xong sẽ xếp lịch test
13/5 hỏi lại bé thi xong chưa
16/05: Mẹ đã đăng ký tái tục với trung tâm cũ. 
14/6: gọi thuê bao</t>
  </si>
  <si>
    <t>Kim Duyên</t>
  </si>
  <si>
    <t>Nguyễn Lê Gia Nhi</t>
  </si>
  <si>
    <t>0779424489</t>
  </si>
  <si>
    <t>Bé đang học tiếng Anh ở 1 trung tâm khác, mẹ thấy con học chưa tốt và chưa hài lòng về trung tâm kia nên muốn tìm hiểu thêm trung tâm khác</t>
  </si>
  <si>
    <t>up2</t>
  </si>
  <si>
    <t>10/5: Tư vấn khóa học và ưu đãi, gửi video mẫu của lớp học. Mẹ nói để mẹ xem xét.
11/5: Gợi ý lớp 1:4
19/5: gọi điện cho mẹ để mẹ để ghép 1 kèm 2 nhưng mẹ muốn cho con học chương trình cambridge
22/5: Gọi điện tư vấn lại cho mẹ về chương trình Everybody UP. Mẹ nói để mẹ tham khảo thêm
14/6: gọi nhunge bận kb zalo để gửi thông tin
16/6: gọi tắt máy
13/12: gọi trao đổi, gửi lại thông tin về khoá học</t>
  </si>
  <si>
    <t>Chăm sóc tiếp</t>
  </si>
  <si>
    <t>GTPX 2</t>
  </si>
  <si>
    <t>Thắng Nguyễn</t>
  </si>
  <si>
    <t>Trần Nguyễn Quỳnh Nhi</t>
  </si>
  <si>
    <t>0908432524</t>
  </si>
  <si>
    <t>9/5: Mẹ đồng ý học ghép 4, nói mẹ tìm thêm bạn để ghép lớp nhanh hơn. 
19/5: Mẹ đăng kí cho con học một kèm 2 và đang chờ xếp lớp
24/5: Đã tìm được bạn còn và con học lớp 1-2</t>
  </si>
  <si>
    <t>Tóc Ngắn</t>
  </si>
  <si>
    <t>0905097587</t>
  </si>
  <si>
    <t>Mẹ có con 5t, có hỏi về học phí, mẹ nói nếu học phí phù hợp thì đăng ký học luôn</t>
  </si>
  <si>
    <t>12/05: Không nghe máy
13/05: Không nghe máy
16/05: Không nghe máy
17/5: nhắn tin, mẹ nói đã tìm được khóa học cho con</t>
  </si>
  <si>
    <t xml:space="preserve">Lê Đình Tâm Như </t>
  </si>
  <si>
    <t>0919699676</t>
  </si>
  <si>
    <t>13/5: Gọi điện thì mẹ nói con đang học trung tâm khác, mẹ nói gửi thông tin qua email cho mẹ, nếu mẹ thấy ok thì mẹ liên hệ lại. Mẹ nói là trung tâm con đang học nổi tiếng lắm, con cũng đang học rất tốt</t>
  </si>
  <si>
    <t>Lê Trang</t>
  </si>
  <si>
    <t>Sinh viên Duy Tân</t>
  </si>
  <si>
    <t>0356940885</t>
  </si>
  <si>
    <t>https://www.facebook.com/letrangg0712</t>
  </si>
  <si>
    <t>Mục tiêu Toeic 800, sang năm thi, đã test toeic cách đây 3 tháng được 400</t>
  </si>
  <si>
    <t xml:space="preserve">13/05/2023: Không nghe máy
17/05: Đã học chỗ khác </t>
  </si>
  <si>
    <t>Thục Nhi</t>
  </si>
  <si>
    <t>Sinh viên năm 2</t>
  </si>
  <si>
    <t>https://www.facebook.com/profile.php?id=100034713750835</t>
  </si>
  <si>
    <t>Mục tiêu 700 trong 2 năm tới</t>
  </si>
  <si>
    <t>Cúc</t>
  </si>
  <si>
    <t>16/5: nhắn tin facbook riêng nhưng không phản hồi</t>
  </si>
  <si>
    <t>Phương Lý</t>
  </si>
  <si>
    <t>Lớp 5</t>
  </si>
  <si>
    <t>934870060</t>
  </si>
  <si>
    <t>bé đang học 1 tt khác, mẹ muốn tham khảo. 10/7: Hẹn test</t>
  </si>
  <si>
    <t>Đã liên lạc lần 2</t>
  </si>
  <si>
    <t>Đã test , up 2</t>
  </si>
  <si>
    <t>6/5/2023: Đã tư vấn về lộ trình, học phí.
15/05/2023: Mẹ nói là cho con nghỉ hè nên chưa muốn cho con học lại. Mẹ cũng chưa biết khi nào thì cho con học lại.</t>
  </si>
  <si>
    <t>Thu Huyền</t>
  </si>
  <si>
    <t>Quang Anh</t>
  </si>
  <si>
    <t>943044557</t>
  </si>
  <si>
    <t>Warm 1</t>
  </si>
  <si>
    <t>6/5/23
Đã tư vấn khóa học và đề nghị ghép 2, mẹ nói để mẹ tham khảo rồi mẹ báo lại</t>
  </si>
  <si>
    <t>14/6: gọi không nghe máy
15/6 gọi lại bận cúp máy ngang
16/6: KNM</t>
  </si>
  <si>
    <t>Thanh</t>
  </si>
  <si>
    <t>Khang</t>
  </si>
  <si>
    <t>Lớp 2</t>
  </si>
  <si>
    <t>0933990930</t>
  </si>
  <si>
    <t>https://www.facebook.com/cothanhthanthien</t>
  </si>
  <si>
    <r>
      <rPr>
        <rFont val="Cambria"/>
        <color theme="1"/>
        <sz val="11.0"/>
      </rPr>
      <t xml:space="preserve">Muốn hỏi về buổi học thử 1 kèm 2
</t>
    </r>
    <r>
      <rPr>
        <rFont val="Cambria"/>
        <b/>
        <color theme="1"/>
        <sz val="11.0"/>
      </rPr>
      <t>Phụ huynh là giáo viên tiếng Anh cho trẻ em</t>
    </r>
  </si>
  <si>
    <t>[KẾT QUẢ TEST BÉ KHANG]
Con ngoan, dạn dĩ, khá chủ động. 
Con tập trung khi tham gia test. 
Tốc độ phản xạ: Khá nhanh.
Con trả lời được câu hoàn chỉnh trong một số các câu. Tuy nhiên cấu trúc chưa đa dạng. 
Con phát âm còn thiếu sót và chưa đúng một số âm khó như /dg/, /th/, âm cuối.
Con nghe được câu vừa với tốc độ nhanh. 
Con nắm được số từ 1-50.
Con chưa nắm bảng chữ cái.
Có vốn từ còn hẹp về các chủ đề: thông tin cá nhân, đồ dùng, màu sắc, động vật, so sánh, thể thao.... 
Con cần rèn luyện thêm về từ vựng và cấu trúc với chương trình GTPX Level: UP 1</t>
  </si>
  <si>
    <t>15/05/2023: Đã hẹn lịch test với mẹ. Mẹ đồng ý test lúc 17h00 ngày 16/5
17/05: Gửi kết quả test cho mẹ. Đã gọi điện cho mẹ nhưng mẹ kêu bận. Đã nhắn tin tư vấn khóa học 1 kèm 2 cho mẹ.
14/6: gọi không nghe máy</t>
  </si>
  <si>
    <t xml:space="preserve">Nhi </t>
  </si>
  <si>
    <t>Lớp 3</t>
  </si>
  <si>
    <t>Nhi- 9 tuổi 
Con ngoan hiền và có độ tập trung cao khi tham gia buổi test. 
Tốc độ phản xạ: còn chậm 
Con trả lời câu hỏi về tên và biết một số từ vựng cơ bản. 
Con nắm được các số từ 1-20
Con nắm được 90% bảng chữ cái. 
Vốn từ của con còn hạn chế về các chủ đề: màu sắc, vị trí, đồ vật,...
Con cần rèn luyện thêm về từ vựng và cấu trúc câu với chương trình GTPX Level: UP 1</t>
  </si>
  <si>
    <t>Thắng</t>
  </si>
  <si>
    <t>0783862778</t>
  </si>
  <si>
    <t>Muốn học giao tiếp với GVNN</t>
  </si>
  <si>
    <t>15/05/2023: Đã gọi điện và kết bạn zalo để hẹn lịch test.
16/05/2023: Đã nhắn tin và gọi điện tư vấn về giá của các giáo viên. Anh nói giá học với giáo viên Âu Mỹ hơi cao so với những chỗ khác.Tư vấn học phát âm với người Việt. Anh nói để anh suy nghĩ và liên hệ sau.
17/05: Đã gọi 2 lần nhưng anh không nghe máy.
14/6:chưa có gia đình , không nhu cầu</t>
  </si>
  <si>
    <t>Vũ Thị Tuyến</t>
  </si>
  <si>
    <t>Nguyễn Tiến Dũng</t>
  </si>
  <si>
    <t>0978489096</t>
  </si>
  <si>
    <t>0978489096( zalo)</t>
  </si>
  <si>
    <t>Đã tham gia được 1 buổi trải nghiệm</t>
  </si>
  <si>
    <t>Tiến Dũng
Con ngoan hiền, lễ phép. 
Con khá tập trung khi tham gia test.
Tốc độ phản xạ: Khá nhanh.
Con trả lời được câu hoàn chỉnh trong đa số các câu. Cần luyện tập thêm để đa dạng hơn. 
Con cần luyện thêm về phát âm, âm cuối chưa đầy đủ, chưa nối âm được. 
Con nghe được câu ngắn với tốc độ vừa. 
Con nắm được số từ 1-100. Còn lỗi 1 vài số. 
Con nắm được 90% bảng chữ cái. Tốc độ đánh vần chưa nhanh. 
Có vốn từ còn hẹp về các chủ đề: thông tin cá nhân, đồ dùng, màu sắc, hoạt động, động vật, so sánh, thể thao.... 
Con cần rèn luyện thêm về từ vựng và cấu trúc với chương trình GTPX Level: UP 1</t>
  </si>
  <si>
    <t>9/4: Con đã tham gia buổi trải nghiệm 1 nhưng mẹ nói không thấy hiệu quả. Mẹ không nhận được thông tin của buổi học thứ 2. 
16/5: Mẹ liên hệ lại để hỏi về buổi trải nghiệm. Đã hẹn lịch học thử cho mẹ vào 20h00 tới ngày 17/5
17/5: Đã nhắc lịch học thử cho mje
18/5: Mẹ nói để mẹ gọi lại con
19/5: Gọi điện mẹ không nghe máy
20/5: Gọi điện nhưng mẹ không nghe máy
14/6: gọi bận không nghe tư vấn cúp ngang</t>
  </si>
  <si>
    <t>Hoa Đại</t>
  </si>
  <si>
    <t>Lê Văn Đại</t>
  </si>
  <si>
    <t>Hà Nội</t>
  </si>
  <si>
    <t>0968796002</t>
  </si>
  <si>
    <t>https://www.facebook.com/hoa.vo.144</t>
  </si>
  <si>
    <t>Quan tâm lớp VUI, con đã học online 1 số trung tâm rồi, muốn đặt lịch test</t>
  </si>
  <si>
    <t>25/5: Gọi lại nhưng PH không có nhu cầu</t>
  </si>
  <si>
    <t>Phan Hoàng</t>
  </si>
  <si>
    <t>Nguyễn Phan Anh</t>
  </si>
  <si>
    <t>0947705750</t>
  </si>
  <si>
    <t>Có 2 bé: 1 bé lớp 1 và 1 bé lớp 4
Vừa thi học kì xong
Có thể học Discovery
Hẹn lịch test với GV VN 8h 17/05</t>
  </si>
  <si>
    <t>17/05: Đã gọi điện cho mẹ và mẹ nói học phí 1 buổi 300k/30p là cao quá
14/6: gọi nghe máy , nhưng bận chưa kịp trao đổi gì nhiều hẹn gọi lại lúc khác. 15/6: gọi báo bé đã đăng kí khóa học tại trung tâm khác</t>
  </si>
  <si>
    <t>HV giới thiệu</t>
  </si>
  <si>
    <t>Mẹ Huyền 
Ba Tâm</t>
  </si>
  <si>
    <t>TP.HCM</t>
  </si>
  <si>
    <t>090 7509469
097 6302303</t>
  </si>
  <si>
    <t>Nguyệt- 8 tuổi 
Con ngoan hiền và có độ tập trung cao khi tham gia buổi test. 
Tốc độ phản xạ: còn chậm 
Con trả lời câu hỏi về tên và biết một số từ vựng cơ bản. 
Con nắm được các số từ 1-20
Con nắm được 90% bảng chữ cái. 
Vốn từ của con còn hạn chế về các chủ đề: màu sắc, vị trí, đồ vật,...
Con cần rèn luyện thêm về từ vựng và cấu trúc câu với chương trình GTPX Level: UP 1</t>
  </si>
  <si>
    <t>17/05: Hẹn test học viên đang xếp lịch test 
18/05: Đã gọi điện cho ba để tư vấn giá. Ba nói là gửi bảng giá cho ba qua zalo để ba bàn lại với mẹ
20/05: Băn khoăn về việc học trực tiếp do tính của con thiếu chủ động.  2 ba/mẹ đang có ý kiến khác nhau. Sẽ thống nhất và báo lại trước thứ 2. 
22/05: PH từ chối, muốn học trực tiếp. Đã giới thiệu khóa Phonics Fun
14/06: KNM</t>
  </si>
  <si>
    <t>Dương Hiền</t>
  </si>
  <si>
    <t>Email: hienduongltt1704@gmail.com</t>
  </si>
  <si>
    <t>Chuyên ngành kinh doanh thương mại
Mong muốn học offline lớp từ 4-8 học viên
Có thể học 7h30-9h30 THỨ BA &amp; NĂM
(điền form từ ngày 9/5/2023)</t>
  </si>
  <si>
    <t>Lê Hà Bảo An</t>
  </si>
  <si>
    <t>0962040068</t>
  </si>
  <si>
    <t>19/05: Đã tư vấn về khóa học, GV, chăm sóc, mẹ tham khảo học phí rồi mới xếp lịch test
22/05: Đã gửi cam kết đào tạo cho PH
22/05: PH nói nghỉ hè chính thức đã mới tham gia test. Không đồng ý xếp lịch trước mà hãy để mẹ chủ động 
25/05: nhắn tin không trả lời 
16/04: GỌI KNM
22/6: Bé đã đi học tiếng Anh rồi</t>
  </si>
  <si>
    <t>Lê Hoàng Anh Tài</t>
  </si>
  <si>
    <t>0763058366</t>
  </si>
  <si>
    <t>Sinh viên mất gốc, mục tiêu 650+
Có thể học vào tối thứ 3 5 7
Muốn học offline</t>
  </si>
  <si>
    <t>Chưa liên lạc được</t>
  </si>
  <si>
    <t>Đã tư vấn xong giá nhưng không phản hồi
Muốn học offline</t>
  </si>
  <si>
    <t>Nguyễn Thương Tín</t>
  </si>
  <si>
    <t>Sinh viên</t>
  </si>
  <si>
    <t>0899861127</t>
  </si>
  <si>
    <t>Sinh viên Bách khoa, đã thi TOEIC 530
Mục tiêu 600+ trong 1 tháng</t>
  </si>
  <si>
    <t>Đã tư vấn xong giá (3tr6/12 buổi, học kèm 1:1)
 nhưng không phản hồi</t>
  </si>
  <si>
    <t>Phi Long</t>
  </si>
  <si>
    <t>0901903905</t>
  </si>
  <si>
    <t>26/5: đã tư vấn xong giá nhưng không phản hồi
Quan tâm lớp offline</t>
  </si>
  <si>
    <t>Tuyết Hằng Phan</t>
  </si>
  <si>
    <t>0903538998</t>
  </si>
  <si>
    <t>Đã gọi nhưng chưa nghe máy
18/5: Đã tư vấn cho mẹ về khóa học, chính sách và báo giá. Mẹ nói cần suy nghĩ thêm. Chưa thấy mẹ phản hồi tin nhắn
20/05: Không nghe máy lần 1
22/05: Không nghe máy lần 2
14/06: PH ĐÃ TÌM ĐƯỢC TRUNG TÂM KHÁC</t>
  </si>
  <si>
    <t>Khai thác sau</t>
  </si>
  <si>
    <t>VUI 2</t>
  </si>
  <si>
    <t xml:space="preserve">
</t>
  </si>
  <si>
    <t>Trần Lam An</t>
  </si>
  <si>
    <t>Lĩnh Phong</t>
  </si>
  <si>
    <t>Lớp 7</t>
  </si>
  <si>
    <t>0933486489</t>
  </si>
  <si>
    <t xml:space="preserve">Mẹ mong muốn cho con học ngữ pháp và giao tiếp. Con chỉ học Tiếng Anh ở trên trường. </t>
  </si>
  <si>
    <t>Long - 12 tuổi
Con ngoan hiền và có độ tập trung cao khi tham gia buổi test.
Con tích cực tương tác với cô.
Tốc độ phản xạ: khá tốt
Con có thể nghe và trả lời những câu hỏi giao tiếp cơ bản về tên, tuổi, nơi ở,...
Phát âm và giọng điệu của con khá tốt.
Con nghe hiểu và trả lời tốt các câu hỏi của cô. 
Con có thể nắm được số từ 1-10 000.
Con có những vốn từ khá rộng về các chủ đề: con vật, đồ vật,...
Con vẫn cần cải thiện thêm kiến thức ngữ pháp cơ bản.
Con cần rèn luyện thêm về từ vựng và ngữ pháp với chương trình : VUI level 2</t>
  </si>
  <si>
    <t>VUI</t>
  </si>
  <si>
    <t>19/5: Hẹn lịch test với mẹ ngày 20/5
22/5: Đã gửi kết quả test cho mẹ và tư vấn cho mẹ lộ trình Vườn Ươm
Đã gọi điện tư vấn cho mẹ học phí và lộ trình học. Mẹ muốn cho con học thử trong tuần này thứ 3 hoặc thứ 5. Mẹ xin phép cho con học tới 19h00.
23/5: Gửi bảng học phí cho mẹ. Hẹn lịch cho con học thử.
24/5: mẹ đồng ý cho con học VUI08 và gửi thông tin lớp Phonics Fun</t>
  </si>
  <si>
    <t>Thanh Loan</t>
  </si>
  <si>
    <t>0938499667</t>
  </si>
  <si>
    <t>Con học Tiếng Anh trên trường.
Mẹ từng cho con học Tiếng Anh ở trung tâm nhưng đã lâu rồi không học lại.</t>
  </si>
  <si>
    <t>19/5: Không nghe máy lần 1
20/5: Hẹn lịch test với mẹ vào ngày 23/5: 20h05
23/5: Mẹ không tham gia test. Mẹ có nhắn là mẹ bận đột xuất.
24/5: Gọi điện để hẹn lại lịch test với mẹ nhưng mẹ không nghe máy, nhắn tin mẹ không trả lời
14/6 gọi nhưng cúp máy ngang</t>
  </si>
  <si>
    <t>Nguyên Thu</t>
  </si>
  <si>
    <r>
      <rPr>
        <rFont val="Cambria"/>
        <color theme="1"/>
        <sz val="11.0"/>
      </rPr>
      <t xml:space="preserve">hiện tại e đang theo học du lịch nhưng e đang bị mất gốc, muốn cải thiện tiếng Anh. Bạn đang cân nhắc thông tin lớp
</t>
    </r>
    <r>
      <rPr>
        <rFont val="Cambria"/>
        <b/>
        <color theme="1"/>
        <sz val="11.0"/>
      </rPr>
      <t>NHẮN TIN TRỰC TIẾP TRÊN FANPAGE</t>
    </r>
  </si>
  <si>
    <t>Tư vấn xong giá và ưu đãi với bảng giá mới nhưng không phản hồi</t>
  </si>
  <si>
    <t>Thiện Nhân</t>
  </si>
  <si>
    <t>Thiện Nhân Nguyễn</t>
  </si>
  <si>
    <t>Mất gốc, mục tiêu 600</t>
  </si>
  <si>
    <t>Không phản hồi tin nhắn</t>
  </si>
  <si>
    <t>Huyền</t>
  </si>
  <si>
    <t>090 7509469</t>
  </si>
  <si>
    <t xml:space="preserve">Học giao tiếp người lớn </t>
  </si>
  <si>
    <t>- 19/05: Chỉ cần học giao tiếp, xếp lịch test lúc 8h ngày 19/05. HV chưa xác nhận lịch test.
19/05: PH không chịu test vì bảo không biết gì về giao tiếp.  Đã tư vấn khóa giao tiếp từ mất gốc 60 buổi
14/6: gọi không nghe máy
28/6: gọi nói không nhu cầu muoons tìm lớp off</t>
  </si>
  <si>
    <t>Trang Lê</t>
  </si>
  <si>
    <t>0904529470</t>
  </si>
  <si>
    <t>20/05: Không nghe máy 
20/05: Tắt máy , Zalo không nhận tin nhắn từ người lạ 
22/05: Không nghe máy lần 3
25/5: Không nghe máy
26/5: không nghe máy
PH không có nhu cầu
14/06: PH KHÔNG NGHE MÁY</t>
  </si>
  <si>
    <t>Thuy Dan Nguyen</t>
  </si>
  <si>
    <t>0908824184</t>
  </si>
  <si>
    <t>Muốn hỏi lịch học và học theo nhóm</t>
  </si>
  <si>
    <t>20/05: PH tham khảo thêm về học phí. Cân nhắc về thời gian vì 3 buổi 100p mẹ thấy khá nhiều. PH k đồng ý xếp lịch test
23/05: PH báo khi nào cần sẽ tự liên lạc
25/5: Phụ huynh báo khi nào cần sẽ tự liên hệ
14/6; gọi nhưng từ chối nghe tư vấn</t>
  </si>
  <si>
    <t>Nguyễn Thị Thảo</t>
  </si>
  <si>
    <t>Nhã Thy</t>
  </si>
  <si>
    <t>0797420116</t>
  </si>
  <si>
    <t>Chuẩn bị vào lớp 1, Tư vấn qua Zalo
Con chưa học Tiếng Anh ở đâu cả</t>
  </si>
  <si>
    <t>20/05: Đã liên hệ với mẹ và hẹn lịch test  ngày 22/5: 19h 
(Phương test)
22/5: Phụ huynh không vào test
25/5: Chưa phản hồi tin nhắn zalo
26/5: tư vấn qua zalo xếp lịch nhưng mẹ chưa phản hồi
20h30 : Gội lại xác nhận lịch test nhưng mẹ bận
27/5: gọi nhưng mẹ không nghe 
14/06: KMN
22/6: Mẹ đã cho bé học tiếng Anh về ngữ pháp</t>
  </si>
  <si>
    <t>Lương Thắng</t>
  </si>
  <si>
    <t>393683332</t>
  </si>
  <si>
    <t>20/05: Gọi điện lần 1 không nghe
22/5: Gọi điện lần 2 thuê bao. Bố đã đồng ý kết bạn zalo. Đã nhắn tin để xin thông tin của con
23/5: Đã liên lạc được với bố qua tin nhắn. 
24/5: Bố hỏi trung tâm ở đâu. Nhắn tin bố chưa trả lời
14/6: gọi thuê bao</t>
  </si>
  <si>
    <t>Lê Vân</t>
  </si>
  <si>
    <t>Nguyên Khôi</t>
  </si>
  <si>
    <t>0937832823</t>
  </si>
  <si>
    <t>đang học hệ tiếng anh với người nước ngoài ở trung tâm,
11t, ở nhà ít nói tiếng anh</t>
  </si>
  <si>
    <t>Con ngoan hiền, lễ phép, dạn dĩ và tự tin.  
Con rất tập trung khi tham gia test.
Tốc độ phản xạ: Nhanh. Kỹ năng nghe - nói tốt.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bạn bè.... 
Con áp dụng được ngữ pháp khi nói. 
Nắm được các thì đơn và tiếp diễn. Chưa có khái niệm nhiều về thì hoàn thành,... Tuy nhiên con rất thông minh, áp dụng được ngay khi được hướng dẫn ví dụ. 
Trình độ speaking tương đương IELTS 4.5-5.0</t>
  </si>
  <si>
    <t>22/05: Không nghe máy lần 1 
23/05: Thuê bao 
25/5: Thuê bao
14/6: ZALO KHÁCH K KB ĐƯỢC, ĐANG HƯỚNG LỚP PHONICS
15/6: gọi bận hẹn 6h tối gọi lại
22/6: Không nghe máy
29/6: Gọi và chốt lịch test cho bé là 30/6 lúc 14h</t>
  </si>
  <si>
    <t>Huong Duong Nguyen</t>
  </si>
  <si>
    <t xml:space="preserve">Nguyễn Bảo Mai Phương </t>
  </si>
  <si>
    <t>0834441219</t>
  </si>
  <si>
    <t>Con ngoan, lễ phép. 
Con khá tập trung khi tham gia test. Tuy nhiên vẫn còn bị xao nhãng bỏi 1 số đồ chơi.
Tốc độ phản xạ: Nhanh. 
Con trả lời được câu hoàn chỉnh trong đa số các câu. Giao tiếp được và thể hiện được ý kiến của mình. 
Con phát âm khá hay và tự viên, âm cuối chưa đầy đủ, chưa nối âm được. 
Con nghe được câu ngắn với tốc độ vừa. 
Con nắm được số từ 1-60. 
Con chưa biết chữ nên không đọc hay đánh vần được.
Có vốn từ rộng về các chủ đề: thông tin cá nhân, đồ dùng, màu sắc, hoạt động, động vật, so sánh, thể thao.... 
Con cần rèn luyện thêm về từ vựng và cấu trúc với chương trình GTPX Level: UP 3</t>
  </si>
  <si>
    <t>22/05: PH yêu cầu gọi lại lúc 10h 
22/05: Gửi hướng dẫn test sang Zalo để mẹ báo giờ test được
23/05: Đã nhắc mẹ đồng ý kết bạn Zalo. Không đồng ý.
26/05: Gọi không nghe máy.
14/6: gọi không nghe máy.15/6: gọi hẹn lịch test vào tuần sau. 24/6 hẹn trưa gọi lại
28/6: liên lạc gửi lịch test nhưn chưa phản hồi
21/7: xếp lịch test vào thứ 7
26/7: trả kq test, nhưng mẹ ko phản hồi
27/7: gọi dt trao đổi, mẹ cho con đi học trực tiếp sẽ tốt hơn cho con, từ chối</t>
  </si>
  <si>
    <t>Na Truc</t>
  </si>
  <si>
    <t>Nguyễn Văn Đức</t>
  </si>
  <si>
    <t>0329951115</t>
  </si>
  <si>
    <t>22/05: Con nắm được kiến thức cơ bản trên trường. Muốn cải thiện kỹ năng giao tiếp.
PH hẹn kết bạn Zalo nhưng không đồng ý.  Đã nhắc mẹ đồng ý kết bạn Zalo
25/5: Tư vấn qua điện thoại mẹ muốn cân nhắc lại
30/5: Mẹ đã đăng ký TT khác</t>
  </si>
  <si>
    <t xml:space="preserve">Lê Thị Hà Đông </t>
  </si>
  <si>
    <t>Như</t>
  </si>
  <si>
    <t>0982876613</t>
  </si>
  <si>
    <t>(Phương Linh VUI06 giới thiệu )</t>
  </si>
  <si>
    <t xml:space="preserve"> </t>
  </si>
  <si>
    <t>25/5: Hẹn test lúc 10:00 ngày 27/05
27/05: Tư vấn lớp GTPX nhưng  PH nói con muốn học trực tiếp
06/06: Tư vấn khóa Phonics Fun 
15/6: gọi tư vấn, kb zalo để chia sẻ kĩ hơn. muốn cho con được học thử để xem bạn có thích học online không ạ
10/11: gọi lại chia sẻ nhưng con đã có chỗ học, con ko thích học onl</t>
  </si>
  <si>
    <t>Đan Ngọc</t>
  </si>
  <si>
    <t>Thiên Ân</t>
  </si>
  <si>
    <t>0796467582</t>
  </si>
  <si>
    <t>Bé lớp 2 lên lớp 3. PH liên hệ FP TOEIC muốn tư vấn khóa học cho bé. muốn gọi điện tư vấn sau 18h hoặc nhắn tin zalo. Chị của bé liên hệ. Bé chỉ học Tiếng Anh trên trường.</t>
  </si>
  <si>
    <t>22/05: Đã liên hệ với chị qua zalo để hẹn lịch test
22/05: Phụ huynh muốn cho con học trực tiếp. Đã gửi chương trình Phonics Fun.
14/6 : gọi báo không nhu cầu và cúp ngang</t>
  </si>
  <si>
    <t>Trúc</t>
  </si>
  <si>
    <t>Lớp 6</t>
  </si>
  <si>
    <t>090 5687047</t>
  </si>
  <si>
    <t>Con ngoan hiền, lễ phép. 
Tốc độ phản xạ: Chưa nhanh. Con không có vốn từ vựng nên chưa nghe được.
Phát âm còn phải điều chỉnh nhiều. Chưa có âm cuối và chưa nối âm.
Con chưa dùng được câu hoàn chỉnh.
Con có thể nắm được số từ 1-100. Còn nhầm lần nhiều số như: 12, 20, 50,..
Con chưa nắm được bảng chữ cái. 
Con có những vốn từ hạn chế về các chủ đề: con vật, đồ vật, thể thao...
Con cần rèn luyện thêm về từ vựng và ngữ pháp với chương trình : GTPX Level 1</t>
  </si>
  <si>
    <t>25/5: Bé Nhã uyên 11 tuổi . Học cơ bản trên trường điểm vẫn rất tốt. Nhưng mẹ mong muốn con có thể nói và nghe được . Đã nhận lịch test( 18h30-19h00 ngày 25/5)
26/5: Đã báo kết quả test
Liên hệ ph đợi ckhoan khóa GTPX 25b
31/5: gọi lại mẹ không nghe máy
6/6: Gửi lại chương trình ưu đãi qua tn, mẹ xem nhưng ko trả lời
14/6: gọi nhưng không nghe máy</t>
  </si>
  <si>
    <t>Thu Nguyen</t>
  </si>
  <si>
    <t>0989181382</t>
  </si>
  <si>
    <t>Đã tư vấn xong giá, sẽ phản hồi lại nếu sắp xếp được lịch
24/5: Từ chối vì chưa sắp xếp được lịch phù hợp. 
Khóa học 1:1 thì học phí cao so với điều kiện</t>
  </si>
  <si>
    <t>6,124,000 VND</t>
  </si>
  <si>
    <t>Chị Tuyền</t>
  </si>
  <si>
    <t>Đinh Phước Huy Hoàng</t>
  </si>
  <si>
    <t>0913062711</t>
  </si>
  <si>
    <t>Hai con từng qua trung tâm test rồi nhưng hai con bị cấn lịch nên mẹ muốn cho hai con học  lại. Hai con học Tiếng Pháp trên trường nên chưa biết Tiếng Anh nhiều</t>
  </si>
  <si>
    <t>Hoàng: Con ngoan hiền, lễ phép. 
Con khá tập trung khi tham gia test.
Tốc độ phản xạ: Khá nhanh. Kỹ năng nghe của con tốt hơn nói.
Con không trả lời được câu hoàn chỉnh trong đa số các câu. Chỉ dùng từ đơn lẻ.
Con cần luyện thêm về phát âm, âm cuối chưa đầy đủ, chưa nối âm được. 
Con nghe được câu ngắn với tốc độ vừa. 
Con nắm được số từ 1-100. 
Con nắm được 90% bảng chữ cái. Tốc độ đánh vần chưa nhanh. 
Có vốn từ còn hẹp về các chủ đề: thông tin cá nhân, đồ dùng, màu sắc, hoạt động, động vật, so sánh, thể thao.... 
Con cần rèn luyện thêm về từ vựng và cấu trúc với chương trình GTPX Level: UP 2</t>
  </si>
  <si>
    <t xml:space="preserve">23/5: Hẹn lịch test cho cả hai con ngày 23/5 lúc 9h.
Đã gửi kết quả test và tư vấn về học phí 1-2. Mẹ đang xếp lại lịch rảnh của hai con.
24/5: Mẹ chốt cho Huy Hoàng học trước. Mẹ đóng 50b. Mẹ chưa thu xếp được  thời gian cho Linh Đan nên sẽ học sau.
25/5: Đã nhắn tin để nhắc mẹ đóng học phí.
27/5: Mẹ đã đến trung tâm đóng học phí cho Huy Hoàng . </t>
  </si>
  <si>
    <t>GTPX Starter</t>
  </si>
  <si>
    <t>Đinh Phước Linh Đan</t>
  </si>
  <si>
    <t>Linh Đan  - 7  tuổi
Con ngoan hiền và có độ tập trung cao khi tham gia buổi test.
Tốc độ phản xạ: còn chậm
Con trả lời câu hỏi về tên và biết một số từ vựng cơ bản.
Tuy nhiên, con chưa nắm được bảng chữ cái và một số những câu hỏi thông tin cơ bản khác.
Con cần rèn luyện thêm về từ vựng và cấu trúc câu với chương trình GTPX Level: UP Starter</t>
  </si>
  <si>
    <t>VUI 2 + Phonics Fun</t>
  </si>
  <si>
    <t>Chị Dung</t>
  </si>
  <si>
    <t xml:space="preserve">Bảo Giang </t>
  </si>
  <si>
    <t>5 lên 6</t>
  </si>
  <si>
    <t>0983403544</t>
  </si>
  <si>
    <t>Anna: Con ngoan hiền, lễ phép, chưa tự tin trong giao tiếp lắm. 
Con rất tập trung khi tham gia test.
Tốc độ phản xạ: Khá nhanh. Cần luyện thêm về cách phát triển chủ đề khi giao tiếp và đặt câu hỏi.
Con phát âm khá nhưng chưa xuất sắc, âm cuối và con nối âm cần được luyện thêm. 
Con nắm được số đếm và số thứ tự. 
Con nắm được bảng chữ cái nhưng chưa chắc chắn. Tốc độ đánh vần chưa nhanh.
Có vốn từ khá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VUI level 2 hoặc 1</t>
  </si>
  <si>
    <t>VUI + Phonics Fun</t>
  </si>
  <si>
    <t>23/05: Xếp lịch test lúc 8h
24/05: Đã gửi kết quả test. Tư vấn học song song lộ trình 2 VUI và Phonics Fum để cải thiện ngữ pháp.
25/05: Đã gửi cam kết 
26/05: Đã gửi ưu đãi
29/05: Đã chốt mai đống học phí</t>
  </si>
  <si>
    <t>Minh Trang Ha Thi</t>
  </si>
  <si>
    <t>0901112886</t>
  </si>
  <si>
    <t>(Mẹ Gia Hân VUI08 giới thiệu)
"Mẹ nói giờ chỉ chat được thôi. Ko nói chuyện được nên e kết bạn chat với bạn thử nha"
Đã tư vấn các khóa xong, muốn tham khảo khóa 1:1 trong 45 phút. Đang học ở một trung tâm khác, đợi sắp xếp lịch để test</t>
  </si>
  <si>
    <t>24/05: Đã tư vấn các khóa xong, muốn tham khảo khóa 1:1 trong 45 phút. Đang học ở một trung tâm khác, đợi sắp xếp lịch để test.
26/05: Bé đang học 1 lớp ngữ pháp của cô trên trường với 1 lớp giao tiếp online với cô Phillipines, còn 4 tháng mới kết thúc khóa học. Đã tư vấn cho mẹ thêm khóa Phonics Fun, mẹ bảo suy nghĩ thêm vì lịch học hè của con hơi dày đặc.</t>
  </si>
  <si>
    <t>Dang Thanh Trang</t>
  </si>
  <si>
    <t>0764891842</t>
  </si>
  <si>
    <t>(Mẹ Gia Hân VUI08 giới thiệu)
Mẹ muốn cho con học trau dồi thêm ngữ pháp
Mẹ vẫn còn phân vân về việc học online</t>
  </si>
  <si>
    <t>23/5: Đã gửi bảng giá GTPX và VUI. Mẹ nói để mẹ tham khảo thêm.
Mẹ muốn cho con học trực tiếp
14/6: gọi lại không nghe máy
16/6: gọi KNM</t>
  </si>
  <si>
    <t>Sona Da</t>
  </si>
  <si>
    <t>0943.76.9293</t>
  </si>
  <si>
    <t>Gọi lại cho mẹ/bố vào tối nay 23.5  vào khung giờ từ 18h-20h.  Muốn tìm lớp tiếng Anh hè cho con. Nên tư vấn test để định hướng khóa chính trước rồi đến Phonics</t>
  </si>
  <si>
    <t>Đã liên lạc lần 3</t>
  </si>
  <si>
    <t xml:space="preserve">23/05: PH không nghe máy
24/05: Hẹn test đầu vào lúc 20:05 thứ 6 
26/05: PH gọi không nghe máy, kết bạn Zalo chưa trả lời. 
22/6: Gọi nhưng phụ huynh không nghe máy 
29/6: Không nghe máy
10/11: con học cô giáo trên trường, học nhiều môn nên ko có time để học thêm </t>
  </si>
  <si>
    <t>Cẩm Nhung Phạm</t>
  </si>
  <si>
    <t>0935445677</t>
  </si>
  <si>
    <t>Học ở trung tâm khác mẹ thấy không tiến bộ lắm nên muốn tham khảo trung tâm</t>
  </si>
  <si>
    <t>Con ngoan hiền, lễ phép, tập trung khi tham gia test. 
Tốc độ phản xạ: Khá nhanh. Con có kỹ năng nghe tốt hơn nói vì con chưa nhớ từ vựng nhiều.
Phát âm còn phải điều chỉnh. Chưa có âm cuối và chưa nối âm.
Con chưa dùng được câu hoàn chỉnh nhiều khi giao tiếp. 
Con có thể nắm được số từ 1-12. 
Con nắm được 90% bảng chữ cái. Còn một số chữ phát âm chưa chuẩn và tốc độ đánh vần chưa nhanh.
Con có những vốn từ tương đối về các chủ đề: cá nhân, hoạt động, màu sắc, con vật, đồ vật, thể thao...
Con cần rèn luyện thêm về từ vựng và ngữ pháp với chương trình : GTPX Level 2</t>
  </si>
  <si>
    <t>25/05: Xếp lịch test lúc 19:30 ngày 25/05
25/05: Đã gửi kết quả test và tư vấn. 
PH chốt học mô hình 1:1. Hẹn mai chuyển khoản. 
Lịch học tối thứ 2, 3, 5 từ 19h00-19h30.
26/05: Đã ck</t>
  </si>
  <si>
    <t>Đến trung tâm</t>
  </si>
  <si>
    <t xml:space="preserve">Minh Hồng </t>
  </si>
  <si>
    <t>Hán Hoàng Nguyên</t>
  </si>
  <si>
    <t>6 lên Lớp 7</t>
  </si>
  <si>
    <t>0906496696</t>
  </si>
  <si>
    <t>Tự đến trung tâm, chị Loan tư vấn test trình độ học thử rồi xếp lớp. 
Học sinh lớp 6 lên 7, điểm thi được 8.9, đang học Lê Lợi. Muốn cải thiện ngữ pháp và nghe 
24/05: Đã xếp lịch test lúc 15:00
25/05: Hỏi thăm PH không thấy phản hồi
26/05: Gửi chương trình 1:8 và ưu đãi tháng 5. PH không hồi đáp. Gọi điện "Thuê bao". 
26/05: Đề nghị học thử với lớp K4</t>
  </si>
  <si>
    <t>Con ngoan hiền, lễ phép, khá tự tin trong giao tiếp. Biết cách mở rộng cuộc hội thoại. 
Con rất tập trung khi tham gia test.
Tốc độ phản xạ: Khá nhanh. Cần luyện thêm về cách phát triển chủ đề khi giao tiếp và đặt câu hỏi.
Con phát âm khá tốt nhưng chưa xuất sắc, âm cuối và con nối âm cần được luyện thêm. 
Con nắm được số đếm và số thứ tự. 
Con nắm được bảng chữ cái. Tốc độ đánh vần chưa nhanh.
Có vốn từ khá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VUI level 2.</t>
  </si>
  <si>
    <t>24/05: Đã test và tư vấn khoá IELTS kèm Phonics Fun. Đã tư vấn giá. PH đang suy nghĩ thêm 
25/05: Hỏi mẹ còn thắc mắc gì mẹ k trả lời 
22/6: Đã gọi và mẹ không muốn con học online</t>
  </si>
  <si>
    <t>Thảo Phan</t>
  </si>
  <si>
    <t>lớp 1</t>
  </si>
  <si>
    <t>0905 235 035</t>
  </si>
  <si>
    <t>Tư vấn khóa Phonics Fun</t>
  </si>
  <si>
    <t>23/5: Gọi điện mẹ chưa nghe máy
25/5: Hiện tại con sẽ học được lịch tối 2, 4, 6 từ 7h - 8h30.
Hiện tại con đang học ở một trung tâm khác và đến 16-6 là hết khóa.
26/5 Thông báo lịch khai giảng cho mẹ vào ngày 19-6.
27/5: Gọi điện lại cho mẹ nhưng mẹ không nghe máy
29/5: Nhắn tin cho mẹ để nhắc mẹ về ưu đãi tháng 5. Mẹ băn khoăn về việc học online. Đã thuyết phục mẹ và mẹ nói ngày 30/5 mẹ sẽ phản hồi.
30/5: Gọi điện nhưng mẹ bận nên sẽ gọi lại sau. Mẹ chốt học phí. Mẹ đóng học phí ngày 31/5</t>
  </si>
  <si>
    <t>Tên Fb: Toka's House</t>
  </si>
  <si>
    <t>0917915280</t>
  </si>
  <si>
    <t>Tư vấn Phonics Fun</t>
  </si>
  <si>
    <t>24/5: Đã gửi chương trình và bảng giá cho mẹ
25/5: Gọi điện liên hệ với mẹ. Mẹ muốn hỏi xem cô giáo kèm của con có dạy được phát âm hay không thì có gì mẹ báo lại.
29/5: Nhắn tin nhắc mẹ về ưu đãi tháng 5 nhưng mẹ chưa trả lời
10/6: Cô giáo của con có thể dạy cả phát âm - mẹ từ chối
14/6: gọi lại từ chối nghe tư vấn</t>
  </si>
  <si>
    <t>Chi Bi</t>
  </si>
  <si>
    <t>lớp 8</t>
  </si>
  <si>
    <t>0989659565</t>
  </si>
  <si>
    <t>Khóa giao tiếp</t>
  </si>
  <si>
    <t>Đức - lớp 8
Con ngoan hiền, lễ phép.
Con có thể trả lời những câu hỏi cơ bản của cô về tên, tuổi, và sở thích.
Con rất tập trung khi tham gia test.
Tốc độ phản xạ: Khá ổn. Cần luyện thêm về cách phát triển chủ đề khi giao tiếp và đặt câu hỏi.
Con nói còn hơi nhỏ và phát âm chưa được rõ, đặc biệt là các âm cuối và con nối âm cần được luyện thêm. 
Con nắm được số đếm và số thứ tự. 
Con nắm được bảng chữ cái và đánh vần được tốt các từ.
Con có vốn từ vựng cơ bản về con vật, đồ vật tuy nhiên con vẫn cần trau dồi thêm vốn từ vựng của con.
Con chưa áp dụng được ngữ pháp khi nói. Cấu trúc câu chưa đa dạng. 
Con cần cải thiện thêm kiến thức ngữ pháp của con về các thì.
Con cần rèn luyện thêm về từ vựng và cấu trúc với chương trình GTPX Level 3</t>
  </si>
  <si>
    <t>25/5: Không nghe máy lần 1 
29/05: Hẹn lịch test với mẹ lúc 9h ngày 30/5 ( P test)
30/5: Đã test cho con và gửi kết quả test cho mẹ
Gọi điện nhưng mẹ không nghe máy
30/5: Gọi điện lại nhưng mẹ từ chối.
14/6: gọi lại tư vấn nhưng từ chối</t>
  </si>
  <si>
    <t>Nguyễn Ngọc Thanh Trang</t>
  </si>
  <si>
    <t>Trương Nguyễn Thanh Nhiên</t>
  </si>
  <si>
    <t>Mẫu giáo</t>
  </si>
  <si>
    <t>0905286933</t>
  </si>
  <si>
    <t>ĐIỀN FORM Phonics Fun</t>
  </si>
  <si>
    <t>25/5: mẹ tưởng  lớp học trực tiếp. Con còn nhỏ nên mẹ chưa muốn cho con học online
14/6: gọi lại nhưng từ chối cho con học online vì còn nhỏ</t>
  </si>
  <si>
    <t>Anh Tỵ</t>
  </si>
  <si>
    <t xml:space="preserve">Hồ Thị Tú Anh - 8 lên 9 </t>
  </si>
  <si>
    <t>Lớp 9</t>
  </si>
  <si>
    <t>0932441118</t>
  </si>
  <si>
    <t>x</t>
  </si>
  <si>
    <t xml:space="preserve">Con ngoan hiền, lễ phép, chưa dạn dĩ trong giao tiếp. 
Tốc độ phản xạ: Chưa nhanh. Con không có vốn từ vựng nên chưa nghe được nhiều. Và chưa thể phát triển ý khi giao tiếp. 
Phát âm còn phải điều chỉnh nhiều. Chưa có âm cuối và chưa nối âm.
Con chưa dùng được câu hoàn chỉnh.
Con có thể nắm được số từ 1-10000. Còn nhầm lần nhiều số như: 12, 20, 50,..
Con chưa nắm được bảng chữ cái. Chưa đánh vần tên được.
Con có những vốn từ hạn chế về các chủ đề: con vật, đồ vật, thể thao...
Con chưa áp dụng được ngữ pháp vào giao tiếp. 
Con có khái niệm cơ bản về thì nhưng đưa vào thực hành thì con mới chỉ dùng được Hiện tại đơn, Quá khứ đơn và Tương lai đơn. Các thì còn lại chưa chia đúng (Ví dụ: Hiện tại tiếp diễn thì thiếu to be, hiện tại hoàn thành, quá khứ tiếp diễn thì con chưa có khái niệm)
Con chưa biết về câu bị động. 
Con nên học kèm 1 từ phát âm =&gt; ngữ pháp =&gt; 4 kỹ năng.
01/06: Tư vấn gói 1:2 với bạn lớp 8 cùng chương trình. Ba vẫn đang duy nghĩ thêm. </t>
  </si>
  <si>
    <t>24/05: PH đồng ý kết bạn zalo và cho sđt 
25/05: Đã xếp lịch test lúc 10h thứ 6. PH muốn cho con học sát chương trình trên trường để ôn tập thi cấp 3. 
26/05: Đã test và trả kết quả 
30/05: Bạn lớp 9 từ chối. Bạn lớp 6 sẽ đăng ký học vườn ươm.</t>
  </si>
  <si>
    <t>Hồ Thị Tường Vân</t>
  </si>
  <si>
    <t>Trần Hồ Sỹ Nguyên</t>
  </si>
  <si>
    <t>0914111910</t>
  </si>
  <si>
    <t>Htuongvan@gmail.com</t>
  </si>
  <si>
    <t>Điền Form Phonics Fun</t>
  </si>
  <si>
    <t>25/05: Thầy Tuấn đã tư vấn duy trì lớp trên VUS trực tiếp.</t>
  </si>
  <si>
    <t>Trần Thị An</t>
  </si>
  <si>
    <t>Phạm Trần Thanh Trúc</t>
  </si>
  <si>
    <t>0963809480</t>
  </si>
  <si>
    <t>Tư vấn khóa 1 KÈM 1 VỚI GVNN (GTPX)</t>
  </si>
  <si>
    <t xml:space="preserve">25/05: Học phí không phù hợp với điều kiện. Chỉ mới tư vấn lớp 1-1
30/5: Gọi lại không nghe máy
31/5: Mẹ đang bận
2/6: Mẹ nhắn tin lại. Hẹn lịch test (2/6 -16h30)
3/6: Đã gửi kết quả test và tư vấn khóa học. Mẹ muốn đăng kí học phonics cho con. Mẹ nói mẹ không đủ điều kiện đăng kí GTPX. Mẹ nuốn chuyển khoản qua thẻ tín dụng nhưng hiện tại trung tâm chưa hỗ trợ. </t>
  </si>
  <si>
    <t>Thao Tieu</t>
  </si>
  <si>
    <t>Cát Tường</t>
  </si>
  <si>
    <t>0898084698</t>
  </si>
  <si>
    <t>Khóa GTPX (quan tâm về giá 88k)</t>
  </si>
  <si>
    <t>Con ngoan hiền, lễ phép. Con tập trung khi tham gia buổi test.
Tốc độ phản xạ: còn chậm. 
Con có thể nghe và trả lời những câu hỏi giao tiếp cơ bản về tên, tuổi, nơi ở,...
Phát âm của con chưa được rõ. Con cần điều chỉnh thêm phát âm, đặc biệt là các âm cuối và nối âm.
Con chưa dùng được câu hoàn chỉnh nhiều. Cấu trúc các câu còn hạn chế.
Con có thể nắm được số từ 1-100.
Con thuộc 90% bảng chữ cái. Con đánh vần còn chưa được nhanh.
Vốn từ vựng của con còn hạn chế. Con chưa biết cách mở rộng câu khi nói.
Con chưa sử dụng được ngữ pháp khi nói.
Con cần rèn luyện thêm về từ vựng và ngữ pháp với chương trình : GTPX Level 2</t>
  </si>
  <si>
    <t xml:space="preserve">25/05: Đã nhắn tin zalo vì PH bận đi làm không tiện nghe máy
30/5: Đã xếp lịch test ngày 31/5 (20h)
1/6: Đã trả kết quả test cho mẹ. Mẹ nói con đang học ở trung tâm khác kèm 1-1 nhưng con còn hơi nhát nên mẹ muốn cho con học thêm ở tt khác. Tư vấn kèm 1-2 mẹ sợ hp cả bên 2 trung tâm mẹ không đáp ứng được. Mẹ quan tâm đến khóa 1-4. Đã gửi bảng giá và trả mẹ phản hồi.
2/6: Mẹ muốn cho con học ở bên trung tâm kia cho tự tin hơn. Mẹ sợ một lúc học 2 nơi con sẽ sợ học -&gt; Từ chối
14/6: gọi lại nghe tư vấn và hẹn lại lịch test cho con vào 15/6
16/6: gọi mẹ từ chối </t>
  </si>
  <si>
    <t>Thùy Dung</t>
  </si>
  <si>
    <t>Bảo Trâm</t>
  </si>
  <si>
    <t>0772448582</t>
  </si>
  <si>
    <t>Con đã tham gia test ở trung tâm vào tháng 2 nhưng không có thời gian học cho con học. Mẹ chủ động liên hệ lại để cho con học. Mẹ xem mấy clip lồng tiếng của học viên bên trung tâm vui quá nên mẹ muốn cho con theo học.</t>
  </si>
  <si>
    <t>VUI LEVEL 2</t>
  </si>
  <si>
    <t>25/5: Đã gọi điện tư vấn VUI và Phonics Fun cho mẹ. Mẹ nói để mẹ xem học phí để cân đối cho con học
29/5: Nhắn tin lại cho mẹ về ưu đãi tháng 5 để mẹ gửi học phí.
30/5: Mẹ chốt hai khóa cho con: VUI + Phonics Fun. Mẹ nói mai mẹ chuyển khoản.</t>
  </si>
  <si>
    <t>GTPX người lớn</t>
  </si>
  <si>
    <t xml:space="preserve">Chị Hòa </t>
  </si>
  <si>
    <t>Nguyễn Thành Đoàn</t>
  </si>
  <si>
    <t>Năm nay lên lớp 10</t>
  </si>
  <si>
    <t>0974999473</t>
  </si>
  <si>
    <t>Khả năng tiếng Anh tốt</t>
  </si>
  <si>
    <t>Con ngoan hiền, lễ phép và tập trung cao khi tham gia buổi test 
Con có thể nghe hiểu tốt và trả lời tốt các câu hỏi của cô về thông tin cá nhân.
Con viết cách mở rộng câu trả lời của con và cung cấp được nhiều thông tin khi trả lời các câu hỏi của cô.
Khả năng phản xạ: Khá nhanh 
Con có vốn từ khá rộng về các chủ đề như sức khỏe, môi trường, công nghệ, sở thích,.. và con có thể dùng được các từ vựng với độ khó khá cao.
Con nắm bắt được tốt các câu hỏi của cô và phát triển ý tưởng khá tốt.
Con có nhiều ý tưởng khi cô hỏi các chủ đề liên quan đến các vấn đề xã hội và có thể đưa ra được tốt các quan điểm của mình.
Khả năng nghe hiểu của con tốt. Con có thể nắm bắt được tốt thông tin chỉ trong một lần nghe và có thể trả lời chính xác của cô.
Tuy nhiên, con cần cải thiện thêm nữa về cách con phát âm. Con có thể phát âm đúng các từ nhưng chưa được hay. 
Đặc biệt là con cần chú ý thêm tốc độ nói của con. Con nói hơi nhanh và chưa có nhiều ngữ điệu khi nói.</t>
  </si>
  <si>
    <t>25/05: Không nghe máy lần 1
26/05: PH hẹn sáng thứ 7 qua trực tiếp để tư vấn. Người quen của thầy.
01/06: Không nghe máy
08/06: PH đến trực tiếp trung tâm để tham khảo. Hẹn tháng 7 mới bắt đầu cho con học. Vì muốn con nghỉ ngơi sau thi. 
28/6: Chốt lịch test 30/6 lúc 16h chiều
30/6: Mẹ chốt khoá GTPX người lớn 1-1 học 50 buổi</t>
  </si>
  <si>
    <t>GTPX 3</t>
  </si>
  <si>
    <t>Quyen Nguyen</t>
  </si>
  <si>
    <t>Nguyễn Việt Hưng (Jack)</t>
  </si>
  <si>
    <t>0905695955</t>
  </si>
  <si>
    <t>Mất gốc</t>
  </si>
  <si>
    <t>Yến</t>
  </si>
  <si>
    <t>Con ngoan hiền, lễ phép. Không mở được camera nên chưa đánh giá được về độ tập trung khi tham gia buổi test.
Tốc độ phản xạ: Khá nhanh. Con có kỹ năng nghe tốt hơn nói.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1-100.
Con thuộc 90% bảng chữ cái. Đánh vần còn nhầm lẫn.
Con có những vốn từ chưa nhiều về các chủ đề: con vật, đồ vật, thể thao...
Con chưa sử dụng được ngữ pháp khi nói.
Con cần rèn luyện thêm về từ vựng và ngữ pháp với chương trình : GTPX Level 3</t>
  </si>
  <si>
    <t>25/5: Đã liên hệ zalo và chờ ph đồng ý kết bạn
26/5: Gọi phụ huynh tắt máy
27/5: Gọi phụ huynh tắt máy
29/5: Nhắc ph đóng học phí
30/5: gọi phụ huynh đóng học phí, phụ huynh bận 
31/5: gọi mẹ không nghe máy, ntin không phản hồi
1/6: Gọi điện nhắc mẹ đóng hp. Mẹ nói tối mẹ về mẹ sẽ chuyển cho con.
2/6: Gọi điện mẹ không nghe máy
3/6: Gọi điện mẹ không nghe máy</t>
  </si>
  <si>
    <t>Duong Xuan Lieu</t>
  </si>
  <si>
    <t>0935895386</t>
  </si>
  <si>
    <t>Nhắn tin Zalo
Quan tâm khóa Phonics Fun</t>
  </si>
  <si>
    <t>Trang Vu Thuy</t>
  </si>
  <si>
    <t>6 tuổi</t>
  </si>
  <si>
    <t>0858768613</t>
  </si>
  <si>
    <t>Chỉ học qua app Babilla
Đã hẹn lịch test 8h tối 25/5 cho Phương</t>
  </si>
  <si>
    <t>25/5: gọi điện test nhưng mẹ không nghe máy. Mẹ không tham gia test.
14/6: gọi  không nghe máy, cúp nhanh
10/11: gọi nhưng cúp nhanh, ko nhu cầu tìm lớp</t>
  </si>
  <si>
    <t>Mẹ Hồng</t>
  </si>
  <si>
    <t>Hải Đăng</t>
  </si>
  <si>
    <t>9 tuổi</t>
  </si>
  <si>
    <t>0905755894</t>
  </si>
  <si>
    <t>Hải Đăng - 9 tuổi
Con ngoan hiền, lễ phép, khá tự tin trong giao tiếp. 
Con giao tiếp bằng Tiếng Anh với cô khá trôi chảy và tự nhiên.
Con rất tập trung khi tham gia test.
Tốc độ phản xạ: Khá nhanh. 
Con phát âm khá tốt và nhấn âm rõ ràng. Con nói trôi chảy và biết cách mở rộng câu trả lời và biết cách mở rộng câu trả lời của con. Con cần chú ý hơn về các âm cuối của con.
Con nắm được số đếm từ 1 -10 000 và nắm được số thứ tự. 
Con nắm tốt bảng chữ cái và dễ dàng đánh vần được các từ.
Con có thể đọc tốt và trả lời đúng được hết các câu hỏi liên quan đến bài đọc.
Khả năng nghe của con khá tốt. Con có thể nghe ở tốc độ vừa phải và trả lời được hết các câu hỏi của cô.
Có vốn từ khá về các chủ đề: thông tin cá nhân, đồ dùng, màu sắc, hoạt động, động vật, so sánh, thể thao.... 
Con cần cải thiện thêm kiến thức về ngữ pháp.
Con cần rèn luyện thêm về từ vựng và cấu trúc với chương trình VUI level 2.</t>
  </si>
  <si>
    <t>-  26/5: Sắp xếp lịch test vào lúc 15h ( ngày 27/5  phương test)
- 29/5: Nhận kết quả test tư vấn khóa VUI, phụ huynh chưa phản hồi
30/5: mẹ chưa phản hồi
31/5: mẹ cân nhắc học phí
1/6: đã gửi tin nhắn ưu đãi
14/6: gọi nhưng thuê bao không nghe máy</t>
  </si>
  <si>
    <t>Trương Thị Lý</t>
  </si>
  <si>
    <t>Nguyễn Hải Yến ( Erika)</t>
  </si>
  <si>
    <t>935653247</t>
  </si>
  <si>
    <t>Nguyễn Hải yến</t>
  </si>
  <si>
    <t>Hải Yến - 9 tuổi 
Con ngoan hiền và có độ tập trung cao khi tham gia buổi test.
Con tích cực tương tác với cô.
Tốc độ phản xạ: khá ổn
Con có thể nghe và trả lời những câu hỏi giao tiếp cơ bản về tên, tuổi, nơi ở,...
Con có thể phát âm những từ cơ bản nhưng con vẫn cần cải thiện hơn về âm cuối.
Con có thể nhận diện tốt bảng chữ cái và có thể đánh vần tên người.
Con có thể nắm được số từ 1-100.
Con có những vốn từ cơ bản về các chủ đề: con vật, đồ vật,...
Con vẫn cần cải thiện hơn nữa về vốn từ vựng của con.
Con cần rèn luyện thêm về từ vựng và ngữ pháp với chương trình GTPX Level: UP 2</t>
  </si>
  <si>
    <t>26/5: Liên lạc lịch test qua zalo mẹ bận chưa phản hồi lại
Xếp lịch test 19h00 ( 27/5)
29/5: Gởi kết quả test 
30/5: gọi trả kết quả  test mẹ không nghe máy
30/5: gọi đang tư vấn mẹ báo bận
31/5: gọi lại không nghe máy
31/5: mẹ hẹn 15h00 gọi lại
gọi lại mẹ đang bận
1/6: mẹ chốt học 1-4
14/6: gọi tư vấn và sẽ báo cân nhắc lại</t>
  </si>
  <si>
    <t>Huong Phuong</t>
  </si>
  <si>
    <t>Hương Trà</t>
  </si>
  <si>
    <t>11 tuổi</t>
  </si>
  <si>
    <t>0376521518</t>
  </si>
  <si>
    <t>https://www.facebook.com/huong.phuong.568</t>
  </si>
  <si>
    <t>Bé 11 tuổi, chỉ học TA ở trường, quan tâm lớp phát âm=&gt; Tư vấn mẹ test cho con để đánh giá năng lực và xếp lớp phù hợp, 2h chiều nay gọi mẹ</t>
  </si>
  <si>
    <t>Hương Trà -11 tuổi 
Con ngoan hiền và tập trung khi tham gia buổi test.
Tốc độ phản xạ: Còn chậm
Con trả lời câu hỏi về tên, nơi ở và biết một số từ vựng cơ bản.
Tuy nhiên, con chưa nắm được bảng chữ cái và một số những câu hỏi thông tin cơ bản khác.
Con nắm được số tới 10.
Vốn từ vựng của con còn hạn chế.
Con cần rèn luyện thêm về từ vựng và cấu trúc câu với chương trình GTPX Level: UP Starter</t>
  </si>
  <si>
    <t>Đã tư vấn ghép 4, mẹ đang suy nghĩ
mẹ nói ko có khả năng chi trả 1 lần, đưa phương án chia làm 2 mẹ cũng nói ko trả đc.
26/5: Mẹ hẹn bảo đợi bé có lịch rảnh để xếp lịch học rồi liên hệ. đã nhắn tin zlalo
27/5; Mẹ đăng kí GTPX 1:4 đang hẹn lịch test
hẹn lịch test vào 10h-10h30 sáng thứ 3 ngày 30/5
30/5; Trả kết quả test tư vấn hướng mẹ học 1:2 nhưng mẹ báo học phí cao mẹ cân nhắc lại
31/5: Gọi lại ph không nghe máy
1/6: Đã gửi mẹ chương trình ưu đãi tặng phần mềm+ khóa Phonics Fun, mẹ ko trả lời
22/6: Mẹ muốn tư vấn khoá TOEIC</t>
  </si>
  <si>
    <t>Hoài Thu</t>
  </si>
  <si>
    <t>Đặng Quốc Khánh</t>
  </si>
  <si>
    <t>358082055</t>
  </si>
  <si>
    <t>(Phương Linh giới thiệu)</t>
  </si>
  <si>
    <t>Up 3</t>
  </si>
  <si>
    <t>Mẹ báo đợi lịch rảnh của bé rồi liên lạc lại
Mẹ đang bận nên không tiện tư vấn
31/5: gọi không nghe máy
2/6: mẹ muốn đóng HP 25b,up 3, ưu đãi 10%+ Phần mềm Easy
3/6: Gọi điện nhưng mẹ không nghe máy</t>
  </si>
  <si>
    <t>Mẹ Cẩm Hà</t>
  </si>
  <si>
    <t>Võ Yến Nhi</t>
  </si>
  <si>
    <t>905203085</t>
  </si>
  <si>
    <t>Nhắn tin zalo mẹ chưa phản hồi
Đã gởi kết quả test và tư vấn nhưng mẹ không phản hồi
1/6: Đã nhắn tin , ko phản hồi
14/6: mẹ báo bé dang học TT, tư ván khóa ngắn hạn nhưng chưa nhu càu</t>
  </si>
  <si>
    <t>Trần Bảo Nguyên</t>
  </si>
  <si>
    <t>788607099</t>
  </si>
  <si>
    <t>mẹ hẹn tối gọi lại cho mẹ
Liên lạc lại thì mẹ bận
27/5: Không liên lạc được
14/06: BÉ ĐANG HỌC CHỖ KHÁC, ĐÃ HỌC LÂU,
 PH KHÔNG MUỐN ĐỔI</t>
  </si>
  <si>
    <t>Vi Vi</t>
  </si>
  <si>
    <t>5 tuổi</t>
  </si>
  <si>
    <t>0911902919</t>
  </si>
  <si>
    <t>Quan tâm tới lớp online, khi nào mở lớp</t>
  </si>
  <si>
    <t>27/5: hẹn tối nay 7h gọi lại 
29/5: Gởi khóa học qua zalo mẹ tham khảo
9h00(30/5): Để mẹ thuyết phục bé, vì bé không hứng thú với việc học tiếng anh
31/5: Mẹ vẫn chưa thuyết phục được bé 
14/6: gọi lại nhưng mẹ bận chưa trao đổi được thông tin hẹn gọi lại vào buổi tối</t>
  </si>
  <si>
    <t xml:space="preserve">Uyên Nhi </t>
  </si>
  <si>
    <t>905575651</t>
  </si>
  <si>
    <t xml:space="preserve">PH muốn cho con cải thiện phát âm </t>
  </si>
  <si>
    <t>Mẹ hẹn sau 11h trưa gọi lại
gọi lại nhưng mẹ k nghe
Nhắn zalo tư vấn, mẹ chưa phản hồi
31/5: gọi PH không nghe máy
14/6: gọi nhưng ph đã đk cho bé khóa học khác</t>
  </si>
  <si>
    <t>Thu Thuyền</t>
  </si>
  <si>
    <t>27/05: chưa phản hồi</t>
  </si>
  <si>
    <t>Trần Thị Thìn</t>
  </si>
  <si>
    <t>Phạm Hoàng Gia Phát</t>
  </si>
  <si>
    <t>Lớp 6 lên lớp 7</t>
  </si>
  <si>
    <t>702704324</t>
  </si>
  <si>
    <t>27/05: Phụ huynh hẹn sau 5h30 chiều gọi lại
14/06:/GỌI K NGHE MÁY
22/6: Hẹn lịch test 9h sáng 23/6 
23/6: Bé k test, gọi mẹ và liên lạc Zalo k được</t>
  </si>
  <si>
    <t xml:space="preserve">Kim Tiên </t>
  </si>
  <si>
    <t>Phương Nguyên</t>
  </si>
  <si>
    <t>lớp 5</t>
  </si>
  <si>
    <t>093 4885336</t>
  </si>
  <si>
    <t>Up 2</t>
  </si>
  <si>
    <t>27/5: Đã xếp lịch test qua zalo 
14h30(1/6): phương test
1/6: Đã tư vấn khóa Up2 cho mẹ, mẹ nói cần suy ngĩ và bàn bạc
10/6: Bố chốt cho con học 1-4
4/7: gọi bố cân nhắc cho con học gửi thông tin zalo</t>
  </si>
  <si>
    <t>Hiền Nguyễn</t>
  </si>
  <si>
    <t xml:space="preserve">Trần Xuân Hiếu </t>
  </si>
  <si>
    <t>lớp 6</t>
  </si>
  <si>
    <t>0353575171</t>
  </si>
  <si>
    <t>Xuân Hiếu - 9 tuổi
Con ngoan hiền, lễ phép, dạn dĩ và tự tin. 
Con rất tập trung khi tham gia test.
Tốc độ phản xạ: Nhanh. Con giao tiếp tự tin với cô và có thể hiểu tốt và trả lời tốt những câu hỏi của cô.
Con phát âm chuẩn, nhấm âm tốt và con có âm cuối đầy đủ và con nối âm được. 
Con nói tự nhiên và trôi chảy.
Có vốn từ đa dạng về các chủ đề: thông tin cá nhân, đồ dùng, màu sắc, hoạt động, động vật, so sánh, thể thao.... 
Kiến thức ngữ pháp của con khá tốt. Con có thể nắm được kiến thức ngữ pháp về các thì và một chút ngữ pháp về câu bị động.
Con cần rèn luyện thêm về từ vựng và cấu trúc với chương trình VUI level 3</t>
  </si>
  <si>
    <t>27/5: Đang xếp lịch test
28/5: Đã xếp lịch test ( 30/5 Phương test)
30/5: gởi kết quả test hẹn giờ gọi tư vấn vì phụ huynh này  hay bận 
Mẹ báo bé đang thi trường chuyên nên có nhu cầu mẹ sẽ nhắn lại</t>
  </si>
  <si>
    <t>Đỗ Thanh Ngọc</t>
  </si>
  <si>
    <t>Đỗ Thị Thảo Nguyên</t>
  </si>
  <si>
    <t>905285587</t>
  </si>
  <si>
    <t>bé tiếng anh ổn, nhưng chưa tự tin trong giao tiếp, PH muốn hướng bé tư tin giao tiếp và thành thạo hơn</t>
  </si>
  <si>
    <t xml:space="preserve">27/5: ba bảo gởi chương trình học qua zalo ba tham khảo
14/06: ba kêu bận, nhắn tin qua zalo, đang xin lịch test
21/6: đã gọi và ba xem xét lịch học của bé đã
28/6: Đã nhắn tin nhưng mẹ k trả lời
18/7: Nhắn tin nhiều nhưng bố k trả lời
26/7: Bố bảo bé kín lịch quá không sắp xếp được, bé k trả lời muốn học hay k </t>
  </si>
  <si>
    <t>Mỳ Quảng Phương</t>
  </si>
  <si>
    <t>Nguyễn Hồ Phương Thảo</t>
  </si>
  <si>
    <t>906679620</t>
  </si>
  <si>
    <t>27/5: Mẹ hẹn sau 6h chiều gọi lại cho mẹ
14/6: gọi mẹ bận hẹn tối 7h 15/6 liên hệ lại</t>
  </si>
  <si>
    <t>Vi</t>
  </si>
  <si>
    <t>Chí Thiện</t>
  </si>
  <si>
    <t>lớp 5- 11 tuổi</t>
  </si>
  <si>
    <t>975055482</t>
  </si>
  <si>
    <t>Bui Dung</t>
  </si>
  <si>
    <t>Ánh Dương</t>
  </si>
  <si>
    <t>0939351239</t>
  </si>
  <si>
    <t xml:space="preserve">27/5 Nhắn zalo gởi khóa học ba chưa phản hồi
14/6: gọi nhưng tắt máy </t>
  </si>
  <si>
    <t>Thiên</t>
  </si>
  <si>
    <t>Gia Hân</t>
  </si>
  <si>
    <t>14/06: KÍN LỊCH HỌC, TƯ VẤN SAU
6/7: Bố nói không có nhu cầu</t>
  </si>
  <si>
    <t>Kim Loan Ngô</t>
  </si>
  <si>
    <t>8 tuổi</t>
  </si>
  <si>
    <t>0905737247</t>
  </si>
  <si>
    <t>Con ngoan hiền, lễ phép, dạn dĩ và tự tin. 
Con rất tập trung khi tham gia test.
Tốc độ phản xạ: Nhanh. Kỹ năng nghe - nói tốt.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Chưa chia được thì theo công thức nhưng con áp dụng được ngữ pháp khi nói.  
Con cần rèn luyện thêm về từ vựng và cấu trúc với chương trình VUI level 2</t>
  </si>
  <si>
    <t>27/5 Hẹn lịch test 8h tối thứ 3 30/5
Đã chốt khóa Phonics Fun, đợi chuyển khoản
Lịch học chốt sau
31/5: Bé có trình độ tốt nên ko cần học phát âm, mẹ đang cho con học 1-1 với Âu Mỹ tại nhà nên ko có nhu cầu đk thêm</t>
  </si>
  <si>
    <t>Bảo Hân</t>
  </si>
  <si>
    <t>0963256413</t>
  </si>
  <si>
    <t>Điền form đăng ký VUI =&gt; Liên hệ xin lịch test</t>
  </si>
  <si>
    <t xml:space="preserve">30/05: Người khác nghe máy vì PH ra ngoài. Hẹn gọi lại sau
01/06: PH k nghe máy 
01/06: PH k nghe máy lần 2
01/06: PH k nghe máy lần 3
14/06: KHÔNG NGHE MÁY
21/6: Không nghe máy
23/6: gọi k nghe máy </t>
  </si>
  <si>
    <t>Hai Dang</t>
  </si>
  <si>
    <t>Đức Thịnh</t>
  </si>
  <si>
    <t>0905705085</t>
  </si>
  <si>
    <t>Lớp 9: Tư vấn khóa học về phát âm (Phonics Fun và GTPX)</t>
  </si>
  <si>
    <t>29/5: Gởi chi tiết khóa học cho mẹ qua zalo, mẹ chưa phản hồi
30/5: Gởi chi tiết về khóa Phonics Fun mà vẫn chưa phản hồi
14/6: khách đã tìm được lớp học cho con</t>
  </si>
  <si>
    <t>Phạm Cẩm Tú</t>
  </si>
  <si>
    <t>0357002622</t>
  </si>
  <si>
    <t xml:space="preserve">Tư vấn khóa TOEIC BOOSTER (đã gửi bảng giá khóa học cho bạn tham khảo) </t>
  </si>
  <si>
    <t>30/05: Chưa liên lạc đc
22/6: Chưa nói gì phụ huynh đã tắt</t>
  </si>
  <si>
    <t>Vũ Bảo Hân</t>
  </si>
  <si>
    <t>0367003701</t>
  </si>
  <si>
    <t>Tư vấn khóa GTPX</t>
  </si>
  <si>
    <t>30/5: không nghe máy
Phụ huynh báo không có nhu cầu và block fapage trung tâm
14/6 gọi lại và cúp máy ngang</t>
  </si>
  <si>
    <t>Hương Ngô</t>
  </si>
  <si>
    <t>john</t>
  </si>
  <si>
    <t>Lên lớp 4</t>
  </si>
  <si>
    <t>0935652240</t>
  </si>
  <si>
    <t>Muốn đăng ký khóa trực tiếp. Gọi lại và tư vấn khóa online cho mẹ</t>
  </si>
  <si>
    <t>John - 8t
Con ngoan hiền và tập trung khi tham gia buổi test.
Tốc độ phản xạ: Còn chậm. Con còn phụ thuộc vào mẹ. Con chưa phản xạ với tiếng Anh mà phải dịch ra tiếng Việt và chuyển qua tiếng Anh. 
Con nắm được 75% bảng chữ cái. Tốc độ đánh vần chưa nhanh. 
Con nắm được số tới 40 (còn nhầm một vài số). Còn phải đếm nhẩm lần lượt mới trả lời được. 
Con cần rèn luyện thêm về từ vựng và cấu trúc câu với chương trình GTPX Level: UP Starter</t>
  </si>
  <si>
    <t>30/5: hẹn lịch test ( 20h ngày 31/5) loan test
1/6: Đã trả kết quả test, và gửi 1 phương án ưu đãi T5 và T6 cho mẹ, Mẹ nói cần suy nghĩ vì giá hơi cao
14/6: gọi nhưng chưa nghe máy</t>
  </si>
  <si>
    <t>UP 1</t>
  </si>
  <si>
    <t>Mạnh</t>
  </si>
  <si>
    <t>Nhân</t>
  </si>
  <si>
    <t>0359049515</t>
  </si>
  <si>
    <t>Nhân - 8t
Con ngoan hiền và tập trung khi tham gia buổi test.
Tốc độ phản xạ: Còn chậm
Con trả lời câu hỏi về tên và biết một số từ vựng cơ bản.
Tuy nhiên, con chưa nắm được bảng chữ cái và một số những câu hỏi thông tin cơ bản khác.
Con nắm được số tới 10. Còn phải đếm lần lượt mới trả lời được. 
Con cần rèn luyện thêm về từ vựng và cấu trúc câu với chương trình GTPX Level: UP Starter</t>
  </si>
  <si>
    <t>30/5:  đã test, 14h00(30/5), gọi cho bố tư vấn về khóa học
Bố tham khảo khóa học với mẹ
1/6: Bố đồng ý đăng ký 50b up1</t>
  </si>
  <si>
    <t>Data mua</t>
  </si>
  <si>
    <t>An an</t>
  </si>
  <si>
    <t>Linda</t>
  </si>
  <si>
    <t>7 tuổi</t>
  </si>
  <si>
    <t>906120678</t>
  </si>
  <si>
    <t>Con ngoan hiền, lễ phép. Con tập trung tốt khi tham gia buổi test.
Tốc độ phản xạ: Khá nhanh.
Con nói khá tự nhiên và có thể hiểu tốt được những câu hỏi và trả lời tốt.
Con giao tiếp trôi chảy và có thể tương tác tốt với cô.
Con có thể nghe và trả lời những câu hỏi giao tiếp cơ bản về tên, tuổi, nơi ở,...
Con biết cách mở rộng cấu trúc câu và thêm các thông tin chi tiết vào câu trả lời của con.
Phát âm của con khá ổn tuy nhiên con cần chú ý phát âm rõ hơn và nói chậm hơn. Con nên chú ý cách phát âm của từ "sick" và từ "long".
Con có thể nắm được số từ 1-100.
Con thuộc bảng chữ cái và có thể đánh vần nhanh.
Vốn từ của con khá phong phú về con vật, đồ vật,...
Tuy nhiên, con cần cải thiện kỹ năng đọc của con. Con chưa thể đọc được đoạn hội thoại và trả lời câu hỏi.
Con cần rèn luyện thêm về từ vựng và cấu trúc câu với chương trình: GTPX LEVEL 3</t>
  </si>
  <si>
    <t>30/5: Gọi xếp lịch test .Bé học Việt Mỹ, giao tiếp được nhưng còn hạn chế về từ vựng ở nhiều lĩnh vực. Mẹ mong muốn cải thiện giao tiếp tạo môi trường tiếng anh cho bé
20h30 ( 31/5): test bé
31/5: Đã gọi điện tư vấn cho mẹ về lớp 1-2. Nhưng mẹ muốn tìm giáo viên dạy 1-1 cho con mà không thông qua trung tâm.
14/6: gọi nhưng không nghe máy</t>
  </si>
  <si>
    <t>Lê Vân Anh</t>
  </si>
  <si>
    <t>Diệp</t>
  </si>
  <si>
    <t>0988902194</t>
  </si>
  <si>
    <t>Diệp - 6  tuổi
Con ngoan hiền, lễ phép, tập trung khi tham gia test.
Tốc độ phản xạ: Chưa nhanh. Vì con chưa biết nhiều từ vựng. 
Con còn nhầm lẫn giữa hai câu hỏi "How are you?" và "How old are you?"
Con chưa trả lời được câu hoàn chỉnh trong đa số các câu. 
Con cần luyện thêm về phát âm, âm cuối chưa đầy đủ, chưa nối âm được. 
Tốc độ nghe hiểu của con còn khá chậm.
Con nắm được số từ 1-25. 
Con chưa nắm được số thứ tự.
Con nắm được tương đối bảng chữ cái nhưng tốc độ đánh vần chưa được nhanh.
Có vốn từ còn hẹp về các chủ đề: thông tin cá nhân, đồ dùng, màu sắc, hoạt động, động vật, so sánh, thể thao.... 
Con cần rèn luyện thêm về từ vựng và cấu trúc với chương trình GTPX Level: UP 1</t>
  </si>
  <si>
    <t>30/5: Bé chỉ học cơ bản trên trường. Mẹ mong muốn cải thiện kĩ năng giao tiếp cho bé. Đã xếp lịch test
20h00(31/5): test bé
14/06: Hẹn lịch test 20:00 tối nay
15/6: đã trả kết quả test hẹn tối gọi tư vấn chia sẻ cụ thể hơn</t>
  </si>
  <si>
    <t>Đinh Thúy</t>
  </si>
  <si>
    <t>941333751</t>
  </si>
  <si>
    <t>30/5: Không nghe máy
Mẹ đang bận
14/6: gọi nhưng bân hẹn 19h tối gọi lại tư vấn sau</t>
  </si>
  <si>
    <t>Huỳnh Thông</t>
  </si>
  <si>
    <t>878044999</t>
  </si>
  <si>
    <t>30/5: Gọi phụ huynh hẹn sau 12h trưa gọi lại
mẹ bận đi dạy không tiện nghe tư vấn
31/5: mẹ đang bận đi làm
22/6: Mẹ không nghe máy, mẹ bận</t>
  </si>
  <si>
    <t>Đinh Thị Thảo</t>
  </si>
  <si>
    <t>Thảo  Nhi</t>
  </si>
  <si>
    <t xml:space="preserve">Lớp 8 </t>
  </si>
  <si>
    <t>0978622011</t>
  </si>
  <si>
    <t>Con ngoan hiền, lễ phép. Con tập trung tốt khi tham gia buổi test.
Tốc độ phản xạ: Khá nhanh. Con có kỹ nói tốt hơn nghe. 
Con nói khá tự nhiên và có thể hiểu tốt được những câu hỏi và trả lời tốt.
Con có thể nghe và trả lời những câu hỏi giao tiếp cơ bản về tên, tuổi, nơi ở,...
Con biết cách mở rộng cấu trúc câu và thêm các thông tin chi tiết vào câu trả lời của con.
Phát âm của con khá ổn tuy nhiên con cần chú ý các âm cuối và nối âm.
Con nắm được các kiến thức cơ bản về thì và có thể áp dụng tốt khi nói và làm bài tập. 
Con có thể nắm được số từ 1-10 000.
Con thuộc bảng chữ cái và có thể đánh vần tốt.
Vốn từ của con khá phong phú về con vật, đồ vật,...
Con cần cải thiện hơn về kĩ năng nghe của con.
Con cần rèn luyện thêm về từ vựng và ngữ pháp với chương trình : GTPX Level 4</t>
  </si>
  <si>
    <t>30/5: Bé học cơ bản ngữ pháp trên trường, mẹ muốn bé cải thiện kỹ năng nghe nói. Xác nhận lịch test vào 16h00 chiều nay
31/5: gọi báo kết quả test tư vấn khó học nhưng mẹ không nghe máy
14/6: gọi nhưng không nghe máy</t>
  </si>
  <si>
    <t>Hải Yến Vũ</t>
  </si>
  <si>
    <t>0901797588</t>
  </si>
  <si>
    <t>Đã liên lạc lần 1</t>
  </si>
  <si>
    <t>30/5: Gọi tư vấn và xếp lịch test nhưng mẹ cân nhắc và hỏi bé lịch rảnh để test
14/6: gọi nhưng bận hẹn chiều 4h gọi lại</t>
  </si>
  <si>
    <t>Quyên Quyên</t>
  </si>
  <si>
    <t xml:space="preserve">10 tuổi </t>
  </si>
  <si>
    <t>0907859902</t>
  </si>
  <si>
    <t xml:space="preserve">Bé chỉ học anh văn trên trường. </t>
  </si>
  <si>
    <t>30/5: gọi không nghe máy
31/5: gọi không nghe máy
14/06: gọi lại sau
22/6: Gọi nhưng máy bận
23/6: Mẹ bảo mẹ bận, khi nào mẹ rảnh rồi mẹ sẽ tự gọi</t>
  </si>
  <si>
    <t>Hùng Mạnh</t>
  </si>
  <si>
    <t>0946952312</t>
  </si>
  <si>
    <t>30/5: gọi tư vấn về khóa học
mẹ hỏi ý kiến ba sáng mai gọi lại
31/5: Gọi lại không nghe máy
1/6: Mẹ nói là bố muốn cho con học trực tiếp ở quê
14/6: gọi không nghe máy</t>
  </si>
  <si>
    <t>GTPX 1</t>
  </si>
  <si>
    <t>Hoa</t>
  </si>
  <si>
    <t>Hoài Nam</t>
  </si>
  <si>
    <t>0934899788</t>
  </si>
  <si>
    <t>Phương Linh giới thiệu</t>
  </si>
  <si>
    <t>Thảo</t>
  </si>
  <si>
    <t>Nam
Con ngoan hiền, lễ phép, dạn dĩ.
Con tập trung khi tham gia test.
Tốc độ phản xạ: Chưa nhanh. Vì con chưa biết nhiều từ vựng. Con vẫn nhanh nhẹn. 
Con chưa trả lời được câu hoàn chỉnh trong đa số các câu. 
Con cần luyện thêm về phát âm, âm cuối chưa đầy đủ, chưa nối âm được. 
Con nghe được câu ngắn với tốc độ vừa. 
Con nắm được số từ 1-100, còn nhầm nhiều số như 12 25 50. Chưa đếm nhanh được mà phải nhẩm từ đầu.
Con chưa nắm được số thứ tự.
Con nắm được 70% bảng chữ cái. Đánh vần chưa nhanh.
Có vốn từ còn hẹp về các chủ đề: thông tin cá nhân, đồ dùng, màu sắc, hoạt động, động vật, so sánh, thể thao.... 
Con cần rèn luyện thêm về từ vựng và cấu trúc với chương trình GTPX Level: UP 1</t>
  </si>
  <si>
    <t>30/5: Mẹ đợi kết quả test và đóng học phí
18h30-19h00 ngày 31/5 ( chị loan test)</t>
  </si>
  <si>
    <t>Võ Tường Uyên</t>
  </si>
  <si>
    <t>0905898948</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</si>
  <si>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1-10 000.
Con thuộc bảng chữ cái. Đánh vần với tốc độ vừa phải.
Con có những vốn từ chưa nhiều về các chủ đề: con vật, đồ vật, thể thao...
Con chưa sử dụng được ngữ pháp khi nói. Con mới nắm được ngữ pháp của thì hiện tại đơn.
Con cần rèn luyện thêm về từ vựng và ngữ pháp với chương trình : GTPX Level 3.</t>
  </si>
  <si>
    <t>31/5: Gởi lộ trình học, mẹ muốn bé học VUI
đã hẹn lịch test vào 20h00 ( ngày 1/6) phương test
1/6: Dời lịch test của con sang 3/6 (15h)
3/6: Con đã test và cô đã trả kết quả test cho mẹ
Đã gửi kết quả test cho mẹ. Mẹ quan tâm đến khóa học giao tiếp. Đã gửi thông tin khóa học cho mẹ
9/6: Đã tư vấn khóa VUI cho mẹ. Mẹ nói mẹ hỏi lại bố
10/6: Mẹ chưa thuyết phục được bố. Bố nói sợ học online không đảm bảo + đóng tiền hơi nhiều. Mẹ muốn cho con học thử với lớp VUI mới.
13/6: Gọi điện cho mẹ ghép 1-2 với bé Mai Hoa nhưng mẹ nói tt tư vấn quá nhiều chương trình nên mẹ không yên tâm cho con học. Mẹ không có nhu cầu cho con học chương trình trên trường
Mẹ lại đồng ý cho con học thử lớp VUI rồi</t>
  </si>
  <si>
    <t>Diễm Thu</t>
  </si>
  <si>
    <t>Minh Triết</t>
  </si>
  <si>
    <t>0907105003</t>
  </si>
  <si>
    <t>Gọi vào đầu giờ để PH tiện bắt máy</t>
  </si>
  <si>
    <t xml:space="preserve">1/6: Gọi điện cho mẹ nhưng mẹ nói con chưa sẵn sàng. Mẹ muốn làm công tác tư tưởng cho con.
</t>
  </si>
  <si>
    <t xml:space="preserve">Kiều </t>
  </si>
  <si>
    <t>0869693123</t>
  </si>
  <si>
    <t>Con gái 14t bị tật nói giật và tiếp thu chậm do lúc nhỏ bị chứng động kinh còn ảnh hưởng
Mẹ muốn con trang bị tốt TA để định cư Mỹ vì mẹ mới cưới chồng mới là Việt kiều</t>
  </si>
  <si>
    <t xml:space="preserve">
Con ngoan hiền, lễ phép, tuy nhiên con còn hơn nhút nhát khi test.
Con tập trung khi tham gia test.
Tốc độ phản xạ: Chưa nhanh. Vì con chưa biết nhiều từ vựng. 
Con chưa trả lời được câu hoàn chỉnh trong đa số các câu. 
Con cần luyện thêm về phát âm, âm cuối chưa đầy đủ, chưa nối âm được. 
Con nghe được câu ngắn với tốc độ vừa. 
Con nắm được số từ 1-25.
Con chưa nắm được số thứ tự.
Con nắm được 80% bảng chữ cái. Đánh vần chưa nhanh.
Có vốn từ còn hẹp về các chủ đề: thông tin cá nhân, đồ dùng, màu sắc, hoạt động, động vật, so sánh, thể thao.... 
Con cần rèn luyện thêm về từ vựng và cấu trúc với chương trình GTPX Level: UP 1</t>
  </si>
  <si>
    <t>31/5: Xếp lịch test (17h00 ngày 2/6) phuong test
3/6: đã trả kết quả test cho mẹ. mẹ đồng ý cho con học 1-1. Mẹ sẽ nhắn thời gian học sau. Đã gửi thông tin chuyển khoản.</t>
  </si>
  <si>
    <t>Trương Quang Thịnh</t>
  </si>
  <si>
    <t>987185007</t>
  </si>
  <si>
    <t>Ở Đà Nẵng, quan tâm khóa TOEIC mất gốc, mục đích để thi tốt nghiệp. Đã liên hệ 1 lần ngày 27/4. Đã tư vấn 1 lần khóa tOEIC khai giảng tháng 6  với chính sách cũ</t>
  </si>
  <si>
    <t>31/05: Không nghe máy</t>
  </si>
  <si>
    <t xml:space="preserve">
Hào Lương Thái</t>
  </si>
  <si>
    <t>0907950229</t>
  </si>
  <si>
    <t xml:space="preserve">Bên bạn có lớp học thử không. Vì bé chi học anh văn ở trường nên rất cần test kiến thức và có giáo trình phù hợp.
</t>
  </si>
  <si>
    <t>1/6: Gọi điện cho bố nhưng thuê bao
2/6: Gọi điện thuê bao
14/6: gọi không nghe máy
15/6: gọi đã tìm được lớp cho bé</t>
  </si>
  <si>
    <t>Hoàng Sơn</t>
  </si>
  <si>
    <t>344653832</t>
  </si>
  <si>
    <t>Con học ở trường và học thêm bên ngoài</t>
  </si>
  <si>
    <t xml:space="preserve">Hẹn lịch test qua zalo 10h sáng ngày 1/6 loan
1/6 không tham gia test
14/06: không nghe máy
22/6: Chưa nói gì thì phụ huynh đã tắt máy </t>
  </si>
  <si>
    <t>Trần Thị Mai Anh</t>
  </si>
  <si>
    <t>0866089486</t>
  </si>
  <si>
    <t>Đăng ký học Thứ 2, Thứ 4, Thứ 6</t>
  </si>
  <si>
    <t>Học viên có vốn từ vựng ở mức cơ bản. 
Khả năng phát âm còn hạm chế. Thiếu âm cuối và ngữ điệu chưa tự nhiên. Sai một số âm khó. 
Chưa nói được nhiều và chưa phát triển được đoạn hội thoại. 
Học từ đầu khóa TOEIC</t>
  </si>
  <si>
    <t xml:space="preserve">01/06: Không nghe máy
01/06: Hẹn lịch test lúc 8h00 sáng thứ 6
01/06: HS muốn học lên 700, học tiếng Anh ở cấp 3 khá tốt. Đang học năm 2. </t>
  </si>
  <si>
    <t>Trà My (Mẹ của Mai Khanh - đang học VUI08)</t>
  </si>
  <si>
    <t>935047245</t>
  </si>
  <si>
    <t>Con đang học ở Apolo. Mẹ muốn cho con cải thiện ngữ pháp.</t>
  </si>
  <si>
    <t>Con ngoan hiền, lễ phép, khá tự tin trong giao tiếp. Biết cách mở rộng cuộc hội thoại. 
Con rất tập trung khi tham gia test.
Tốc độ phản xạ: Khá nhanh. 
Con giao tiếp tự tin với cô và có thể hiểu tốt và trả lời tốt những câu hỏi của cô.
Con phát âm khá tốt và khá tự nhiên. Tuy nhiên con cần chú ý đến các âm cuối và nối âm khi nói.
Con nắm được số đếm và số thứ tự. 
Con nắm được bảng chữ cái. Tốc độ đánh vần nhanh.
Có vốn từ khá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VUI level 2.</t>
  </si>
  <si>
    <t>31/05: Xếp lịch test cho con - Phương test. 
Trả kết quả test cho mẹ
01/06: Mẹ đang cho con học ở Apolo nhưng mẹ thấy ngữ pháp con còn yếu nên mẹ muốn cho con thử cách dạy bên mình. Mẹ muốn cho con học thử. Tư vấn cho mẹ học thử với VUI08 nhưng con bị trùng lịch học. Đã tư vấn cho mẹ học với VUI mới (dự kiến 26/6 khai giảng).
10/6: Mẹ đăng kí Phonics Fun cho con. Mẹ cho con học thử với VUI08 nếu thấy hợp mẹ sẽ cho con học với VUI mới</t>
  </si>
  <si>
    <t>Ngọc Hân</t>
  </si>
  <si>
    <t>Học sinh nhút nhát</t>
  </si>
  <si>
    <t>Con ngoan hiền, lễ phép, tập trung khi tham gia test. 
Tốc độ phản xạ: Chậm. Con không nghe được dẫn đến không biết đáp như thế nào. 
Phát âm chưa đúng và không có âm cuối. 
Con chưa dùng được câu hoàn chỉnh. Con thêm "I" vào tất cả các câu. 
Con mới nắm được số từ 1-10. 
Con nắm được 50% bảng chữ cái. Đánh vần tên còn chậm.
Con có vốn từ rất hẹp về tất cả các chủ đề. 
Đề xuất học chương trình GTPX Level 1.</t>
  </si>
  <si>
    <t xml:space="preserve">GTPX </t>
  </si>
  <si>
    <t xml:space="preserve">01/06: Hẹn 9h00 thứ 7 (3/6 test đầu vào 
Đã gửi kết quả test và tất cả các thông tin về khóa học. Chốt học 1:2. 
12/06: Hỏi thăm PH còn khúc mắc gì k. PH chưa rep
</t>
  </si>
  <si>
    <t>Mai Hoa</t>
  </si>
  <si>
    <t>Lớp 8</t>
  </si>
  <si>
    <t>976349323</t>
  </si>
  <si>
    <t>1/6: Test cho con (10h) và đã trả kết quả test cho mẹ
Tư vấn cho mẹ khóa 1-2 kết hợp 2n ngữ pháp và 1 buổi giao tiếp.  Định ghép lớp với mẹ Quyên nhưng mẹ Quyên muốn con học thiên hẳn về giao tiếp. 
Gọi điện tư vấn lớp Vườn Ươm 1-8 cho mẹ nhưng mẹ chỉ muốn con học 1-2.
2/6: Gọi điện lại nhưng mẹ không nghe máy.
Gọi lần 2 mẹ vẫn không nghe máy
3/6: Gọi điện và mẹ nói để mẹ suy nghĩ thêm.
9/6:  Mẹ chốt cho con học 1-2 (20h-20h40 - buổi nào cũng được)</t>
  </si>
  <si>
    <t>Mẹ tên Nhãn (Mẹ Phương Nga VUI06)</t>
  </si>
  <si>
    <t>Diệu Linh</t>
  </si>
  <si>
    <t>0965412887</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</si>
  <si>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1-100
Con chưa nắm được số thứ tự và vị trí của đồ vật
Con thuộc bảng chữ cái. Đánh vần với tốc độ vừa phải.
Con có những vốn từ chưa nhiều về các chủ đề: con vật, đồ vật, thể thao...
Con chưa sử dụng được ngữ pháp khi nói. 
Con cần rèn luyện thêm về từ vựng và cấu trúc câu với chương trình : GTPX Level 3.</t>
  </si>
  <si>
    <t>1/6: Gọi điện cho mẹ nhưng mẹ đang bận nên sẽ gọi lại sau.
2/6: Gọi lại cho mẹ nhưng mẹ nói nhà có việc nên mẹ muốn tuần sau liên lạc lại.
13/6: Gọi cho mẹ để hẹn lịch test với mẹ
16/6: Đã gửi KQ test và hướng mẹ học 1 kèm 2 hoặc 1 kèm 4, mẹ chưa phản hồi</t>
  </si>
  <si>
    <t>Thanh Tâm (Me Khai Minh VUI07)</t>
  </si>
  <si>
    <t>Anh Sơn</t>
  </si>
  <si>
    <t>0905057688</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</si>
  <si>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1-1000.
Con thuộc bảng chữ cái. Đánh vần với tốc độ vừa phải.
Con có những vốn từ chưa nhiều về các chủ đề: con vật, đồ vật, thể thao...
Con chưa sử dụng được ngữ pháp khi nói. 
Con cần rèn luyện thêm về từ vựng và ngữ pháp với chương trình : GTPX Level 3.</t>
  </si>
  <si>
    <t>02/06: Con chuẩn bị lên lớp 4, có khả năng tiếng Anh khá, chưa biết gì về ngữ pháp. Mẹ muốn con học đều các kỹ năng. Xếp lịch test lúc 10:00 Thứ 7 
Đã gửi kết quả test và tư vấn . PH hẹn trả lời sau. 
05/06: Hỏi thăm PH k đáp
12/06: Hỏi thăm lần nữa. Mẹ có khả năng chốt nhưng tháng 7 mẹ mới học vì con còn khóa khác.</t>
  </si>
  <si>
    <t>Nam An</t>
  </si>
  <si>
    <t>0967027333</t>
  </si>
  <si>
    <t>Up Starter</t>
  </si>
  <si>
    <t>My Duong</t>
  </si>
  <si>
    <t>0777728158</t>
  </si>
  <si>
    <t>2/6: Gọi điện nhưng mẹ không nghe máy
14/6: mẹ đã đăng kí cho bé học ở chỗ khác</t>
  </si>
  <si>
    <t>Đoàn Tiến Hải</t>
  </si>
  <si>
    <t>Hương</t>
  </si>
  <si>
    <t>7t</t>
  </si>
  <si>
    <t>0967999237</t>
  </si>
  <si>
    <t>Phụ huynh nhắn tin qua fanpage và để lại số điện thoại.
Bé chỉ học Tiếng Anh trên trường.</t>
  </si>
  <si>
    <t>Con ngoan hiền, lễ phép. Con tập trung khi tham gia buổi test.
Tốc độ phản xạ: Khá nhanh. Chất lượng âm thanh không tốt lắm và bị nhiễu tiếng ồn khá nhiều nên cô chưa nghe được âm cuối của con. 
Con có thể nghe và trả lời những câu hỏi giao tiếp cơ bản về tên, tuổi, màu sắc,...
Con nói được câu hoàn chỉnh tuy nhiên còn cần đa dạng thêm cấu trúc.
Con có thể nắm được số từ 1-25.
Con thuộc bảng chữ cái. Đánh vần với tốc độ chưa nhanh.
Con có vốn từ tương đối so với độ tuổi về các chủ đề: con vật, đồ vật, thể thao...
Con cần rèn luyện thêm về từ vựng và ngữ pháp với chương trình : GTPX Level 1.</t>
  </si>
  <si>
    <t>2/6: Hẹn lịch test cho con 2/6 (16h)
Đã trả kết quả test
Bố muốn cho con học 1-2 50b trong 3 tháng
3/6: Bố chưa sắp xếp được lịch cố định vì con đang đi du lịch
14/6: vẫn đang đi du lịch chưa về để xếp lại lịch và vẫn đang cân nhắc.
và gửi thông tin trên zalo và hẹn sang tuần gọi lại để anh trao đổi kĩ hơn. 24/6 gọi knm. nhắn tin zalo chia sẻ lại</t>
  </si>
  <si>
    <t>Hồng Minh</t>
  </si>
  <si>
    <t>Minh Khánh</t>
  </si>
  <si>
    <t>0909154255</t>
  </si>
  <si>
    <t>Con ngoan hiền, lễ phép. 
Con tập trung tốt khi tham gia buổi test. Hôm nay chất lượng âm thanh không tốt lắm nên cô chưa nghe được âm cuối nhiều.
Tốc độ phản xạ: Khá nhanh. 
Con nói khá tự nhiên và có thể hiểu thông tin khá tốt.
Con có thể nghe và trả lời những câu hỏi giao tiếp cơ bản về tên, tuổi, màu sắc,...
Phát âm của con khá ổn tuy nhiên con cần chú ý các âm cuối và nối âm.
Con nắm được các kiến thức cơ bản về thì và có thể áp dụng tốt khi nói và làm bài tập. 
Con có thể nắm được số từ 1-10 000.
Con thuộc bảng chữ cái và có thể đánh vần tốt.
Vốn từ của con khá phong phú về con vật, đồ vật,...
Con cần cải thiện hơn về kĩ năng nghe của con.
Con có kiến thức ngữ pháp cơ bản về các thì hiện tại đơn, thì hiện tại tiếp diễn...
Con cần rèn luyện thêm về từ vựng và ngữ pháp với chương trình : GTPX Level 4</t>
  </si>
  <si>
    <t>1/6: Con test lúc 15h30 nhưng đang test giữa chừng thì con bị out ra 2 lần và đã vào lại nhưng con vẫn bị out ra. Gọi điện 2 cuộc nhưng mẹ không nghe máy. Đã nhắn tin hẹn lại lịch test nhưng mẹ chưa phản hồi.
Mẹ phản hồi qua tin nhắn là mẹ sắp lại lịch sau.
2/6: Gọi điện nhưng mẹ không nghe
14/6: gọi điện nghe máy, nhưng phụ hynh đã đăng kí cho con học ở trung tâm khác</t>
  </si>
  <si>
    <t>Thùy Anh</t>
  </si>
  <si>
    <t>Minh Châu</t>
  </si>
  <si>
    <t>0336966726</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</si>
  <si>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1-10 000.
Con thuộc bảng chữ cái. Đánh vần với tốc độ vừa phải.
Con có những vốn từ chưa nhiều về các chủ đề: con vật, đồ vật, thể thao...
Con bị nhầm lẫn giữa số 30 và 50.
Con chưa sử dụng được ngữ pháp khi nói. Con mới nắm được ngữ pháp của thì hiện tại đơn.
Con cần rèn luyện thêm về từ vựng và ngữ pháp với chương trình : GTPX Level 3.</t>
  </si>
  <si>
    <t>01/06: PH chưa nghe máy 
02/06: PH k nghe máy, đã gửi kết bạn Zalo 
05/06: Nhắn tin Zalo vẫn  k rep
08/06: PH có 2 cháu, 1 lớp 9, 1 bạn 4t. Hẹn test chiều nay 08/06 lúc 3h
09/06: Mẹ còn đợi trao đổi với bố. Hẹn thứ 3 tuần sau phản hồi
13/06: Mẹ từ chối vì bố chỉ muốn cho con học offline. 
14/06: gọi k nghe máy
24/6: Con chị đã học chỗ khác rồi</t>
  </si>
  <si>
    <t>Mẹ Hằng</t>
  </si>
  <si>
    <t>0775520955</t>
  </si>
  <si>
    <t>Mẹ muốn tư vấn ngay cho con lớp 4 để học GTPX</t>
  </si>
  <si>
    <t xml:space="preserve">02/06: PH k nghe máy 
02/06: Học sinh muốn học giao tiếp, có thêm 1 lớp ngữ pháp trên trường rồi. Hẹn lịch test lúc 9:30 thứ 7.
03/06: Hẹn lịch test mới không trả lời
05/06: Hẹn lịch test mới vẫn không trả lời 
08/06: PH nói không muốn học online. 
14/06: gọi k nghe máy
22/6: Mẹ đăng ký trung tâm cho bé rồi
</t>
  </si>
  <si>
    <t>Mẹ Dung</t>
  </si>
  <si>
    <t>Quang Huy</t>
  </si>
  <si>
    <t>979007384</t>
  </si>
  <si>
    <t>Mẹ muốn cho con học giao tiếp thêm vì ngữ pháp của con chắc rồi.</t>
  </si>
  <si>
    <t>Con ngoan hiền, lễ phép. Con tập trung tốt khi tham gia buổi test.
Tốc độ phản xạ: Khá nhanh. Con có kỹ nói tốt hơn nghe. 
Con nói khá tự nhiên và có thể hiểu tốt được những câu hỏi và trả lời tốt.
Con có thể nghe và trả lời những câu hỏi giao tiếp cơ bản về tên, tuổi, nơi ở,...
Con biết cách mở rộng cấu trúc câu và thêm các thông tin chi tiết vào câu trả lời của con.
Phát âm của con khá ổn tuy nhiên con cần chú ý các âm cuối và nối âm.
Con nắm được các kiến thức cơ bản về thì và có thể áp dụng tốt khi nói và làm bài tập. 
Con có thể nắm được số từ 1-10 000.
Con thuộc bảng chữ cái và có thể đánh vần tốt.
Vốn từ của con khá phong phú về con vật, đồ vật,...
Con cần cải thiện hơn về kĩ năng nghe của con.
Con có kiến thức ngữ pháp cơ bản về các thì hiện tại đơn, thì hiện tại tiếp diễn...
Con cần rèn luyện thêm về từ vựng và ngữ pháp với chương trình : GTPX Level 4</t>
  </si>
  <si>
    <t>2/6: Hẹn lịch test 2/6 (15h)
Đã trả kết quả test và gọi điện để tư vấn khóa học cho mẹ. Mẹ nói mẹ đang muốn cho con nghỉ hè nên mẹ sẽ liên hệ lại sau.
3/6: Đã gửi cho mẹ lộ trình học của con
14/6: gọi không nghe máy. 23/6 gọi knm</t>
  </si>
  <si>
    <t>Mẹ Ly</t>
  </si>
  <si>
    <t>My</t>
  </si>
  <si>
    <t>973581369</t>
  </si>
  <si>
    <t>Mẹ có cho con học thêm về ngữ pháp và đang muốn tìm hiểu giao tiếp.</t>
  </si>
  <si>
    <t>2/6: Đã liên hệ được với mẹ. Mẹ muốn gửi thông tin của trung tâm qua zalo cho mẹ trước để mẹ tham khảo thêm. 
Đã gửi thông tin về trung tâm cho mẹ nhưng mẹ nói học phí cao. Mẹ từ chối cho con đăng kí học.
14/6: gọi lại mẹ từ chối không muốn nghe thê về tư vấn khóa học</t>
  </si>
  <si>
    <t xml:space="preserve">Chị Tư </t>
  </si>
  <si>
    <t>Nguyên Long</t>
  </si>
  <si>
    <t>0905249085</t>
  </si>
  <si>
    <t>Tư vấn khóa VUI trong hôm nay nhé</t>
  </si>
  <si>
    <t>Con ngoan hiền, lễ phép. Con tập trung khi tham gia buổi test.
Tốc độ phản xạ: còn chậm. Không gian con test hơi ồn nên cô cũng không nghe rõ được phát âm của con.
Con có thể nghe và trả lời những câu hỏi giao tiếp cơ bản về tên, tuổi, màu sắc,...
Con chưa nói được câu hoàn chỉnh và phải mất một lúc mới trả được câu hỏi của cô.
Con còn nhầm lẫn giữa các câu hỏi của cô dẫn đến con trả lời chưa được đúng.
Con có thể nắm được số từ 1-13.
Con nắm được bảng chữ cái. Đánh vần với tốc độ chưa nhanh.
Con có vốn từ vựng cơ bản nhưng vẫn còn nhiều hạn chế
Con cần rèn luyện thêm về từ vựng và cấu trúc câu với chương trình : GTPX Level 1.</t>
  </si>
  <si>
    <t>02/06: Học sinh muốn học giao tiếp. Hẹn lịch test lúc 9:00 thứ 7.
05/06: Hỏi thăm PH cần hỗ trợ gì thêm không.
05/06: PH từ chối vì bố không muốn học online.
14/06: gọi k nghe máy
21/6: Phụ huynh muốn bé học off, vợ chồng bất đồng 
quan điểm vì chồng muốn cho con học offline</t>
  </si>
  <si>
    <t>Hoàng Châm</t>
  </si>
  <si>
    <t>Khánh Chi</t>
  </si>
  <si>
    <t>913004258</t>
  </si>
  <si>
    <t>Con ngoan hiền, lễ phép. Con tập trung tốt khi tham gia buổi test.
Tốc độ phản xạ: Khá nhanh. Con có kỹ nói tốt hơn nghe. 
Con nói khá tự nhiên và có thể hiểu tốt được những câu hỏi và trả lời tốt.
Con có thể nghe và trả lời những câu hỏi giao tiếp cơ bản về tên, tuổi, nơi ở,...
Con biết cách mở rộng cấu trúc câu và thêm các thông tin chi tiết vào câu trả lời của con.
Phát âm của con khá ổn tuy nhiên con cần chú ý các âm cuối và nối âm.
Con nắm được các kiến thức cơ bản về thì và có thể áp dụng tốt khi nói và làm bài tập. 
Con có thể nắm được số từ 1-10 000.
Con thuộc bảng chữ cái và có thể đánh vần tốt.
Vốn từ của con khá phong phú về con vật, đồ vật,...
Con cần cải thiện hơn về kĩ năng nghe của con.
Con có kiến thức ngữ pháp cơ bản về các thì hiện tại đơn, thì hiện tại tiếp diễn... nhưng vẫn cần cải thiện hơn ở các thì khác.
Con cần rèn luyện thêm về từ vựng và ngữ pháp với chương trình : GTPX Level 4</t>
  </si>
  <si>
    <t>2/6: mẹ nói hp cao. mẹ muốn cho con học thử
Hẹn lịch test 13h30 (2/6)
3/6: Mẹ chỉ muốn cho con học 2 buổi giao tiếp vì con không có nhiều thời gian. mẹ sẽ liên hệ lại sau khi học được 3b/ tuần. 14/6: gọi lại khách từ chối vì chỉ muốn học 1b/ tuần và học phí cao. thêm con không muốn học.</t>
  </si>
  <si>
    <t>Xạ Nguyễn Thị</t>
  </si>
  <si>
    <t>0702510576</t>
  </si>
  <si>
    <t>Mẹ quan tâm đến khóa Phonics Fun</t>
  </si>
  <si>
    <t>3/6: gọi lần 1 thuê bao 14/6 gọi lần 2 vẫn thuê bao( có thể sdt ko đúng)</t>
  </si>
  <si>
    <t>Nguyễn Thu Nhi</t>
  </si>
  <si>
    <t>Nguyễn Hoàng Nhã Hân</t>
  </si>
  <si>
    <t>0385991529</t>
  </si>
  <si>
    <t>Biết được 1 số từ vựng cơ bản, tư vấn khóa GTPX vì khóa phonics 90 phút sợ bé ngồi lâu</t>
  </si>
  <si>
    <t>04/06: Mẹ hẹn 3h gọi lại vì đang ở ngoài đường
04/06: 3h gọi lại mà thuê bao
04/06: Tư vấn về giá, chương trình Razkids 1:1, hẹn test thứ 3 tuần sau
PH hởi rất kỹ về học phí
05/06: PH từ chối vì tài chính khó khăn
14/06: GỌI K NGHE MÁY</t>
  </si>
  <si>
    <t>VUI 3</t>
  </si>
  <si>
    <t>Hà Phương Thảo</t>
  </si>
  <si>
    <t>Thảo Vy</t>
  </si>
  <si>
    <t>0905512667</t>
  </si>
  <si>
    <t>Con muốn học lớp VUI với thầy Tuấn</t>
  </si>
  <si>
    <t>Con ngoan hiền, lễ phép. Con tập trung khi tham gia buổi test.
Tốc độ phản xạ: Chưa nhanh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1-1000.
Con thuộc bảng chữ cái. Đánh vần với tốc độ vừa phải.
Con có những vốn từ chưa nhiều về các chủ đề: con vật, đồ vật, thể thao...
Độ nghe hiểu của con còn hơi chậm. 
Con chưa sử dụng được ngữ pháp khi nói. 
Con cần rèn luyện thêm về từ vựng và ngữ pháp với chương trình : GTPX Level 3.</t>
  </si>
  <si>
    <t>3/6: Mẹ liên hệ và muốn cho con học lớp VUI. Đã gửi bảng giá cho mẹ. 
Hẹn lịch test (20h - 5/6)
5/6: Nhắc mẹ lịch test
6/6: Gửi kết quả test cho mẹ
Mẹ chốt cho con học lớp VUI</t>
  </si>
  <si>
    <t>Seeding</t>
  </si>
  <si>
    <t>Yến Liên</t>
  </si>
  <si>
    <t>Phan Hoàng Bảo Châu</t>
  </si>
  <si>
    <t>0918054198</t>
  </si>
  <si>
    <t>Tư vấn VUI
Add Zalo tư vấn</t>
  </si>
  <si>
    <t>Con ngoan hiền, lễ phép. Con tập trung tốt khi tham gia buổi test.
Tốc độ phản xạ: Khá nhanh. 
Con nói khá tự nhiên và có thể hiểu tốt được những câu hỏi và trả lời khá tốt. Biết cách phát triển thêm đoạn hội thoại. 
Con có thể nghe và trả lời những câu hỏi giao tiếp cơ bản về tên, tuổi, nơi ở, bạn thân và giờ giấc...
Phát âm của con khá hay tuy nhiên con cần chú ý nối âm khi cần thiết.
Con có thể nắm được số từ 1-10 000. Còn chưa tự tin với số trên 1000. 
Con thuộc bảng chữ cái và có thể đánh vần tốt.
Vốn từ của con cần phải luyện thêm.
Con chưa có khái niệm về Thì.
Con học Vườn Ươm Level 2 + Phonics Fun song song</t>
  </si>
  <si>
    <t xml:space="preserve">- PH hẹn hỏi lại lịch test của con
- Hẹn test 19h ngày 5/6/2023
- Đã trả kết quả test. Đã tư vấn nhưng PH là dì nên hẹn sẽ trao đổi lại với mẹ đã. 
- Hỏi thăm PH k phản hồi nữa
14/06: HỌC PHÍ CAO ĐNAG PHÂN VAN, ĐÃ HƯỚNG GTPX LV4, CHIỀU GỌI LẠI
TƯ VẤN KĨ HƠN
16/6: Mẹ nói hỏi ý kiến bé về lớp vườn ươm.
17/6: Mẹ đồng ý đăng ký lớp vườn ươm 50b. </t>
  </si>
  <si>
    <t>Phan Thị Mỹ Hồng</t>
  </si>
  <si>
    <t>Bảo Anh</t>
  </si>
  <si>
    <t>0349446440</t>
  </si>
  <si>
    <t>Tư vấn lớp cho bạn 5 tuổi</t>
  </si>
  <si>
    <t>- Xếp lịch test thứ 3 06/06
- 06/06 PH báo không cho con học tiếng Anh giai đoạn này
14/06: GỌI KHÔNG NGHE MÁY
26/6: Gọi k nghe máy
25/7: Nhắn tin nhưng mẹ rep</t>
  </si>
  <si>
    <t>Lương Sim</t>
  </si>
  <si>
    <t>0971354825</t>
  </si>
  <si>
    <t>Gọi tư vấn TOEIC lúc 16h chiều 5/6</t>
  </si>
  <si>
    <t>05/06: Không nghe máy
05/06: Học phí cao quá. Chỉ cần đầu ra 450 để ra trường. Chi phí khoảng 5tr đổ lại. Đề xuất học cùng Sơn. Mai làm việc với Sơn rồi báo lại. Xin đóng học phí thành 2 lần
09/06: Chốt học chia làm 2 lần đóng học phí. Sẽ hẹn ngày đóng hp sau khi nói chuyện với mẹ. 
12/06: Học viên đổi ý đầu ra 650 và  yêu cầu thi 4 kỹ năng mà tài chính k cho phép nên từ chối</t>
  </si>
  <si>
    <t>Mẹ Dung (Mẹ Khải Minh VUI07)</t>
  </si>
  <si>
    <t>Mạnh Cường</t>
  </si>
  <si>
    <t>0913401187</t>
  </si>
  <si>
    <t>Mạnh Cường - 11 tuổi
Con ngoan hiền và có độ tập trung cao khi tham gia buổi test.
Con tích cực tương tác với cô.
Tốc độ phản xạ: chưa được nhanh
Con có thể nghe và trả lời những câu hỏi giao tiếp cơ bản về tên, tuổi, tuy nhiên với những câu hỏi thông tin khác thì con chưa có vôn từ để trả lời.
Con có thể phát âm những từ cơ bản nhưng con vẫn cần luyện tập thêm, đặc biệt là âm cuối và nối âm.
Con có thể nhận 80% diện bảng chữ cái và có thể đánh vần tên người.
Con có thể nắm được số từ 1-100.
Con có những vốn từ cơ bản về các chủ đề: con vật, đồ vật,...
Con vẫn cần cải thiện hơn nữa về vốn từ vựng của con.
Con cần rèn luyện thêm về từ vựng và ngữ pháp với chương trình GTPX Level: UP 2</t>
  </si>
  <si>
    <t xml:space="preserve">05/06: Xếp lịch test 9:00 thứ 4. 07/06
07/06: Tư vấn sau trả kết quả lớp GTPX. 
08/06: Mẹ hỏi ý con rồi sẽ chốt học 
09/06: Mẹ chốt 50b 1 kèm 2. Lịch học: Cường sẽ học được các buổi sáng từ thứ 2 đến thứ 7, từ 9h đến 11h, riêng thứ bảy thì trước 10h.
</t>
  </si>
  <si>
    <t>Giang Huỳnh</t>
  </si>
  <si>
    <t>0914113877</t>
  </si>
  <si>
    <t>05/06: Đã tư vẫn thông tin qua zalo, mẹ ko chấp nhận nghe máy
13/6 gọi điện nhưng mẹ rất bận không trao đổi được thông tin gì, gửi tin nhắn c sẽ phản hồi sau
14/6: gọi nhưng từ chối nghe tư vấn</t>
  </si>
  <si>
    <t>Huỳnh Phượng</t>
  </si>
  <si>
    <t>Phạm Thị Bảo Ngọc</t>
  </si>
  <si>
    <t>0935227263</t>
  </si>
  <si>
    <t>Bé có học kèm
Tại nhà
Còn bé 2016 thì chưa học
Huỳnh Phượng
Bé mới học lớp 1 xong..và các chị của bé kèm
Các bé nghe và nói tiếng Anh chậm</t>
  </si>
  <si>
    <t>Bảo Uyên - 9t
Con ngoan hiền, lễ phép. Con tập trung khi tham gia buổi test.
Tốc độ phản xạ: Còn chậm. Con còn phụ thuộc vào mẹ dịch dang tiếng Việt. 
Con có thể nghe và trả lời những câu hỏi giao tiếp cơ bản về tên, tuổi, màu sắc,... Tuy nhiên, vốn từ còn hạn chế.
Con chưa nói được câu hoàn chỉnh. Đa phần dùng từ đơn hoặc cấu trúc "It's..."
Con có thể nắm được số từ 1-10.
Con chưa nắm được bảng chữ cái. Đánh vần với tốc độ chậm.
Con cần rèn luyện thêm về từ vựng và cấu trúc câu với chương trình: GTPX Level 1.
Bảo An - 7t
Học từ đầu với Starter.</t>
  </si>
  <si>
    <t>05/06: PH từ chối vì chỉ muốn học trực tiếp
PH 
14/06: con đã đăng kí nơi khác
15/6: Mẹ cho con học thử nơi khác nhưng thấy ko ổn, muốn KM tư vấn lại. Mẹ đk test đầu vào cho 2 con vào lúc 18h30 tối ngày 15/6, Loan test
16/6: Đã trả KQ và báo HP cho mẹ. Định hướng mẹ chọn khóa 1 kèm 2 cho 2 bé. Mẹ chưa phản hồi
19/6: mẹ từ chối vì học phí cao ko đủ tài chính</t>
  </si>
  <si>
    <t>Bùi Trâm Anh</t>
  </si>
  <si>
    <t xml:space="preserve">Hà Khả Hân </t>
  </si>
  <si>
    <t>0905622038</t>
  </si>
  <si>
    <t>Tư vấn khóa Phonics Fun cho bé 6 tuổi
Đã từng liên hệ trung tâm trước đây
Gọi lại sau 9h</t>
  </si>
  <si>
    <t>06/06: Hẹn lịch test  (20h-7/6)
08/06: Mẹ muốn cho con học Phonics Fun nhưng con còn quá nhỏ nên đã tư vấn khóa giao tiếp cho mẹ. Đã gửi bảng giá và lộ trình cho mẹ.
10/06: Gọi điện lại nhưng mẹ chưa nghe máy
Đã nhắn tin cho mẹ nhưng mẹ chưa trả lời
13/6: gọi lại, nghe máy, nhưng hiện tại đang chưa sắp xếp được thời gian và đang cân nhắc về khóa học
14/6: gọi bận gọi lại sau.24/6 gọi knm</t>
  </si>
  <si>
    <t>Hồng Hạnh</t>
  </si>
  <si>
    <t>Nguyễn Ngọc Anh</t>
  </si>
  <si>
    <t>0969202402</t>
  </si>
  <si>
    <t>06/06: Đã gọi điện tư vấn cho mẹ về học phí. Mẹ nói mẹ sẽ tham khảo giá trước sau đó mẹ sẽ liên hệ lại sau.
13/6: gọi lần 2 nghe máy nhưng bận, cúp ngang
14/6: gọi bận 
15/6: gọi KNM
16/6: KNM. 24/6 gọi knm</t>
  </si>
  <si>
    <t>Bích Đào</t>
  </si>
  <si>
    <t>0367286212</t>
  </si>
  <si>
    <t>Đang học tiếng Anh ở trường, mới biết đọc con vật và tô màu</t>
  </si>
  <si>
    <t>07/06: Gọi điện nhưng mẹ đang bận
10/06: Hẹn lịch test cho con (20h - 10/06)
10/6: Mẹ đã  tìm được chỗ học khác
13/6: gọi lại từ chối đã cho cocn học theo trung tâm khác
14/6: gọi từ chối nghe</t>
  </si>
  <si>
    <t>Nguyen Ngoc</t>
  </si>
  <si>
    <t>Nguyễn Mạnh Tiến</t>
  </si>
  <si>
    <t>0972158213</t>
  </si>
  <si>
    <t>06/06: Tư vấn khóa GTPX. PH hỏi về GV Âu-Mỹ. Đã hẹn test lúc 20:00 thứ 7 10/06. Đã gửi giá 2 chương trình 
10/06: Không tham gia test
14/06: Sắp xếp lịch hẹn cho con, chưa chốt lịch test chính xác.15/6 gọi lại hẹn lịch test tối 19h15 ngày 15/6
16/6: gọi không nghe máy. 34/6 gọi báo muôna tìm lớp trực tiếp</t>
  </si>
  <si>
    <t>Nguyễn Lê Đại Thành</t>
  </si>
  <si>
    <t>Nguyễn Lê Phúc Nguyên</t>
  </si>
  <si>
    <t xml:space="preserve"> 0905439555</t>
  </si>
  <si>
    <r>
      <rPr>
        <rFont val="Cambria"/>
        <color theme="1"/>
        <sz val="11.0"/>
      </rPr>
      <t xml:space="preserve">Quan tâm khóa GTPX, đã tư vấn sơ về khóa 1:4 nhưng ba bảo thời gian dài, sợ con ngồi lâu không được. Muốn tư vấn khóa 30 phút. Đã hẹn lịch test 11h sáng thứ 5 ngày 8/6.
Đợi xác nhận lịch test 
Về học phí: đã nói với ba chương trình ưu đãi giảm 15% trên toàn bộ khóa học kết thúc vào 15/6.
</t>
    </r>
    <r>
      <rPr>
        <rFont val="Cambria"/>
        <b/>
        <color theme="1"/>
        <sz val="11.0"/>
      </rPr>
      <t>GIÚP EM XÁC NHẬN LỊCH TEST QUA ZALO VỚI BA LUÔN Ạ</t>
    </r>
  </si>
  <si>
    <t>Con chưa tập trung tốt khi tham gia test
Con mới chỉ biết trả lời câu hỏi về tên còn những câu hỏi thông tin khác con chưa trả lời được
Con chưa biết bảng chữ cái.
Con phát âm còn hiếu và hầu như không nói được gì
Con cần rèn luyện thêm về từ vựng và cấu trúc câu với chương trình GTPX Level: UP Starter</t>
  </si>
  <si>
    <t xml:space="preserve">Nguyễn Thùy Linh </t>
  </si>
  <si>
    <t>Nguyễn An Vy</t>
  </si>
  <si>
    <t>0981221102</t>
  </si>
  <si>
    <r>
      <rPr>
        <rFont val="Cambria"/>
        <color theme="1"/>
        <sz val="11.0"/>
      </rPr>
      <t xml:space="preserve">Quan tâm khóa Phonics Fun
</t>
    </r>
    <r>
      <rPr>
        <rFont val="Cambria"/>
        <b/>
        <color theme="1"/>
        <sz val="11.0"/>
      </rPr>
      <t>Liên lạc trong ngày hôm nay (7/6) nhé!</t>
    </r>
  </si>
  <si>
    <t>08/06: Gọi điện mẹ đang bận - gọi lại sau
10/06: Gọi điện lại nhưng mẹ không nghe máy
13/6: gọi điện nhưng bận hẹn gọi lại trao đổi lúc 7h30 tối
14/6: goi lại không nghe máy
15/6: KNM. 24/6 gọi knm</t>
  </si>
  <si>
    <t>26/62023</t>
  </si>
  <si>
    <t>Thi Loan Vu</t>
  </si>
  <si>
    <t>0932489217</t>
  </si>
  <si>
    <t>Quan tâm khóa GTPX (số điện thoại có thể không đúng) data 31/5</t>
  </si>
  <si>
    <t>13/6: gọi nhưng chưa nghe máy
14/6: từ chối nghe</t>
  </si>
  <si>
    <t>Thao Nguyen</t>
  </si>
  <si>
    <t>0338480657</t>
  </si>
  <si>
    <t>Quan tâm khóa Phonics Fun</t>
  </si>
  <si>
    <t>13/6: gọi nhnungw không nghe máy
14/6: gọi không nghe máy
15/6: KNM</t>
  </si>
  <si>
    <t>Hang Nguyen</t>
  </si>
  <si>
    <t>0356313216</t>
  </si>
  <si>
    <t>13/6:gọi lần 1, không nhu cầu, chưa có con</t>
  </si>
  <si>
    <t>Mya Hola</t>
  </si>
  <si>
    <t>0707930691</t>
  </si>
  <si>
    <t>Lớp GTPX 1:1</t>
  </si>
  <si>
    <t>13/6: gọi tât máy giữa chừng
14/6: gọi nhưng tắt</t>
  </si>
  <si>
    <t>Liên Nguyễn</t>
  </si>
  <si>
    <t>0815276847</t>
  </si>
  <si>
    <t>Chưa có thông tin, chỉ để lại số điện thoại</t>
  </si>
  <si>
    <t>Con ngoan hiền, lễ phép. Con tập trung khi tham gia buổi test.
Con tương tác tốt với cô.
Tốc độ phản xạ: khá nhanh
Con trả lời hơi nhỏ nhưng cô vẫn nghe được những gì con nói.
Con có thể nghe và trả lời những câu hỏi giao tiếp cơ bản về tên, tuổi, màu sắc,...
Con nói được các câu hoàn chỉnh và trả lời được tốt hầu hết các câu hỏi của cô
Con nắm được tốt bảng chữ cái tuy nhiên tốc độ đánh vần của con còn hơi chậm.
Con có thể nắm được số từ 1-25.
Con có vốn từ vựng cơ bản về con vật, đồ vật, thời gian, so sánh,...
Con cần rèn luyện thêm về từ vựng và cấu trúc câu với chương trình : GTPX Level 1.</t>
  </si>
  <si>
    <t>08/06:  Gọi điện thuê bao
13/6: gọi lại mẹ bận hẹn gọi tư vấn lại lúc 7h vad kb zalo
14/6: đã hẹn lịch test với phụ huynh
15/6: gọi nhưng bận chưa trao đổi được gì
19/6: gọi trao đổi báo hphi cao hơn so với trung tâm đang học sẽ cân nhắc sau. 24/6: mẹ từ chối</t>
  </si>
  <si>
    <t>Chị Sa</t>
  </si>
  <si>
    <t>Huyền My</t>
  </si>
  <si>
    <t>0963103394</t>
  </si>
  <si>
    <t>06/05: Xếp lịch test lúc 08:05 thứ 5 ngày 08/06
07/05: Đóng học phí</t>
  </si>
  <si>
    <t>Thảo My</t>
  </si>
  <si>
    <t>Diễm Phan</t>
  </si>
  <si>
    <t>0906937341</t>
  </si>
  <si>
    <t>Quan tâm khóa GTPX (sđt không tìm ra zalo)</t>
  </si>
  <si>
    <t>10/06: Không liên lạc được
14/6: THUÊ BAO
20/6: Gọi nhưng thuê bao
21/6: thuê bao</t>
  </si>
  <si>
    <t>Phan Xuân Huế</t>
  </si>
  <si>
    <t>0702451236</t>
  </si>
  <si>
    <t>Quan tâm khóa Phonics Fun
Gọi sáng nay (10/6) nhé</t>
  </si>
  <si>
    <t>Con ngoan hiền, lễ phép, dạn dĩ và tự tin. Rất dễ thương.
Con rất tập trung khi tham gia test.
Tốc độ phản xạ: Nhanh. Kỹ năng nghe - nói tốt.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Con áp dụng được ngữ pháp khi nói. Tuy nhiên tốc độ nói của con còn chưa nhanh lắm. 
Nắm được thì Hiện tại đơn và Hiện tại tiếp diễn, quá khứ đơn và tương lai đơn. Chưa có khái niệm nhiều về Quá khứ tiếp diễn và hoàn thành,...
Con cần rèn luyện thêm về từ vựng và cấu trúc với chương trình VUI level 2</t>
  </si>
  <si>
    <t>10/6: Mẹ tưởng khóa PF là khóa học từ vựng cho con. Mẹ nói mẹ không có nhu cầu cho học
13/6: phụ huynh hẹn lịch test 11h  ngày 14/6. quan tâm khóa GTPX
15/6: gọi nhưng chưa nghe máy. 23/6: gọi knm</t>
  </si>
  <si>
    <t>Phương Thảo</t>
  </si>
  <si>
    <t>0913236878</t>
  </si>
  <si>
    <t>Chỉ mới học Anh văn trên trường</t>
  </si>
  <si>
    <t>13/6: phụ huynh bận, kb zalo, tối 7h gọi lại cho phụ huynh</t>
  </si>
  <si>
    <t>Le An</t>
  </si>
  <si>
    <t>0934882619</t>
  </si>
  <si>
    <t>Muốn tư vấn khóa giao tiếp</t>
  </si>
  <si>
    <t>Con ngoan hiền, lễ phép, dạn dĩ và tự tin. 
Con rất tập trung khi tham gia test.
Tốc độ phản xạ: Nhanh. Kỹ năng nghe - nói tốt. 
Con cần luyện thêm để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Con áp dụng được ngữ pháp khi nói. 
Nắm được thì Hiện tại đơn và Hiện tại tiếp diễn và Quá khứ đơn. Chưa có khái niệm nhiều về các thì hoàn thành,...
Con cần rèn luyện thêm về từ vựng và cấu trúc với chương trình VUI level 2</t>
  </si>
  <si>
    <t>10/06: Không nghe máy lần 1
10/06: Không nghe máy lần 2
10/06: Đăng ký lịch test lúc 8h30 thứ 7 10/06. Muốn cải thiện kỹ năng giao tiếp. Sẽ cho con học nhiều hơn 3b trong hè nếu con hứng thú. 
10/06: Đã kb Zalo
12/06: Không nghe máy. Đã hỏi thăm Zalo chưa rep
13/06:  Mẹ không tin tưởng GV Phi nhưng ct Âu Mỹ thì cao quá.
14/06: Không nghe máy
14/06: Gửi PH tham khảo về giáo viên Phi
22/6: Bé đang đi chơi Sóc Trăng, tuần sau về mẹ sẽ liên lạc
28/6: Gọi mẹ k nghe máy
29/6: Không nghe máy
25/7: Nhắn tin mẹ k trả lời</t>
  </si>
  <si>
    <t xml:space="preserve">Ánh Tuyền </t>
  </si>
  <si>
    <t xml:space="preserve">Trần Anh Quân </t>
  </si>
  <si>
    <t>0913365454</t>
  </si>
  <si>
    <t>Bé lớp 4</t>
  </si>
  <si>
    <t>Con ngoan hiền, lễ phép. Con tập trung khi tham gia buổi test.
Tốc độ phản xạ: Khá tốt
Con tự tin khi giao tiếp và tương tác với cô.
Con có thể nghe và trả lời những câu hỏi giao tiếp cơ bản về tên, tuổi, nơi ở,...
Phát âm của con khá ổn tuy nhiên con vẫn còn thiếu âm cuối và nối âm.
Độ nghe hiểu của con khá tốt. Con có thể trả lời ngay sau khi cô đặt câu hỏi cho con.
Con có thể nắm được số từ 1-10 000 và con nắm được số thứ tự.
Con thuộc bảng chữ cái. Đánh vần với tốc độ nhanh.
Con có vốn từ về con vật, vị trí, thời gian,..
Con cần rèn luyện thêm về từ vựng và ngữ pháp với chương trình : GTPX Level 3.</t>
  </si>
  <si>
    <t xml:space="preserve">10/06: Xếp lịch test lúc 18:00 thứ 2 12/06
10/06: Đã kb Zalo
Bận: Chiều 2, 4,5,7,cn
Sau 7h </t>
  </si>
  <si>
    <t>Lê Ánh Ngọc</t>
  </si>
  <si>
    <t>Kim Anh</t>
  </si>
  <si>
    <t>0937796683</t>
  </si>
  <si>
    <t>Vườn ươm</t>
  </si>
  <si>
    <t>10/06: PH yêu cầu gửi học phí và lộ trình tham khảo trước khi đăng ký test. 
Yếu phần nói và nghe 
10/06: Đã kb Zalo
12/06: Gọi k nghe máy. Đã hỏi thăm Zalo
12/06: Con có mức độ tập trung kém và hay bị nhắc nhở trong các lớp trực tiếp rồi. Mẹ đang phân vân về học online. 
14/6: GỌI K NGHE MÁY
20/6: Đã gọi nhưng mẹ lo con không tập trung, có gì sẽ liên hệ trung tâm sau.
21/6: Mẹ bảo lo bé không tập trung, khi nào cần mẹ sẽ liên lạc</t>
  </si>
  <si>
    <t>Kim Chi</t>
  </si>
  <si>
    <t>10/06: PH yêu cầu gửi học phí và lộ trình tham khảo trước khi đăng ký test. 
Yếu phần nói và nghe 
12/06: Gọi k nghe máy. Đã hỏi thăm Zalo
14/6: GỌI K NGHE MÁY
20/6: Đã gọi nhưng mẹ lo con không tập trung, có gì sẽ liên hệ sau
21/6: Mẹ bảo lo bé không tập trung, khi nào cần mẹ sẽ liên lạc</t>
  </si>
  <si>
    <t>Kiều Trinh Nguyễn</t>
  </si>
  <si>
    <t>Thư</t>
  </si>
  <si>
    <t>0911306159</t>
  </si>
  <si>
    <t>Từng học với thầy Tuấn nhưng do các bạn nghỉ nhiều nên thầy giải tán lớp. Mẹ nói con trình độ còn yếu.</t>
  </si>
  <si>
    <t>Thư - 9 tuổi
Con ngoan hiền và có độ tập trung cao khi tham gia buổi test.
Con tích cực tương tác với cô.
Tốc độ phản xạ: chưa được nhanh
Con có thể nghe và trả lời những câu hỏi giao tiếp cơ bản về tên, tuổi, tuy nhiên với những câu hỏi thông tin khác thì con chưa có vôn từ để trả lời.
Con có thể phát âm những từ cơ bản nhưng con vẫn cần luyện tập thêm, đặc biệt là âm cuối và nối âm.
Con có thể nhận tốt bảng chữ cái và có thể đánh vần tên người rất nhanh.
Con có thể nắm được số từ 1-100.
Con có những vốn từ cơ bản về các chủ đề: con vật, đồ vật,...
Con vẫn cần cải thiện hơn nữa về vốn từ vựng của con.
Con cần rèn luyện thêm về từ vựng và ngữ pháp với chương trình GTPX Level: UP 2</t>
  </si>
  <si>
    <t>Ghép với Mạnh Cường</t>
  </si>
  <si>
    <t>10/6: Hẹn lịch test 14h30 (12/6)
12/6: Trả kết quả test cho mẹ
15/4: mẹ chốt, thanh toán HP</t>
  </si>
  <si>
    <t>Chúc Nguyễn</t>
  </si>
  <si>
    <t>4 lên 5</t>
  </si>
  <si>
    <t>0935333540</t>
  </si>
  <si>
    <t>10/06: Con chưa tự tin nghe nói, mẹ không ủng hộ cách học GTPX vì không muốn học nặng ngữ pháp. Hẹn test lúc 18h30 thứ 3 13/06
10/06: Đã kb Zalo
10/06: PH không vào test
12/06: Mẹ nói không nắm được lịch của con. Khi nào cần test thì mẹ báo
14/6: GỌI K NGHE MÁY
20/6: đã gọi và hẹn tối trao đổi, xác định lịch với 2 bé rồi mới chốt giờ test
3/7: Không nghe máy
15/7: Mẹ đang bận
25/7: Nhắn tin mẹ k rep</t>
  </si>
  <si>
    <t>Nguyễn Phương</t>
  </si>
  <si>
    <t>Yến Nhi</t>
  </si>
  <si>
    <t>0905930556</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</si>
  <si>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1-10 000.
Con thuộc bảng chữ cái. Đánh vần với tốc độ nhanh.
Con có những vốn từ chưa nhiều về các chủ đề: con vật, đồ vật, thể thao...
Kỹ năng nghe cần cải thiện hơn nữa.
Con nắm được kiến thức ngữ pháp về thì hiện tại đơn và thì hiện tại tiếp diễn.
Con cần rèn luyện thêm về từ vựng và ngữ pháp với chương trình : GTPX Level 3.</t>
  </si>
  <si>
    <t xml:space="preserve">Test thứ 2 12/06 lúc 10:00 sáng. Đã gửi bảng giá zalo 
12/06: Đã gửi kết quả test. Chốt lớp 1:2, muốn học thử. Đã đóng cọc cho 3 buổi học thử.
Giờ cấn: Thứ 3, 5: 9h-12h 
246: 3h-5h
</t>
  </si>
  <si>
    <t>Chị Oanh</t>
  </si>
  <si>
    <t>0935768299</t>
  </si>
  <si>
    <t>Nguyên Giáp - 9 tuổi
Con ngoan hiền, lễ phép. Con tập trung khi tham gia buổi test.
Tuy nhiên con chưa mạnh dạn lắm khi tham gia test
Tốc độ phản xạ: còn khá chậm
Con có thể nghe và trả lời những câu hỏi giao tiếp cơ bản về tên, màu sắc,...
Tuy nhiên khi cô hỏi tuổi của con thì con cần sự giúp đỡ của chị thì con mới trả lời được
Con chưa nói được câu hoàn chỉnh
Con nắm được 50% bảng chữ cái tuy nhiên con chưa đánh vần được tốt.
Con có thể nắm được số từ 1-25.
Vốn từ của con còn hạn chế về con vật, đồ vật,...
Con cần rèn luyện thêm về từ vựng và cấu trúc câu với chương trình : GTPX Level 1.</t>
  </si>
  <si>
    <t xml:space="preserve">10/6: Đã liên hệ zalo với mẹ
12/6: Đã hẹn lịch test cho mẹ 20h30 (13/6)
13/6: Vì con còn quá nhỏ nên độ tập trung của con chưa con -&gt; Con chưa phù hợp với việc học online
15/6: PH rất muốn đăng ký học online, đã hướng PH cho con học off, 5t quay lại KM các cô nhận </t>
  </si>
  <si>
    <t>Chị Hà</t>
  </si>
  <si>
    <t>Trần Khả Hân</t>
  </si>
  <si>
    <t>lớp 4</t>
  </si>
  <si>
    <t xml:space="preserve">090 5727679 </t>
  </si>
  <si>
    <t>con gái lớp 5 có nhu cầu tìm lớp học cho bé. 
Mẹ có nhu cầu học chương trình tiếng Anh lớp 5</t>
  </si>
  <si>
    <t>Con ngoan hiền, lễ phép. Con tập trung khi tham gia buổi test.
Tốc độ phản xạ: Khá tốt
Con có thể nghe và trả lời những câu hỏi giao tiếp cơ bản về tên, tuổi, nơi ở,...
Phát âm của con còn cần điều chỉnh, đặc biệt là các âm cuối. Con chưa nối được âm.
Con nghe hiểu tốt và giao tiếp với cô khá tự nhiên. 
Con có thể nắm được số từ 1-10 000.
Con thuộc bảng chữ cái. Đánh vần với tốc độ nhanh.
Con có những vốn từ chưa nhiều về các chủ đề: con vật, đồ vật, thể thao...
Kỹ năng nghe cần cải thiện hơn nữa.
Con cần rèn luyện thêm về từ vựng và ngữ pháp với chương trình : GTPX Level 3.</t>
  </si>
  <si>
    <t>13/6: Hẹn test sáng 15/5
Đã trả kết quả test cho mẹ</t>
  </si>
  <si>
    <t xml:space="preserve">Hoàng Thọ </t>
  </si>
  <si>
    <t>Phi Hồng</t>
  </si>
  <si>
    <t>0914322246</t>
  </si>
  <si>
    <t>Có anh em ruột lớp 4 và 6 con của ba Hoàng Thọ (bạn đồng nghiệp cũ của thầy) cần tư vấn để xếp lớp. Thời gian sáng mai 13/6 lúc 8h30</t>
  </si>
  <si>
    <t>Phi Hồng - 11 tuổi
Con ngoan hiền, lễ phép, khá tập trung cao khi tham gia buổi test.
Tốc độ phản xạ: Chưa nhanh
Con có thể nghe và trả lời những câu hỏi giao tiếp cơ bản tuy nhiên con chưa có vôn từ đủ để trả lời tốt. 
Con cần luyện thêm nhiều về phát âm bao gồm cả độ chính xác, ngữ điệu và lưu loát.
Con có thể nhận diện 50% bảng chữ cái và đánh vần chưa được.
Con có thể nắm được số từ 1-10. Còn sai nhiều số như 12, 13, 20, 50,...
Con có những vốn từ cơ bản về các chủ đề: con vật, đồ vật,...
Con cần rèn luyện thêm về từ vựng và ngữ pháp với chương trình GTPX Level: UP 2</t>
  </si>
  <si>
    <t>13/6: Đã gọi điện và kết bạn zalo để xếp lịch test cho con
Phi Hồng (c Loan test: 9h -15/6)
Nguyên Giáp (P test - 9h30 - 15/6)
15/6: Hai con đã test và đã trả kết quả test cho ba
Đã gửi bảng học phí cho ba
30/6: Gọi mẹ tư vấn khoá GTPZ up 2 học 1-2
10/7: Ngày 25/7 nhắn tin lại để chốt vì 2 tuần này khách bận quá 
23/8 chuyển từ Linh sang Ánh</t>
  </si>
  <si>
    <t>Nguyên Giáp</t>
  </si>
  <si>
    <t>13/6: Đã gọi điện và kết bạn zalo để xếp lịch test cho con
Phi Hồng (c Loan test: 9h -15/6)
Nguyên Giáp (P test - 9h30 - 15/6)
15/6: Hai con đã test và đã trả kết quả test cho ba
Đã gửi bảng học phí cho ba
23/8 chuyển thừ PHương sang Ánh</t>
  </si>
  <si>
    <t>Lê Thị Công</t>
  </si>
  <si>
    <t>0985025632</t>
  </si>
  <si>
    <t>13/6 :ph ấn nhầm vào quảng cáo, đã dk khóa học cho con ở nơi khác</t>
  </si>
  <si>
    <t>Đoàn Thị Thanh Tú (Chị Phượng - King VUI04 giới thiệu)</t>
  </si>
  <si>
    <t>Mạc Đoàn Bảo Trân</t>
  </si>
  <si>
    <t>0906544628</t>
  </si>
  <si>
    <t>Có 2 bạn học lớp 5 và 6 có từng học trung tâm tiếng Anh nhưng đã nghỉ 1 năm, mẹ nhắn tin hỏi về các khóa hè này mở, học phí . (Chị Phượng - King VUI04 giới thiệu)</t>
  </si>
  <si>
    <t>Bảo Trân
Con ngoan hiền, lễ phép, khá tập trung cao khi tham gia buổi test.
Tốc độ phản xạ: Chưa nhanh
Con có thể nghe và trả lời những câu hỏi giao tiếp cơ bản tuy nhiên vốn từ của con còn hạn chế
Con cần luyện thêm nhiều về phát âm. Con còn thiếu âm cuối và thiếu nối âm.
Con có thể nhận diện bảng chữ cái và đánh vần chưa được nhanh.
Con có thể nắm được số từ 1-100. 
Con chưa nắm được số thứ tự.
Con có những vốn từ cơ bản về các chủ đề: con vật, đồ vật,... tuy nhiên con chưa có vốn từ về vị trí và ngày tháng.
Con cần rèn luyện thêm về từ vựng và ngữ pháp với chương trình GTPX Level: UP 3</t>
  </si>
  <si>
    <t>t3-t5-t6:19h30</t>
  </si>
  <si>
    <t>13/6: gọi trao đỏi thông tin khóa học
14/6: gọi và hẹn lại lịch test
19/6: gọi lại hẹn lịch test vào 9h30 thứ 4 21/6</t>
  </si>
  <si>
    <t>VUI 1</t>
  </si>
  <si>
    <t xml:space="preserve">Đoàn Thị Thanh Tú </t>
  </si>
  <si>
    <t>Mạc Bảo Khánh</t>
  </si>
  <si>
    <t>Bảo Khánh
Con ngoan hiền, lễ phép. Con tập trung khi tham gia buổi test.
Con tương tác tốt với cô.
Tốc độ phản xạ: còn khá chậm
Con trả lời được câu hỏi về tên và màu sắc nhưng chưa trả lời được những câu hỏi thông tin cá nhân khác.
Con chưa nói được các câu hoàn chỉnh và trả lời cô còn ngập ngừng.
Con chưa nắm được bảng chữ cái và chưa đánh vần được
Con có thể nắm được số từ 1-25.
Vốn từ của con còn hạn chế
Con cần rèn luyện thêm về từ vựng và cấu trúc câu với chương trình : GTPX Level 2</t>
  </si>
  <si>
    <t>c Sinh</t>
  </si>
  <si>
    <t>tống hoàng minh</t>
  </si>
  <si>
    <t>0989394222</t>
  </si>
  <si>
    <t>9h ngày 14/06 gọi mẹ</t>
  </si>
  <si>
    <t>Hoàng Minh
Con ngoan hiền, lễ phép. Con tập trung khi tham gia buổi test.
Con tương tác tốt với cô.
Tốc độ phản xạ: chưa được nhanh
Con trả lời được câu hỏi về thông tin cá nhân khác.
Con chưa nói được các câu hoàn chỉnh và trả lời cô còn ngập ngừng.
Con nắm được bảng chữ cái nhưng đánh vần còn chậm
Con có thể nắm được số từ 1-100. Con còn nhầm lẫn khi đọc số 59.
Đôi khi con nhầm lẫn giữa các câu hỏi của cô
Con có vốn từ cơ bản về đồ vật, con vật, thời gian, nhưng chưa có vốn từ về vị trí, môn thể thao và môn học. 
Con cần rèn luyện thêm về từ vựng và cấu trúc câu với chương trình : GTPX Level 2.</t>
  </si>
  <si>
    <t>14/6: Gọi lần 1 nhưng mẹ chưa nghe máy
9h30: Gọi lần 2 mẹ cũng không nghe máy
Mẹ chủ động gọi lại cho chị Ánh. Chị Ánh đã tư vấn sơ qua về lộ trình. 
Phương đã gửi kết bạn zalo với mẹ nhưng mẹ chưa xác nhận.
20/6: Đã gọi nhưng mẹ không nghe máy
30/6: gọi lại nhưng bận. xếp luôn lịch test vào sáng 1/7
1/7: đã xếp lịch test vào chiều thứ 7
3/7: đã trả kq test, tư vấn tiếp
11/7: gọi mẹ bảo bố muốn cho con nghỉ hè, vào năm học hãy đăng kí</t>
  </si>
  <si>
    <t>Phạm Phạm Hương</t>
  </si>
  <si>
    <t>0762592789</t>
  </si>
  <si>
    <t>UP3</t>
  </si>
  <si>
    <t>14/6: Đã từng test hồi tháng 4 nhưng mẹ nói không đủ điều kiện đăng ký học phí.
Mẹ thấy bài viết của Thầy về VUI nên mẹ muốn đk cho con. Tuy nhiên con bị cấn lịch học.
20/6: Đã gọi lại cho mẹ nhưng mẹ đang cân nhắc 
22/6: Mẹ nói có gì mẹ gọi lại</t>
  </si>
  <si>
    <t>Ngọc Ruby</t>
  </si>
  <si>
    <t>Đinh Ngọc</t>
  </si>
  <si>
    <t>0911318099</t>
  </si>
  <si>
    <t>Chưa</t>
  </si>
  <si>
    <t>Con ngoan hiền, lễ phép, khá tập trung cao khi tham gia buổi test.
Tốc độ phản xạ: Khá nhanh
Con có thể nghe và trả lời những câu hỏi giao tiếp cơ bản tuy nhiên con chưa có vôn từ đủ để trả lời tốt. 
Con cần luyện thêm nhiều về phát âm bao gồm cả độ chính xác, ngữ điệu và lưu loát.
Con nắm 80% bảng chữ cái. Tốc độ đánh vần chưa nhanh.
Con có thể nắm được số từ 1-100. Còn nhầm lẫn vài  số như 12, 13, 20, 50,...
Con có những vốn từ cơ bản về các chủ đề: con vật, đồ vật,...
Con cần rèn luyện thêm về từ vựng và ngữ pháp với chương trình GTPX Level: UP 3</t>
  </si>
  <si>
    <t>15/6: gọi  kết bạn zalo, hẹn lịch test 14h30 ngày 15/6
16/6: trả kết quả test và liên hệ chia sẻ cụ thể
19/6: chia sẻ gọi lại, ph bảo học phí cao quá, ph ko thể tham gia</t>
  </si>
  <si>
    <t>Trần Dương</t>
  </si>
  <si>
    <t>0343156536</t>
  </si>
  <si>
    <t>15/6: KNM
chiều 15/6: gọi lại vẫn không nghe máy và không kb zalo được
chiều 16h30: gọi nghe máy nhưng cúp ngang không có nhu cầu nghe tư vấn
19/6: gọi KNm
1/7: gọi lại vẫn cúp ngang ko nghe tư vấn</t>
  </si>
  <si>
    <t>Araya Khánh Hồ
hồ diệu khánh</t>
  </si>
  <si>
    <t>thái bảo ngọc</t>
  </si>
  <si>
    <t>0905530333</t>
  </si>
  <si>
    <t>Mình cần lớp cuối tuần cho bạn 9 tuổi, trước đây có quan tâm khóa Vườn Ươm</t>
  </si>
  <si>
    <t>Con ngoan hiền, lễ phép, khá tập trung cao khi tham gia buổi test.
Tốc độ phản xạ: Chưa được nhanh
Con có thể nghe và trả lời những câu hỏi giao tiếp cơ bản nhưng con cần mất một ít thời gian mới phản xạ được
Con còn khá nhút nhát khi giao tiếp với cô
Con cần cải thiện thêm phát âm, đặc biệt là các âm cuối và nối âm
Con nắm được tốt bảng chữ cái. Tốc độ đánh vần chưa được nhanh
Con có thể nắm được số từ 1-100. Con chưa nắm được số thứ tự.
Con có những vốn từ cơ bản về các chủ đề: con vật, đồ vật,...
Con cần rèn luyện thêm về từ vựng và ngữ pháp với chương trình GTPX Level: UP 3</t>
  </si>
  <si>
    <t>15/6: gọi kb zalo, hẹn lịch test vào sáng 16/6
16/6: dời lịch test sang 16h 17/6
19/6: dã liên hệ và hẹn tối gửi kết quả
30/7: gọi trao đổi mẹ bận tắt ngnang
4/7: nt nhưng mẹ ko phản hồi</t>
  </si>
  <si>
    <t>Thương Tran</t>
  </si>
  <si>
    <t>Đoàn Cao Trí</t>
  </si>
  <si>
    <t>0985074244</t>
  </si>
  <si>
    <t>Nhắn tin qua fb của thầy, khách hàng mới</t>
  </si>
  <si>
    <t>Con ngoan hiền, lễ phép. 
Con tập trung tốt khi tham gia buổi test. Con tự tin và tương tác tích cực với cô.
Tốc độ phản xạ: Khá nhanh. 
Con nói khá tự nhiên và có thể hiểu thông tin khá tốt.
Con có thể nghe và trả lời những câu hỏi giao tiếp cơ bản về tên, tuổi, màu sắc,...
Phát âm của con khá ổn tuy nhiên con cần chú ý các âm cuối và nối âm.
Con nắm được các kiến thức cơ bản về thì và có thể áp dụng tốt khi nói và làm bài tập. 
Con có thể nắm được số từ 1-10 000.
Con thuộc bảng chữ cái và có thể đánh vần tốt.
Vốn từ của con khá phong phú về con vật, đồ vật,...
Con cần cải thiện hơn về kĩ năng nghe của con.
Con cần rèn luyện thêm về từ vựng và ngữ pháp với chương trình : GTPX Level 4</t>
  </si>
  <si>
    <t>15/6: gọi kb zalo, hẹn lịch test 16h ngày 15/6. đang học ở TT Merakey học trực tiếp nhưng cách truyền tải không phù hợp làm bé chán. còn 2 tháng học phí mới kết thúc khóa học
16/6: trả kq test và tư vấn. ph hẹn sau khi kết thúc học sẽ liên lạc lại</t>
  </si>
  <si>
    <t>thúy tịnh</t>
  </si>
  <si>
    <t>nguyễn lê khánh ngọc</t>
  </si>
  <si>
    <t>0974633193</t>
  </si>
  <si>
    <t>STARTER</t>
  </si>
  <si>
    <t>15/6: đã liên lạc kb zalo, hẹn lịch test tối 16/6
16/6: gọi nhắc lịch test
19/6: đã trả kq test và chia sẻ cụ thể về học phí khóa học GTPX
19/6: đã trả kq test và đang trao đôit tư vân cụ thể hơn, nhưng chưa thấy mẹ phản hồi thêm điều gì
30/6: gọi lại mẹ bảo cần cân nhắc thêm về học phí
4/7: gọi knm</t>
  </si>
  <si>
    <t>Lê Huyền Trang</t>
  </si>
  <si>
    <t>0905516115</t>
  </si>
  <si>
    <t>Đăng ký vườn ươm</t>
  </si>
  <si>
    <t>Con ngoan hiền, lễ phép, khá tập trung cao khi tham gia buổi test.
Tốc độ phản xạ: Khá nhanh
Con có thể nghe và trả lời những câu hỏi giao tiếp cơ bản và có thể nghe hiểu tốt các câu hỏi của cô.
Con dạn dĩ khi tương tác với cô
Con phát âm khá ổn tuy nhiên con cần cải thiện thêm âm cuối và nối âm.
Con nắm được tốt bảng chữ cái. Tốc độ đánh vần khá nhanh.
Con có thể nắm được số từ 1-100. Con chưa nắm được số thứ tự.
Con có những vốn từ cơ bản về các chủ đề: con vật, đồ vật,...
Con cần rèn luyện thêm về từ vựng và ngữ pháp với chương trình GTPX Level: UP 3</t>
  </si>
  <si>
    <t>15/6: gọi liên lạc kb zalo, sắp xếp lịch test ngày 15/6 buổi chiều cho bé
16/6: gọi dt , trả kết quả test. gửi học phí, lộ trình học</t>
  </si>
  <si>
    <t>Trần Nga</t>
  </si>
  <si>
    <t>đặng thanh hằng</t>
  </si>
  <si>
    <t>0935487278</t>
  </si>
  <si>
    <t>15/6: gọi kb zalo, sếp lịch test cho bạn. p/h đang bận chưa trao đổi cụ thể hơn
16/6: hẹn lịch test cho con vào 18h ngày 17/6
17/6: đã nt nhắc lịch test
18/6: gọi trao đổi nhưng bận, chưa trao dổi được nhiều
19/6: gọi trao đổi, bận họp, hen tối gọi trao đổi lại. 24/6 trả kq test mẹ bận ko trao đổi được.</t>
  </si>
  <si>
    <t>My Ki</t>
  </si>
  <si>
    <t>bé Nguyên</t>
  </si>
  <si>
    <t>09897641021</t>
  </si>
  <si>
    <t>nhắn tin Zalo cho mẹ vì mẹ đang ở công ty, không tiện nghe máy</t>
  </si>
  <si>
    <t>15/6: gọi không nghe máy. đã kb zalo và trao đổi thông tin. đã xếp lịch test cho bé vào tối 15/6
16/6: đã gọi mẹ nhưng mẹ bận chưa trả kq được
16/6: đã trả kq test và tư vấn cụ thể.24/6 đã gửi thêm các video về bài hoc mà mẹ muốn
30/6: mẹ đang cân đối giữa lớp vườn ươm và GTPX.</t>
  </si>
  <si>
    <t>Nguyen Le</t>
  </si>
  <si>
    <t>bảo nhi</t>
  </si>
  <si>
    <t>0905435000</t>
  </si>
  <si>
    <t>data từ chị Mỹ, liên hệ ngay</t>
  </si>
  <si>
    <t>9t
Con ngoan hiền, lễ phép, khá tập trung khi tham gia buổi test.
Tốc độ phản xạ: Chưa nhanh 
Con có thể nghe và trả lời những câu hỏi giao tiếp cơ bản. Con có những vốn từ còn hạn chế về các chủ đề: con vật, đồ vật,...
Con cần luyện thêm nhiều về phát âm bao gồm cả độ chính xác, ngữ điệu và lưu loát.
Con nắm được 90% bảng chữ cái. Còn nhầm 1 số chữ cái.
Con có thể nắm được số từ 1-100, còn quên 1 vài chỗ như: 12, 20, 50,....  Chưa nắm được số thứ tự.
Con cần rèn luyện thêm về từ vựng và ngữ pháp với chương trình GTPX Level: UP 2</t>
  </si>
  <si>
    <t>15/6: gọi kb zalo, hẹn lịch test cho bé lúc 20h ngày 16/6
16/6: đã trả kết quả test và hỗ trợ. mẹ muốn bàn thêm với bố</t>
  </si>
  <si>
    <t>Nguyễn Thị Vân Dung</t>
  </si>
  <si>
    <t>0789405540</t>
  </si>
  <si>
    <t>15/6: gọi thuê bao, đã kb zalo. 23/6 gọi knm</t>
  </si>
  <si>
    <t>chị HIền</t>
  </si>
  <si>
    <t>0912212991</t>
  </si>
  <si>
    <t>kb trên zalo</t>
  </si>
  <si>
    <t>Hân - 11 tuổi
Con ngoan hiền, lễ phép, khá tập trung cao khi tham gia buổi test.
Tốc độ phản xạ: Nhanh
Con có thể nghe và trả lời những câu hỏi giao tiếp cơ bản. Con có những vốn từ khá về các chủ đề: con vật, đồ vật,...
Con cần luyện thêm nhiều về phát âm bao gồm cả độ chính xác, ngữ điệu và lưu loát.
Con nắm bảng chữ cái, đánh vần nhanh.
Con có thể nắm được số từ 1-100.  Nắm được số thứ tự, còn quên 1 vài chỗ.
Con cần rèn luyện thêm về từ vựng và ngữ pháp với chương trình GTPX Level: UP 4 hoặc VUI Level 2 nhưng phải học song song Phonics</t>
  </si>
  <si>
    <t>15/6 kb zalo, chia sẻ thông tin học phí và lộ trình khóa VUI, GTPX, sắp xếp lịch test cho bé chiều 14h ngày 15/6
chiều 15/6: đã trả kq và chia sẻ phương án cho mẹ
16/6: chia sẻ và tu vấn tiếp
25/6: mẹ đã tìm được khóa học phù hợp cho con</t>
  </si>
  <si>
    <t>Thu Hồng</t>
  </si>
  <si>
    <t>Ông Thế Trung Kha</t>
  </si>
  <si>
    <t>lớp 3</t>
  </si>
  <si>
    <t>0966677889</t>
  </si>
  <si>
    <t>Cần tư vấn khóa online cho bé lớp 3</t>
  </si>
  <si>
    <t>Con ngoan hiền và tập trung khi tham gia buổi test.
Tốc độ phản xạ: Còn chậm
Con trả lời câu hỏi về tên, nơi ở và biết một số từ vựng cơ bản.
Tuy nhiên, con chưa nắm được bảng chữ cái và một số những câu hỏi thông tin cơ bản khác.
Con nắm được số tới 10.
Vốn từ vựng của con còn hạn chế.
Phát âm cần được học lại từ độ chính xác, ngữ điệu và lưu loát.
Con cần rèn luyện thêm về từ vựng và cấu trúc câu với chương trình GTPX Level: UP Starter</t>
  </si>
  <si>
    <t>2-4-6:10h30</t>
  </si>
  <si>
    <t>15/6: đã gọi và kb zalo, tư vấn khóa GTPX hẹn lịch test chiều 15/6
16/6: đã trả kết quả test,  chia sẻ giá và hẹn tối gọi chia sẻ cụ thể hơn
16/6: đã trả kq test và đang tư vấn khóa PTPX và vườn ươm
16/6: đã chốt</t>
  </si>
  <si>
    <t>Lê Thanh Nhàn</t>
  </si>
  <si>
    <t>Nguyễn Lê Tú Quyên</t>
  </si>
  <si>
    <t>0982300399
0966264686 sdt của Quyên</t>
  </si>
  <si>
    <t>Data từ thầy Tuấn
Mẹ có 3 con, muốn tìm lớp online cho bé lớn</t>
  </si>
  <si>
    <t>15/6: gọi xác nhận lịch test lúc 15h ngày 16/6.
đã gửi lộ trình và học phí khóa VUI
16/6: đã trả kq test và tư vấn cụ thể khóa GTPX
mẹ chốt lớp 1 kèm 2 đã nt thông tin ck</t>
  </si>
  <si>
    <t>Lê Ngọc Linh</t>
  </si>
  <si>
    <t>nhật phương</t>
  </si>
  <si>
    <t>0773451321</t>
  </si>
  <si>
    <t>Nhật Phương - 9t
Con ngoan hiền, lễ phép, dạn dĩ.
Con tập trung khi tham gia test.
Tốc độ phản xạ: Chưa nhanh. Vì con chưa biết nhiều từ vựng. 
Con chưa trả lời được câu hoàn chỉnh trong đa số các câu. 
Con cần luyện thêm về phát âm, âm cuối chưa đầy đủ, chưa nối âm được. 
Con nghe được câu ngắn với tốc độ vừa. 
Con nắm được số từ 1-10. Chưa đếm nhanh được mà phải nhẩm từ đầu.
Con chưa nắm được số thứ tự.
Con chưa nắm chắc được bảng chữ cái. Đánh vần chưa nhanh.
Có vốn từ còn hẹp về các chủ đề: thông tin cá nhân, đồ dùng, màu sắc, hoạt động, động vật, so sánh, thể thao.... 
Con cần rèn luyện thêm về từ vựng và cấu trúc với chương trình GTPX Level: UP 1</t>
  </si>
  <si>
    <t>15/6: gọi kb zalo và sắp xếp lịch test cho bé vào chiều 16/6
16/6: gọi nhắc lịch test và đã hẹn mai 3h gọi lại tư vấn
17/6: đã trả kq test. mẹ cân đối lịch học để đăng kí cho con</t>
  </si>
  <si>
    <t>nhật khang</t>
  </si>
  <si>
    <t>Linh Nguyễn</t>
  </si>
  <si>
    <t xml:space="preserve">Con hầu như chưa biết tiếng Anh. Học từ đầu Starter. </t>
  </si>
  <si>
    <t>3-5-7: 19h30</t>
  </si>
  <si>
    <t>20/6: đã gọi và trao đổi kq mẹ đang cân nhắc đóng học phí cho bé nhật khang lớp 1-2. 23/6: nhắc chuyển khoản học phí và lịch học cho con.</t>
  </si>
  <si>
    <t>Tuyet Anh</t>
  </si>
  <si>
    <t>Hồ Tấn Minh Khánh</t>
  </si>
  <si>
    <t>0935131123</t>
  </si>
  <si>
    <t>Quan tâm khóa GTPX tiếng Anh</t>
  </si>
  <si>
    <t>Con ngoan hiền, lễ phép, khá tập trung cao khi tham gia buổi test.
Tốc độ phản xạ: Khá nhanh
Con có thể nghe và trả lời những câu hỏi giao tiếp cơ bản và có thể nghe hiểu tốt các câu hỏi của cô.
Con dạn dĩ khi tương tác với cô
Con phát âm khá ổn tuy nhiên con cần cải thiện nối âm.
Con nắm được tốt bảng chữ cái. Tốc độ đánh vần khá nhanh.
Con có thể nắm được số từ 1-10 000. Con nắm được số thứ tự.
Con có những vốn từ cơ bản về các chủ đề: con vật, đồ vật vị trí,...
Con cần rèn luyện thêm về từ vựng và ngữ pháp với chương trình GTPX Level: UP 3</t>
  </si>
  <si>
    <t>15/6: gọi nhưng bận hẹn tối 7h gọi lại
tối đã gọi lại quan tâm khóa 1-2 GTPX kb zalo và xếp lịch test cho bé vào ngày 16/6
17/6: đã tra kq test qua tn
19/6: gọi nhưng mẹ ko nghe máy
22/6: mẹ từ chối cho con học</t>
  </si>
  <si>
    <t>Tuyet Nguyen</t>
  </si>
  <si>
    <t>0935676073</t>
  </si>
  <si>
    <t>Bé chưa vào lớp 1, quan tâm khóa giao tiếp 1 kèm 4. Kết bạn zalo gửi thông tin khóa học</t>
  </si>
  <si>
    <t xml:space="preserve">16/6: gọi điện nhưng báo học phí bên trung tâm cao quá, bảo đã kb zalo
29/6 Mẹ nhăn tin qua FB hỏi 6t học online như thế nào
30/6: đã nt zalo trao đổi thông tin nhưng mẹ chưa sắp xếp được thời ggian để test cho bạn </t>
  </si>
  <si>
    <t>Bích Diễm</t>
  </si>
  <si>
    <t>0777540631</t>
  </si>
  <si>
    <t xml:space="preserve">Chưa có thông tin ban đầu </t>
  </si>
  <si>
    <t>16/6: gọi KNM
19/6: gọi KNM</t>
  </si>
  <si>
    <t>Nguyen Tho Bao Ngoc</t>
  </si>
  <si>
    <t>0985382900</t>
  </si>
  <si>
    <t>Quan tâm khóa VUI</t>
  </si>
  <si>
    <t>Thuy Phan</t>
  </si>
  <si>
    <t>0935343436</t>
  </si>
  <si>
    <t>Tư vấn giúp e khoá học cho bé 5 tuổi và 10 tuổi ạ</t>
  </si>
  <si>
    <t>Mây Du (Ngọc)</t>
  </si>
  <si>
    <t>0906599619</t>
  </si>
  <si>
    <t>Kết bạn Zalo gửi thông tin khóa gioa tiếp phản xạ 1 kèm 1. Bé đã được tiếp xúc với tiếng Anh. Có thể tư vấn thêm khóa Razkid</t>
  </si>
  <si>
    <t>16/6: đang đi làm không tiện nghe máy, liên hệ ngoài giờ
19/6: trùng data với võ thị yến ngọc</t>
  </si>
  <si>
    <t>Mẹ Vi</t>
  </si>
  <si>
    <t>Nguyễn Đường Bảo Trân</t>
  </si>
  <si>
    <t xml:space="preserve">Chưa test vì con bị đau </t>
  </si>
  <si>
    <t>Nguyễn Đường Nam Anh</t>
  </si>
  <si>
    <t>4 và 7</t>
  </si>
  <si>
    <t>0934836022</t>
  </si>
  <si>
    <t>Nam Anh
Con ngoan hiền, lễ phép. 
Con tập trung tốt khi tham gia trong buổi test.
Tốc độ phản xạ: Khá nhanh. 
Con tự tin khi giao tiếp với cô
Con có thể nghe và trả lời những câu hỏi giao tiếp cơ bản về tên, tuổi, nhưng con chưa hiểu câu hỏi của cô về nơi ở.
Phát âm còn phải điều chỉnh, con có phát âm âm cuối nhưng có vài từ còn sót và con chưa biết nối âm.
Con dùng được câu hoàn chỉnh.
Con có thể nắm được số từ 1-100 nhưng con nhầm lẫn giữa số 12 và số 20, số 19 và 29. Con nắm được số đếm.
Con thuộc tốt bảng chữ cái. Tốc độ con đánh khá nhanh.
Con biết một số từ chỉ vị trí, con vật, và thể thao tuy nhiên vốn từ của con còn hạn chế
Kỹ năng đọc hiểu của con còn cần cải thiện. Con chưa biết cách xác định thông tin để trả lời câu hỏi của cô.
Con cần rèn luyện thêm về từ vựng và ngữ pháp với chương trình : GTPX Level 3</t>
  </si>
  <si>
    <t>19/6: gọi trao đổi lại lịch test, hẹn lịch test lúc 20h ngày 19/6. 
ngày 20/6 đã trả kq test. mẹ đang cân nhắc
21/6: gọi mẹ sắp xếp lịch test cho bé Bảo trân. KNM
30/6: gọi ko nghe máy, nt ko phản hồi</t>
  </si>
  <si>
    <t>Nguyễn Thị Anh Thư</t>
  </si>
  <si>
    <t>Đặng Bảo Quân</t>
  </si>
  <si>
    <t>Sắp vào lớp 6</t>
  </si>
  <si>
    <t>0944360650</t>
  </si>
  <si>
    <t xml:space="preserve">Ngữ pháp tạm đc,nge nói còn yếu ạ
Đã gửi thông tin khóa Phonics Fun, có quan tâm đến lớp Vườn Ươm.  </t>
  </si>
  <si>
    <t>Con ngoan hiền, lễ phép. Không mở được camera nên chưa đánh giá được về độ tập trung khi tham gia buổi test.
Tốc độ phản xạ: Khá nhanh.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1-10000. Còn lỗi 1 vài số.
Con thuộc 95% bảng chữ cái. Đánh vần còn nhầm lẫn.
Con có những vốn từ khá về các chủ đề: con vật, đồ vật, thể thao...
Con chưa sử dụng được ngữ pháp khi nói.
Con cần rèn luyện thêm về từ vựng và ngữ pháp với chương trình : GTPX Level 3</t>
  </si>
  <si>
    <t>16/6: gọi điện và kb zalo. sắp xếp lịch test 15h ngày 17/6
19/6 gọi đang bận chưa rãnh để trao đổi kq test. 20/6: chưa gọi đuọce cho mẹ để trao đổi cụ thể.
21/6 trả kq test qua zalo liên hệ với mẹ không được để trao đổi.
23/6: gọi để trao đổi kq test nhưng mẹ bận
24/6: gọi lại KNM
30/6: gọi lại ko Nghe máy
25/8: gọi lại tư vấn mẹ từ chối</t>
  </si>
  <si>
    <t>Yu Ki Ly (mẹ Ly)</t>
  </si>
  <si>
    <t>Nguyễn Phan Khánh Ly</t>
  </si>
  <si>
    <t>0932105759</t>
  </si>
  <si>
    <t>Cho chị hỏi khóa học tiếng anh online cho bé</t>
  </si>
  <si>
    <t>Con ngoan hiền, lễ phép. 
Con tập trung tốt khi tham gia trong buổi test.
Tốc độ phản xạ: Khá nhanh. 
Con tự tin khi giao tiếp với cô
Con có thể nghe và trả lời những câu hỏi giao tiếp cơ bản về tên, tuổi, nơi ở,...
Phát âm còn phải điều chỉnh, con có phát âm âm cuối nhưng có vài từ còn sót và con chưa biết nối âm
Con dùng được câu hoàn chỉnh.
Con có thể nắm được số từ 1-100. Con chưa nắm được số đếm
Con thuộc tốt bảng chữ cái. Tốc độ con đánh vần khá nhanh.
Con có những vốn từ khá về các chủ đề: con vật, đồ vật, thể thao...
Con chưa sử dụng được ngữ pháp khi nói.
Con cần rèn luyện thêm về từ vựng và ngữ pháp với chương trình : GTPX Level 3</t>
  </si>
  <si>
    <t>16/6: Gọi nhưng bận hẹn liên lạc sau 5h
16/6: đã gọi và hẹn lịch test vào 10h thứ 2 ngày 19/6
con học trường Quốc tế. muốn cho con đk 1 khóa học online để luyện tập thêm vào dịp hè
20/6: bé đã đóng học phí</t>
  </si>
  <si>
    <t>Kimlan</t>
  </si>
  <si>
    <t>Tường Vi</t>
  </si>
  <si>
    <t>0914285536</t>
  </si>
  <si>
    <t xml:space="preserve"> (mẹ Harey giới thiệu)</t>
  </si>
  <si>
    <t>16/6: Đã tư vấn toàn bộ quy trình khóa học cho mẹ. Bé này khả năng học GTPX vì trước giờ chỉ học trên trường, và học thêm cô giáo, giao tiếp kém. Đã báo giá và gửi các thông tin. Khả năng chốt 1-2 cao.  
18/6: xếp lịch test chiều thứ 2
18/8: mẹ báo lại con không chịu tham gia lớp học để test. có gì mẹ báo lại sau</t>
  </si>
  <si>
    <t>Thúy Phương</t>
  </si>
  <si>
    <t xml:space="preserve">Phương Nguyên </t>
  </si>
  <si>
    <t>0905330034</t>
  </si>
  <si>
    <t>Emily
Con ngoan hiền và khá tập trung khi tham gia buổi test.
Tốc độ phản xạ: Chưa được nhanh
Con có thể nghe và trả lời những câu hỏi giao tiếp cơ bản về tên, tuổi, tuy nhiên với những câu hỏi thông tin khác thì con chưa có vôn từ để trả lời.
Con c cần luyện tập thêm về phát âm kể cả độ chính xác, ngữ điệu, lưu loát, đặc biệt là âm cuối và nối âm.
Con có thể nhận 70% diện bảng chữ cái, tốc độ đánh vần chưa được nhanh và còn nhầm lẫn.
Con có thể nắm được số từ 1-100, còn nhầm số 12 và 20.
Con chưa đáp được câu hoàn chỉnh và lạm dụng cấu trúc "It's a..."
Con cần rèn luyện thêm về từ vựng và ngữ pháp với chương trình GTPX Level: UP 2</t>
  </si>
  <si>
    <t>16/6: gọi KNM
20/6 MKT nhờ thầy hỏi lại liên hệ lại trong 21/6
21/6: Đã gọi và hẹn lịch test vào 15h ngày 21/6
22/6: Bố mẹ đã tìm trung tâm offline cho con, hẹn khi nào có nhu cầu thì sẽ liên hệ</t>
  </si>
  <si>
    <t>Ngọc Tuyết</t>
  </si>
  <si>
    <t>0395031776</t>
  </si>
  <si>
    <t>16/6: gọi nhưng phụ huynh cần tư vấn là chị họ nên sẽ gửi thông tin liê quan về khóa học GTPX  và  gửi thông tin kết bạn ạ
30/6: goi lại bảo rằng chị họ thấy học phí cao quá ko thể tham gia</t>
  </si>
  <si>
    <t>chị Hòa</t>
  </si>
  <si>
    <t>Đặng Quốc Bảo</t>
  </si>
  <si>
    <t>0905173168 zalo</t>
  </si>
  <si>
    <t>Chỉ tiện qua Zalo</t>
  </si>
  <si>
    <t>Quốc Bảo
Con ngoan hiền, lễ phép. Tập trung khi tham gia buổi test.
Tốc độ phản xạ: Chưa được nhanh
Con trả được cô câu hỏi về tên nhưng những câu hỏi thông tin khác thì con chưa trả lời được
Con phát âm chưa được rõ, đặc biệt là các âm cuối và chưa có nối âm.
Con chưa dùng được câu hoàn chỉnh nhiều. Cấu trúc các câu còn hạn chế.
Con có thể nắm được số từ 1-10
Con thuộc 50% bảng chữ cái và chưa biết đánh vần
Vốn từ của con còn hạn chế
Con cần rèn luyện thêm về từ vựng và ngữ pháp với chương trình : GTPX Level 1</t>
  </si>
  <si>
    <t>16/6: dã liên lạc và trao đổi cụ thể về khóa học, kb zalo để chia sẻ cụ thể hơn
18/6: gọi KNM
19/6: gọi để sắp xếp lịch test nhưng bảo bận chưa sắp xếp được thời gian. 
21/6 liên hệ lại để xếp lịch test nhưng vẫn chưa phản hồi
22/6: đã xếp lịch test vào tối thứ 5 22/6. 
23/6 liên hệ trả kq test nhunge chưa được. liên lạc sau
30/6: gọi trao đổi mẹ bảo con ko đồng ý học sẽ gọi lại sau nếu con đổi ý</t>
  </si>
  <si>
    <t xml:space="preserve">
Nguyễn Phương Trang
</t>
  </si>
  <si>
    <t>Nguyễn Phan Ngọc Châu</t>
  </si>
  <si>
    <t>0827896365</t>
  </si>
  <si>
    <t>19/6: liên hệ chia sẻ khóa vườn ươm, kb zalo và hẹn lịch test vào thứ 4. phụ huynh muốn tìm 1 khóa học trực tiếp cho bé</t>
  </si>
  <si>
    <t>Nguyeễn Thị Thủy Tiên</t>
  </si>
  <si>
    <t>Đồng Anh</t>
  </si>
  <si>
    <t>0983310959
0779501655</t>
  </si>
  <si>
    <t>Tư vấn khóa phù hợp</t>
  </si>
  <si>
    <t>Đông Anh
Con ngoan hiền và có độ tập trung cao khi tham gia buổi test.
Tốc độ phản xạ: chưa được nhanh
Con có thể nghe và trả lời những câu hỏi giao tiếp cơ bản về tên, tuổi, tuy nhiên với những câu hỏi thông tin khác thì con chưa có vôn từ để trả lời.
Con có thể phát âm những từ cơ bản nhưng con vẫn cần luyện tập thêm, đặc biệt là âm cuối và nối âm.
Con có thể nhận 80% diện bảng chữ cái nhưng tốc độ đánh vần chưa được nhanh.
Con còn nhầm lẫn cách đọc một số chữ cái Tiếng Anh sang tiếng Việt như chữ H, O, U...
Con có thể nắm được số từ 1-100...
Con có vốn từ về con vật tuy nhiên con chưa có vốn từ vựng về vị trí, môn thể thao, thời tiết,...
Con vẫn cần cải thiện hơn nữa về vốn từ vựng của con.
Con cần rèn luyện thêm về từ vựng và ngữ pháp với chương trình GTPX Level: UP 2</t>
  </si>
  <si>
    <t>18/8: gọi liên hệ, kb zalo và tư vấn khóa GTPX, hẹn lịch test tối 20h thứ 2 19/6. dời lịch test sang 15h thứ 3 20/6. 21/6 đã trả kq test, tư vấn, mẹ cân nhắc sẽ báo lại sau</t>
  </si>
  <si>
    <t>Mẹ Ken</t>
  </si>
  <si>
    <t>Nguyễn Công Bảo Duy</t>
  </si>
  <si>
    <t>0909633252</t>
  </si>
  <si>
    <t>Bảo Duy
Con ngoan hiền và có độ tập trung cao khi tham gia buổi test.
Tốc độ phản xạ: khá ổn
Con có thể nghe và trả lời những câu hỏi giao tiếp cơ bản về tên, tuổi, và những thông tin cơ bản khác
Con có thể phát âm những từ cơ bản nhưng con vẫn cần luyện tập thêm, đặc biệt là âm cuối và nối âm.
Con có thể nhận 80% diện bảng chữ cái nhưng tốc độ đánh vần chưa được nhanh.
Con có thể nắm được số từ 1-100...
Con có vốn từ về con vật, đồ vật, một sốn từ vựng về vị trí, so sánh, thời tiết và môn thể thao
Con cần rèn luyện thêm về từ vựng và ngữ pháp với chương trình GTPX Level: UP 2</t>
  </si>
  <si>
    <t>19/6: gọi KNM
21/6: gọi, kb zalo xếp lịch test 6h thứ 7
22/6: bố bận quên ko cho con vào test xếp lại lịch test vào tuần sau
30/6: đã trả kq test, mẹ đang cân nhắc
2/7: đã trử kq test, tư vấn cụ thể
11/7: mẹ từ chối vì con ko chịu học online nên mẹ tìm lớp trực tiếp  cho con</t>
  </si>
  <si>
    <t>Ha Vi</t>
  </si>
  <si>
    <t>Nguyễn Khánh Duyên</t>
  </si>
  <si>
    <t>0905777583</t>
  </si>
  <si>
    <t>19/6: đã liên lạc, kb zalo gửi thông tin và sắp xếp lịch test sau
21/6: gọi KNM, . 23/6: gọi mẹ cần thảo luận lại lịch test với con. sẽ báo lại sau
30/6: gọi lại nhưng ko nghe máy, đã nt zalo
11/7; gọi mẹ bào đợt này ko tham gia được, con chưa két thúc khóa hoc ở trung tâm cũ khi nào xong liên lạc lại</t>
  </si>
  <si>
    <t>Mai Tram</t>
  </si>
  <si>
    <t>Quang Vinh</t>
  </si>
  <si>
    <t>0982577556</t>
  </si>
  <si>
    <t>"Bon - 7t 
Con ngoan hiền, lễ phép. Tập trung khi tham gia buổi test. Tốc độ phản xạ: Khá nhanh. Con có thể nghe và trả lời những câu hỏi giao tiếp cơ bản về tên, tuổi, nơi ở,... Phát âm khá tự nhiên. Cần luyện thêm các âm khó và chưa nối âm. Con chưa dùng được câu hoàn chỉnh nhiều. Cấu trúc các câu còn hạn chế. Con có thể nắm được số từ 1-12. Con thuộc 95% bảng chữ cái. Đánh vần nhanh. Con có những vốn từ tương đối về các chủ đề: con vật, đồ vật, thể thao... Con cần rèn luyện thêm về từ vựng và ngữ pháp với chương trình : GTPX Level 1"</t>
  </si>
  <si>
    <t>18/6: gọi kb zalo, xếp lịch test tối 18h30 thứ 2 19/6. tư vấn lớp 1-2. p/h ok
đã trả kq test. mẹ chốt đã đóng học phí</t>
  </si>
  <si>
    <t>Nguyễn Thị Trà My</t>
  </si>
  <si>
    <t>Nguyễn Gia Hân</t>
  </si>
  <si>
    <t xml:space="preserve">0905905557 </t>
  </si>
  <si>
    <t>Gia Hân- 12 tuổi
Con ngoan hiền và có độ tập trung cao khi tham gia buổi test.
Con tích cực tương tác với cô.
Tốc độ phản xạ: khá tốt
Con có thể nghe và trả lời những câu hỏi giao tiếp cơ bản về tên, tuổi, nơi ở,...
Phát âm và giọng điệu của con khá tốt.
Con nghe hiểu và trả lời tốt các câu hỏi của cô. 
Con có thể nắm được số từ 1-10 000.
Con có những vốn từ khá rộng về các chủ đề: con vật, đồ vật,...
Con nắm được thì hiện tại đơn và thì hiện tại tiếp diễn. 
Con cần rèn luyện thêm về từ vựng và ngữ pháp với chương trình : VUI level 1</t>
  </si>
  <si>
    <t>gọi KNM
19/6: gọi KNM bận đang hop, ph hẹn sẽ liên lạc sau. 
20/6 đã nt kb zalo và hẹn lịch test vào 20h tối thứ 4 ngày 21/6
23/6: mẹ từ chối</t>
  </si>
  <si>
    <t>Loc Nguyen</t>
  </si>
  <si>
    <t>0944830284</t>
  </si>
  <si>
    <t>Bé 7 tuổi, mẹ cần tư vấn khóa phù hợp (tin nhắn lúc tối 20h 17/6)</t>
  </si>
  <si>
    <t>Đã liên lạc lần 4</t>
  </si>
  <si>
    <t>gọi KNM
19/6: gọi lại KNM
20/6 9h47 Nhắn tin fanpage cho phụ huynh hỏi khung giờ rảnh trong ngày
21/6: gọi zalo kb gửi thông tin về khóa GTPX. hỏi con để xếp lịch test
30/6: nt lại zalo nhưng chưa thấy phản hồi</t>
  </si>
  <si>
    <t>Nguyễn Hường</t>
  </si>
  <si>
    <t>0905668897</t>
  </si>
  <si>
    <t>20/6: đã gọi và hẹn lịch test vào 18h-18h30
24/6: Bé không vào test, hẹn ngày khác</t>
  </si>
  <si>
    <t>Diệu Hằng</t>
  </si>
  <si>
    <t>Phan Huy</t>
  </si>
  <si>
    <t>0947830515</t>
  </si>
  <si>
    <t>starter</t>
  </si>
  <si>
    <t>18/6: ĐÃ TEST
Mẹ chốt học 1 kèm 2
Mẹ hẹn ngày 19 hoặc 20 mẹ ck
20/6: Mẹ hẹn tối nay mẹ chuyển khoản</t>
  </si>
  <si>
    <t>Phan Nhật Hà</t>
  </si>
  <si>
    <t>Thiên Ngân</t>
  </si>
  <si>
    <t>0905798698</t>
  </si>
  <si>
    <t>Tư vấn khóa cho bé 6 tuổi (tin nhắn lúc 22h 17/6</t>
  </si>
  <si>
    <t>18/6: đã gọi dt kb zalo và xếp lịch test cho bé vào lúc tối 20/6: 20h
19/6: liên hệ nhưng ph chưa sắp xếp được lịch test
22/6 gọi KNM</t>
  </si>
  <si>
    <t>Võ Thị Yến Ngọc</t>
  </si>
  <si>
    <t>Bùi Ngọc Minh Đan</t>
  </si>
  <si>
    <t>0906599619
sdt minh đan: 0899188889</t>
  </si>
  <si>
    <t>Mẹ điền form Phonics Fun 15/6</t>
  </si>
  <si>
    <t>Con ngoan hiền, lễ phép, tập trung khi tham gia test.
Tốc độ phản xạ: Khá nhanh. 
Con có thể nghe và trả lời những câu hỏi giao tiếp cơ bản về tên, tuổi, nơi ở,...
Phát âm còn phải điều chỉnh thêm về độ chính xác, ngữ điệu, lưu loát và nối âm.
Con chưa dùng được câu hoàn chỉnh nhiều. Cấu trúc các câu còn hạn chế.
Con có thể nắm được số từ 1-100. 
Con thuộc 95% bảng chữ cái. 
Con có những vốn từ khá về các chủ đề: con vật, đồ vật, thể thao...
Con chưa sử dụng được ngữ pháp khi nói.
Con cần rèn luyện thêm về từ vựng và ngữ pháp với chương trình : GTPX Level 3</t>
  </si>
  <si>
    <t>Quan tâm lớp GTPX 1-4. đã liên hệ kb zalo và gửi lịch test vào t2 ngày 19/6. 20/6 mẹ báo chủ nhật sẽ sắp xếp lại lịch test cho bé
29/6: đã liên lạc xếp lịch test cho bé
đã trả kết quả test, mẹ bảo phải thương thảo với con vì con muốn học offline.</t>
  </si>
  <si>
    <t>Lê Thị Thùy Trang</t>
  </si>
  <si>
    <t>Phan Thị Thanh</t>
  </si>
  <si>
    <t>6</t>
  </si>
  <si>
    <t>Lớp 1</t>
  </si>
  <si>
    <t>0935722251</t>
  </si>
  <si>
    <t>Mẹ điền form Phonics Fun 16/6</t>
  </si>
  <si>
    <t>18/6: gọi KNM
19/6: gọi nghe máy, dang cho con theo học tại trung tâm popodoo. nhưng con vẫn không dạn dĩ trong giao tiếp quan tâm khóa 1-4 nhưng thấy học phí khá cao, kb zazlo, xếp lịch test và trao đổi thông tin tiếp
21/6 gọi mẹ KNM
30/6: gọi knm, nt chưa thấy phản hồi</t>
  </si>
  <si>
    <t>Hà Yến Nhi</t>
  </si>
  <si>
    <t>0357786384</t>
  </si>
  <si>
    <t>19/6: gọi KNM, đã gửi lời mời kb zalo. 20/6 vẫn gọi KNM
21/6: gọi KNM. 23/6 gọi knm</t>
  </si>
  <si>
    <t>Mẹ Phan Quỳnh</t>
  </si>
  <si>
    <t>Võ Hoàng Nhật</t>
  </si>
  <si>
    <t>0932490696</t>
  </si>
  <si>
    <t xml:space="preserve">Bé chưa đi học TA </t>
  </si>
  <si>
    <t>Con chưa tập trung khi test
Con chưa trả lời được câu hỏi thông tin cơ bản và nhận diện bản chữ cái còn kém
Con nên học lại từ đầu với chương trình GTPX: Level Starter</t>
  </si>
  <si>
    <t>19/6: đã liên lạc và kb zalo, mẹ quan tâm khóa học nhưng chưa chuẩn bị cho con học vì tuổi còn nhỏ. gửi thông tin về khóa học GTPX 
xếp lịch test vào lúc 20h t6 ngày 23/6
27/6: mẹ từ chối vì con còn nhỏ ko phù hợp với lớp học</t>
  </si>
  <si>
    <t>mẹ Yên</t>
  </si>
  <si>
    <t>Khắc Minh</t>
  </si>
  <si>
    <t>84367489290</t>
  </si>
  <si>
    <t>Tư vấn khoá TA</t>
  </si>
  <si>
    <t>19/6: gọi KNM, đã gửi lời mời kb zalo.20/6: gọi, trao đổi thông tin hẹn lịch test vào chiều thứ 4 21/6
21/6: gọi KNM
22/6: gọi KNM. 23/6 gọi KNM</t>
  </si>
  <si>
    <t>Thuy Hoa</t>
  </si>
  <si>
    <t>Anh Khoa</t>
  </si>
  <si>
    <t>0856866688</t>
  </si>
  <si>
    <r>
      <rPr>
        <rFont val="Cambria"/>
        <color rgb="FFFF0000"/>
        <sz val="11.0"/>
      </rPr>
      <t xml:space="preserve">Mẹ hỏi về việc ưu đãi Phonics Fun (hết hạn 15/6) - Có cân nhắc ưu đãi cho mẹ không, Mẹ cũng có hỏi thêm về VUI - </t>
    </r>
    <r>
      <rPr>
        <rFont val="Cambria"/>
        <b/>
        <color rgb="FFFF0000"/>
        <sz val="11.0"/>
      </rPr>
      <t>GỌI SAU 10h SÁNG hoặc sau 3h CHIỀU</t>
    </r>
  </si>
  <si>
    <t>Con ngoan hiền và có độ tập trung khi tham gia buổi test.
Con tích cực tương tác với cô.
Tốc độ phản xạ: chưa được nhanh
Con có thể nghe và trả lời những câu hỏi giao tiếp cơ bản về tên, tuổi,...
Con cần luyện thêm về phát âm: độ chính xác, ngữ điệu, lưu loát
Con có thể nhận 80% diện bảng chữ cái và có thể đánh vần tên người.
Con có thể nắm được số từ 1-100.
Con có những vốn từ cơ bản về các chủ đề: con vật, đồ vật,...
Con vẫn cần cải thiện hơn nữa về vốn từ vựng của con.
Con cần rèn luyện thêm về từ vựng và ngữ pháp với chương trình GTPX Level: UP 2</t>
  </si>
  <si>
    <t>19/6: gọi KNM
19/6: gọi kb zalo xếp lịch test vào 10h sáng thứ 3
21/6: đã trả kq test. mẹ chốt lớp 1-1.</t>
  </si>
  <si>
    <t>Mẹ tên Tâm</t>
  </si>
  <si>
    <t>0935644537</t>
  </si>
  <si>
    <t>(Mẹ Mai Khanh giới thiệu)</t>
  </si>
  <si>
    <t>19/6: gọi KNM.
20/6: gọi đã kb zalo chia sẻ thông tin, để mẹ thảo luận với con xong mới sắp xếp lịch test sau. 23/6 mẹ cần về thảo luận với con. hen lịch test sang tuần
30/6: để chị về thảo luận với bạn để sắp xếp lịch test</t>
  </si>
  <si>
    <t>Hà Phước Việt</t>
  </si>
  <si>
    <t>Hà Phước Huy</t>
  </si>
  <si>
    <t>0902233520</t>
  </si>
  <si>
    <t>kb qua zalo trung tâm</t>
  </si>
  <si>
    <t>Phước Huy
Con ngoan hiền, lễ phép. Tập trung khi tham gia buổi test.
Tốc độ phản xạ: Chưa được nhanh
Con có thể nghe và trả lời những câu hỏi giao tiếp cơ bản về tên, tuổi, tuy nhiên lúc đầu con vẫn còn nhầm lẫn giữa các câu hỏi
Con phát âm chưa được rõ, đặc biệt là các âm cuối và chưa có nối âm.
Con chưa dùng được câu hoàn chỉnh nhiều. Cấu trúc các câu còn hạn chế.
Con có thể nắm được số từ 1-100.
Con thuộc tương đối bảng chữ cái nhưng khi cô yêu cầu con đánh vần thì con đánh vần còn chậm.
Con biết những từ cơ bản tuy nhiên vốn từ của con vẫn còn hạn chế các chủ đề về vị trí, thời gian, môn thể thao, ngày tháng,..
Con cần rèn luyện thêm về từ vựng và ngữ pháp với chương trình : GTPX Level 1</t>
  </si>
  <si>
    <t>19/6: đã nt hẹn lịch test kiểm tra cho bé vào lúc 20h thứ 3
21/6 đac trả kết quả test. bố chốt lớp 1-2, và cấn thảo luận với  bà xã</t>
  </si>
  <si>
    <t>Lê Thôi</t>
  </si>
  <si>
    <t>Tăng Minh Trí</t>
  </si>
  <si>
    <t>0905642499</t>
  </si>
  <si>
    <t>Data từ thầy Tuấn</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</si>
  <si>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1-100
Con thuộc bảng chữ cái. Đánh vần với tốc độ vừa phải.
Con có những vốn từ chưa nhiều về các chủ đề: con vật, đồ vật, thể thao...
Con chưa sử dụng được ngữ pháp khi nói. 
Con cần rèn luyện thêm về từ vựng và ngữ pháp với chương trình : GTPX Level 3.</t>
  </si>
  <si>
    <t>15/6: 3h30 chiều gọi lại
19/6: gọi KNM. 20/6: gọi nghe máy, kb zalo, xếp lịch test vào 17h thứ 4 ngày 21/6
22/6: đã trả kq test, mẹ đang cân nhắc cần thảo luận với bạn và sẽ báo lại sau. 23/6 có trao đổi thêm nhưng mẹ vẫn chưa phản hồi
30/6: gọi nhưng ko nghe máy</t>
  </si>
  <si>
    <t>Tina Le</t>
  </si>
  <si>
    <t>0914177555</t>
  </si>
  <si>
    <t>Tư vấn chị cho bé 7 tuổi, chưa học AV ở trung tâm. Mẹ nhắn tin vào tối 12/6 21h</t>
  </si>
  <si>
    <t>20/6: gọi mẹ bận hẹn gọi lại sau giờ hành chính
21/6: kb zalo gửi thông tin nhưng ko phản hồi. 23/6 gọi knm. tối gọi lại
30/6: gọi lại mẹ đã dk cho bé học trực tiếp</t>
  </si>
  <si>
    <t>Mẹ tên Hoàng Minh</t>
  </si>
  <si>
    <t>Nguyễn Lê Bảo Nguyên</t>
  </si>
  <si>
    <t>0888127879</t>
  </si>
  <si>
    <t xml:space="preserve"> Mẹ Mai Khanh giới thiệu</t>
  </si>
  <si>
    <t>Bảo Nguyên
Con ngoan hiền, lễ phép, khá tập trung cao khi tham gia buổi test.
Tốc độ phản xạ: Khá ổn
Con có thể nghe và trả lời những câu hỏi giao tiếp cơ bản và có thể nghe hiểu tốt các câu hỏi của cô.
Con dạn dĩ khi tương tác với cô
Con cần cải thiện phát âm, đặc biệt là các âm cuối và nối âm
Con nắm được tốt bảng chữ cái. Tốc độ đánh vần khá nhanh.
Con có thể nắm được số từ 1-10 000. Con nắm được số thứ tự.
Con có những vốn từ cơ bản về các chủ đề: con vật, đồ vật vị trí,...
Con cần rèn luyện thêm về từ vựng và ngữ pháp với chương trình GTPX Level: UP 3</t>
  </si>
  <si>
    <r>
      <rPr>
        <rFont val="Cambria"/>
        <color theme="1"/>
        <sz val="11.0"/>
      </rPr>
      <t>19/6: đã liên lạc, kb zalo chia sẻ lớp GTPX, xếp lịch test chiều 15h thứ 2. 20/6 đã trả kq test, mẹ cân nhắc
21/6: gọi điện nhưng mẹ bận không nghe máy
30/6: liên lạc lại hiện tại bạn đâng nghỉ hè đi</t>
    </r>
    <r>
      <rPr>
        <rFont val="Cambria"/>
        <b/>
        <color theme="1"/>
        <sz val="11.0"/>
      </rPr>
      <t xml:space="preserve"> chơi sau 20/7 về đăng kí học</t>
    </r>
    <r>
      <rPr>
        <rFont val="Cambria"/>
        <color theme="1"/>
        <sz val="11.0"/>
      </rPr>
      <t xml:space="preserve">
</t>
    </r>
  </si>
  <si>
    <t>bảo Anh</t>
  </si>
  <si>
    <t xml:space="preserve"> (Mẹ Mai Khanh gth)</t>
  </si>
  <si>
    <t xml:space="preserve">Con nắm được một số kiến thức cơ bản như màu, số đếm đến 10, đồ dùng, động vật. Bạn có ý thức phát âm âm cuối và giọng khá hay. Con chưa dùng được câu. Con học từ level Starter.  </t>
  </si>
  <si>
    <t>19/6: gọi điện, kb zalo, hẹn lịch test nhưng bé ốm hẹn sang hôm khác test
21/6: nhắn tin hỏi thăm nhưng chưa phản hồi. 23/6 gọi knm
30/6: đã gọi và xếp lịch test vào chiều thứ 6 15h30</t>
  </si>
  <si>
    <t>Chị Quỳnh</t>
  </si>
  <si>
    <t>Bé Ngọc</t>
  </si>
  <si>
    <t>0905892989</t>
  </si>
  <si>
    <t>Mẹ đến trung tâm</t>
  </si>
  <si>
    <t>Chờ</t>
  </si>
  <si>
    <t>19/6: Mẹ đến trung tâm, đã test và tư vấn khóa 1 kèm 2  up 2. Mẹ đồng ý học, khi nào có lớp báo mẹ ck. Bé rãnh các buổi tối để xếp lớp</t>
  </si>
  <si>
    <t>Nguyễn Vy</t>
  </si>
  <si>
    <t>0778713408</t>
  </si>
  <si>
    <t>GỌI NGAY</t>
  </si>
  <si>
    <t xml:space="preserve">20/6:  Đã gọi nhưng mẹ không nghe máy
21/6: Đã gọi nhưng chị này không phải phụ huynh của bé, chị sẽ nhắn lại cho phụ huynh bé sau
29/6: Đã nhắn Zalo nhưng mẹ chưa kb </t>
  </si>
  <si>
    <t>Ngọc Minh</t>
  </si>
  <si>
    <t>Kim Ngân</t>
  </si>
  <si>
    <t>0901146444
Số mới: 0395495654</t>
  </si>
  <si>
    <t>Con ngoan hiền, lễ phép. Khá tập trung khi tham gia buổi test.
Tốc độ phản xạ: Chưa được nhanh
Con chưa trả lời được những câu hỏi thông tin cá nhân cơ bản.
Con phát âm chưa chính xác, dù con có phát âm âm cuối nhưng độ chính xác không cao và chưa nối âm. Con cần luyện thêm về cả ngữ điệu và lưu loát.
Con chưa dùng được câu hoàn chỉnh nhiều. Cấu trúc các câu còn hạn chế.
Con có thể nắm được số từ 1-100. Còn lỗi 1 vài số như 12, 20, 50,...
Con chưa thuộc bảng chữ cái và đánh vần còn chậm cũng như sai nhiều.
Vốn từ của con còn hạn chế
Con cần rèn luyện thêm về từ vựng và ngữ pháp với chương trình : GTPX Level 2</t>
  </si>
  <si>
    <t>20/6: Đã gọi nhưng mẹ không nghe máy
21/6: Đã gọi và tư vấn, mẹ cần suy nghĩ thêm
22/6: Mẹ hẹn test 13h trưa 23/6
24/6: Mẹ chuyển khoản khoá GTPX UP2 1-1</t>
  </si>
  <si>
    <t>Chị Thủy</t>
  </si>
  <si>
    <t>Cao Trí Dũng</t>
  </si>
  <si>
    <t>0932484598</t>
  </si>
  <si>
    <t>data phụ huynh giới thiệu</t>
  </si>
  <si>
    <t>20/6: gọi điện thoại hẹn lịch test vào chiều 16h t3 ngày 20/6
21/6: đã trả kq test. mẹ chốt lớp 1-2, hẹn 21/6 ck</t>
  </si>
  <si>
    <t>Mẹ Quý</t>
  </si>
  <si>
    <t>Hân</t>
  </si>
  <si>
    <t>0905200178</t>
  </si>
  <si>
    <t xml:space="preserve"> (Mẹ Gia Hân Vui 08 giới thiệu)</t>
  </si>
  <si>
    <t>Ngọc Hân - 12t
Con ngoan hiền, lễ phép.
 Tập trung khi tham gia test.
Tốc độ phản xạ: Chưa nhanh
Con có thể nghe và trả lời những câu hỏi giao tiếp cơ bản. Tuy nhiên vốn từ con hạn chế nên con chưa giao tiếp được nhiều, chưa mở rộng được chủ đề khi giao tiếp.
Con cần cải thiện phát âm, về cả độ chính xác, ngữ điệu, lưu loát và đặc biệt là các âm cuối, nối âm.
Con nắm được bảng chữ cái. Tốc độ đánh vần khá nhanh, vẫn còn nhầm chữ J và G.
Con có thể nắm được số từ 1-10 000. Tuy nhiên con vẫn còn nhầm lẫn một chút giữa chữ số hàng trăm và hàng nghìn, chưa nói số được nhanh.
Con chưa nắm được số thứ tự.
Con có những vốn từ cơ bản về các chủ đề: con vật, đồ vật vị trí, so sánh, thời tiết.
Con có thể trả lời các câu hỏi đọc hiểu nhưng con chưa áp dụng được ngữ pháp khi trả lời.
Con nắm được khái niệm một số thì trong tiếng Anh nhưng chưa áp dụng. 
Con cần rèn luyện thêm về từ vựng và ngữ pháp với chương trình VUI level 1.</t>
  </si>
  <si>
    <t>20/6: Đã gọi mẹ và hẹn test vào 9h-9h30 ngày 21/6
21/6: Đã test
21/6: đã chốt khoá học</t>
  </si>
  <si>
    <t>My Trinh Tran</t>
  </si>
  <si>
    <t>Khánh An</t>
  </si>
  <si>
    <t>0984345798</t>
  </si>
  <si>
    <t>Khánh An
Con ngoan hiền, lễ phép.
Vì camera của con bị hư nên cô chưa kiểm tra được độ tập trung của con
Tốc độ phản xạ: Khá ổn
Con có thể nghe và trả lời những câu hỏi giao tiếp cơ bản và có thể nghe hiểu tốt các câu hỏi của cô.
Con cần cải thiện phát âm, đặc biệt là các âm cuối và nối âm.
Con nắm được tốt bảng chữ cái. Tốc độ đánh vần khá nhanh.
Con có thể nắm được số từ 1-10 000. Tuy nhiên con vẫn còn nhầm lẫn một chút giữa chữ số hàng trăm và hàng nghìn.
Con nắm được số thứ tự
Con có những vốn từ cơ bản về các chủ đề: con vật, đồ vật vị trí, so sánh, thời tiết.
Con có thể trả lời các câu hỏi đọc hiểu nhưng con chưa áp dụng được ngữ pháp khi trả lời.
Con cần rèn luyện thêm về từ vựng và ngữ pháp với chương trình GTPX Level: UP 3</t>
  </si>
  <si>
    <t xml:space="preserve">18/6: gọi điện, kb zalo, hẹn lịch test 9h30 t3 ngày 20/6
21/6: đã trả kq test. mẹ cân nhắc về học phí sẽ liên lạc lại. 23/6 gọi kéo chăm sóc tiếp. mẹ cân nhắc </t>
  </si>
  <si>
    <t>Xuân Diệu</t>
  </si>
  <si>
    <t>Lê Minh Phương</t>
  </si>
  <si>
    <t>0906433411</t>
  </si>
  <si>
    <t xml:space="preserve">Con có kỹ năng nói và thể hiện ý tưởng rất tốt. Có khă năng bắt chuyện và phát triển câu chuyện bằng tiếng Anh. Tự tin và tập trung khi tham gia test. 
Con nghe hiểu khá tốt và có vốn từ đa dạng.
Con nắm được số đến 100. Chưa nắm được chắc số thứ tự. 
Con cần luyện thêm về phát âm cả độ chính xác, lưu loát và ngữ điệu. 
Con chưa áp dụng được ngữ pháp khi giao tiếp nhiều. 
Con học với VUI level 3. </t>
  </si>
  <si>
    <t>16/6: gọi KNM
18/6: gọi KNM
20/6: MKT nhờ thầy liên hệ lại mẹ để hỏi - mẹ đồng ý nhận tư vấn - GỌI TRONG NGÀY . đã gọi mẹ bận bảo gửi thông tin về khóa học qua zalo chị rãnh chị lên xem và xếp lịch test sau
20/6: đã sắp xếp lịch test cho bé
21/6: đã trả kq test nhưng mẹ bận chưa phản hồi được
22/6: đã trả kq mẹ đang cân nhắc học phí. 23/6 nhắn tin không phản hồi</t>
  </si>
  <si>
    <t>Phạm thị thanh phương</t>
  </si>
  <si>
    <t>Lê Minh Khang</t>
  </si>
  <si>
    <t>0779794497</t>
  </si>
  <si>
    <t>20/6: Mẹ đã có gia sư cho con học rồi</t>
  </si>
  <si>
    <t>Hồng Hồng</t>
  </si>
  <si>
    <t>Minh Đức</t>
  </si>
  <si>
    <t>0972854895</t>
  </si>
  <si>
    <t>Con có nền tảng hết sức cơ bản với từ vựng và 1 số cấu trúc câu ngắn. Con học từ lộ trình đầu tiên là Starter.</t>
  </si>
  <si>
    <t>21/6: Đã gọi và hẹn lịch test 18h30 tối 24/6
24/6: Mẹ huỷ test vì bố mẹ bận
29/6: Hẹn lại lịch test  lúc 14h30 ngày 30/6
1/7: Trả test
3/7: Bố bé không đồng ý học online vì lần trước học online đã không có hiệu quả
8/7: Bố bé không đồng ý học</t>
  </si>
  <si>
    <t>Nguyen Ho Tam Anh</t>
  </si>
  <si>
    <t>Thành Vinh</t>
  </si>
  <si>
    <t>0903591986</t>
  </si>
  <si>
    <t>Thành Vinh - 10 tuổi
Con ngoan hiền và có độ tập trung khi tham gia buổi test.
Con chưa mạnh dạn trong giao tiếp.
Tốc độ phản xạ: Chưa được nhanh vì vốn từ còn hạn chế.
Con có thể nghe và trả lời những câu hỏi giao tiếp cơ bản về tên, tuổi, sở thích nhưng con chưa trả lời được câu hỏi về nơi ở, màu sắc và con vật yêu thích
Con có những vốn từ cơ bản về các chủ đề: con vật, đồ vật,...
Con chưa nói được câu hoàn chỉnh. Cấu trúc câu của con còn hạn chế.
Con cần luyện thêm phát âm, đặc biệt âm cuối và nối âm
Con có thể nhận diện tương đối bảng chữ cái nhưng đánh vần chưa được tốt
Con có thể nắm được số từ 1-12.
Vốn từ của con còn hạn chế
Con cần rèn luyện thêm về từ vựng và ngữ pháp với chương trình GTPX Level: UP 1</t>
  </si>
  <si>
    <t>21/6: chốt lịch test vào 18h tối 22/6
22/6: Bé bận nên chưa sắp lịch test được, chọn ngày khác
22/6: Chốt lịch test lại lúc 13h ngày 23/6
23/6: Đã test và hẹn tư vấn cho mẹ
28/6: Gọi nhưng mẹ ốm nên chưa tư vấn được 
3/7: Mẹ nói mẹ thích trung tâm nhưng mẹ không thích cách phát âm của giáo viên Philippin, mà giáo viên Âu Mỹ thì giá cao quá</t>
  </si>
  <si>
    <t>Nguyễn Xuân Thành</t>
  </si>
  <si>
    <t>0903337966</t>
  </si>
  <si>
    <t>Ba làm tập đoàn Mai Linh (account manager) - khả năng chốt sale cao</t>
  </si>
  <si>
    <t>21/6: Máy thuê bao
MKT đã nhắn tin fanpage - Ba đang đi Thái Lan hẹn 2 ngày nữa gọi lại (24/6)
24/6: Bố bảo bận, hẹn tối gọi anh cũng bận
19/7: Nhắn tin bố k trả lời</t>
  </si>
  <si>
    <t>Đoàn Phương Thảo</t>
  </si>
  <si>
    <t>Ngọc Huy</t>
  </si>
  <si>
    <t>0834252249</t>
  </si>
  <si>
    <t>Gọi vào buổi tối - ban ngày mẹ họp</t>
  </si>
  <si>
    <t>Con ngoan hiền và t tập trung khi tham gia test.
Con mới chỉ trả lời được câu hỏi về tên còn những câu hỏi thông tin khác con chưa trả lời được
Tốc độ phản xạ: Còn chậm
Con cần cải thiện nhiều về mặt phát âm, đặc biệt là các âm cuối.
Con nắm được số đếm từ 1 -10
Con nắm được 50% bảng chữ cái nhưng chưa đánh vần được.
Vốn từ của con còn hạn chế, con cần ở rộng vốn từ về vị trí, đồ vật, môn thể thao,...
Con chưa trả lời được câu hoàn chỉnh và còn sử dụng nhầm cấu trúc câu.
Con cần rèn luyện thêm về từ vựng và cấu trúc với chương trình GTPX:  level 1.</t>
  </si>
  <si>
    <t>21/6: đã gọi nhưng không nghe máy. Hẹn 19h tối 21/6 gọi
21/6: Đã tư vấn và hẹn lịch test vào 17h ngày 24/6, 
22/6: Tư vấn các khoá học cho mẹ và chờ mẹ xem xét
28/6: Mẹ đang họp, gọi lại sau
3/7: Nhắn tin quá  nhiều lần nhưng mẹ seen không rep
20/7: Gọi nhiều lần nhưng mẹ k nghe</t>
  </si>
  <si>
    <t>Chị Tuyên</t>
  </si>
  <si>
    <t>Ý Lam</t>
  </si>
  <si>
    <t>0933782898</t>
  </si>
  <si>
    <t>Mẹ cần tìm khóa học Online cho bé 5 tuổi</t>
  </si>
  <si>
    <t xml:space="preserve">Con có nền tảng hết sức cơ bản với từ vựng và 1 số cấu trúc câu ngắn. Con học từ lộ trình đầu tiên là Starter. </t>
  </si>
  <si>
    <t>21/6: Đã gọi tư vấn cho mẹ, hẹn thứ 6 chọn lịch test
23/6: Chốt lịch test 19h ngày 26/6/2023
28/6: tư vấn
29/6: Mẹ chốt khoá GTPX Starter 25b hoc 1-2
30/6: Mẹ đã ck</t>
  </si>
  <si>
    <t xml:space="preserve">Lê Vân Phúc Tiên </t>
  </si>
  <si>
    <t>0988476097</t>
  </si>
  <si>
    <t>Phụ huynh điền form ghi danh VUI 20/6</t>
  </si>
  <si>
    <t>Con ngoan hiền, lễ phép, khá tự tin trong giao tiếp. 
Con rất tập trung khi tham gia test.
Con nghe hiểu tốt các câu hỏi của cô và câu trả lời khá phong phú.
Tốc độ phản xạ: Khá nhanh. 
Con phát âm khá tốt, tự nhiên, con có âm cuối tuy nhiên con nối âm chưa được nhiều. Một số âm khó còn cần luyện thêm.
Con nắm được số đếm từ 1 -100 và con nắm được 80% số thứ tự
Con nắm được bảng chữ cái. Tốc độ đánh vần nhanh.
Có vốn từ khá về các chủ đề: thông tin cá nhân, đồ dùng, màu sắc, hoạt động, động vật, so sánh, thể thao.... 
Con nắm được khái niệm một số thì nhưng chưa áp dụng được.
Con cần rèn luyện thêm về từ vựng và cấu trúc với chương trình VUI level 1.</t>
  </si>
  <si>
    <t>21/6: chốt lịch test 19h tối 
22/6: Đã báo kết quả test cho mẹ và tư vấn khoá VUI level 1
22/6: Mẹ báo qua tuần sẽ xem xét lịch học cho bé vì bé còn cấn lịch môn khác
28/6: Bé cấn lịch</t>
  </si>
  <si>
    <t>Thuy Tram Nguyen</t>
  </si>
  <si>
    <t>Nguyễn Thùy Anh Thư</t>
  </si>
  <si>
    <t>0905208281</t>
  </si>
  <si>
    <t>Mẹ từng liên hệ hỏi học ở trung tâm vào năm 2021
21/6 Mẹ cmt quan tâm khóa học Phonics Fun sau đó nhắn tin hỏi học phí và lộ trình</t>
  </si>
  <si>
    <t>21/6: đã gọi nhưng mẹ không nghe máy
21/6 Khách chủ động gọi lại vào Zalo tuyển sinh của chị Ánh
21/6: đã gọi và chia sẻ thông tin khóa học. mẹ đang cân nhắc lịch test cho bé. 24/6 liên lạc nt lại nhưng không phản hồi
30/6: xếp lịch test vào buổi tối tuần sau</t>
  </si>
  <si>
    <t>Hedi Nguyen - Nguyen Ngoc Hien</t>
  </si>
  <si>
    <t>0908 328 215</t>
  </si>
  <si>
    <t xml:space="preserve">21/6: Đã gọi nhưng không nghe máy
MKT đã nhắn tin fanpage cho mẹ - gọi lúc 15h10
21/6: đã gọi và tư vấn cho mẹ, chờ lịch test
29/6: Bên mẹ mưa, mẹ k nghe được, nhắn tin hỏi lịch test nhưng mẹ k rep
3/7: Bé lên cấp 2 nên đang bận, qua 1 thời gian chị sẽ gọi lại </t>
  </si>
  <si>
    <t>Truc Uyen Le</t>
  </si>
  <si>
    <t>094 637 57 78</t>
  </si>
  <si>
    <t xml:space="preserve">21/6: gọi dt chia sẻ khóa học nhưng mẹ bỏ bé không thích học trung tâm. me cần về thương thảo lại với con. kb zalo gửi thông tin
30/6: gọi lai con ko thích học </t>
  </si>
  <si>
    <t>Nguyen Thuy</t>
  </si>
  <si>
    <t>bé Phước</t>
  </si>
  <si>
    <t>0914190955</t>
  </si>
  <si>
    <t>Mẹ ib quan tâm về học phí các khóa học</t>
  </si>
  <si>
    <t>21/6: đã gọi kb zalo và gửi thông tin khóa học. 24/6: học phí cao quá mẹ không theo được.</t>
  </si>
  <si>
    <t>Vân Anh</t>
  </si>
  <si>
    <t>Phạm Hải Băng</t>
  </si>
  <si>
    <t>0932523171</t>
  </si>
  <si>
    <t>21/6: gọi KNM
MKT đã nhắn tin fanpage cho mẹ
22/6: KNM.23/6 gọi kb zalo trao đổi thông tin.  nên gọi buổi tối sau 20h
30/6: gọi nhưng hiện tại bé đang ở quê nghỉ hè nên ko tham gia test được. mẹ sẽ liên hệ lại sau
12/7: gọi mẹ k nhu cầu từ chối</t>
  </si>
  <si>
    <t>Mẹ Thu</t>
  </si>
  <si>
    <t>Khôi</t>
  </si>
  <si>
    <t>0935209089</t>
  </si>
  <si>
    <t>Bé đã học tiếng anh ở trung tâm với giáo viên rồi. 
Mẹ muốn bé có thêm khoá học học thêm</t>
  </si>
  <si>
    <t>Khôi
Con ngoan hiền, lễ phép. Tập trung khi tham gia buổi test.
Tốc độ phản xạ: Chưa được nhanh
Con trả lời được các câu hỏi thông tin cá nhân cơ bản. Tuy nhiên con vẫn còn bị nhầm lẫn giữa hai câu hỏi "How old are you?" và "How are you?"
Con phát âm chưa được rõ, đặc biệt là các âm cuối và chưa có nối âm.
Con chưa dùng được câu hoàn chỉnh nhiều. Cấu trúc các câu còn hạn chế.
Con có thể nắm được số từ 1-13
Con chưa thuộc bảng chữ cái và chưa biết đánh vần
Con có vốn từ cơ bản về đồ vật, con vật, một số vị trí nhưng vốn từ về các chủ đề khác thì còn hạn chế
Con cần rèn luyện thêm về từ vựng và cấu trúc câu với chương trình : GTPX Level 1</t>
  </si>
  <si>
    <t>21/6: Đã gọi tư vấn và set lịch vào thứ 7 lúc 11h
24/6: Đổi lịch test sang 19h ngày 26/6
26/6: Đã test đã trả kết quả
29/6: Đợi mẹ liên hệ
3/7: Bé đang cấn lịch, liên hệ sau</t>
  </si>
  <si>
    <t>Đỗ Hằng</t>
  </si>
  <si>
    <t>Nguyễn Minh Khánh</t>
  </si>
  <si>
    <t>0913690239</t>
  </si>
  <si>
    <t>Minh Khánh
Con ngoan hiền, lễ phép. Tập trung khi tham gia buổi test.
Tốc độ phản xạ: Chưa được nhanh
Con chưa trả lời được những câu hỏi thông tin cá nhân cơ bản.
Con phát âm chưa được rõ, đặc biệt là các âm cuối và chưa có nối âm.
Con chưa dùng được câu hoàn chỉnh nhiều. Cấu trúc các câu còn hạn chế.
Con có thể nắm được số từ 1-11
Con chưa thuộc bảng chữ cái và chưa biết đánh vần
Vốn từ của con còn hạn chế
Con cần rèn luyện thêm về từ vựng và ngữ pháp với chương trình : GTPX Level 1</t>
  </si>
  <si>
    <t>21/6: đã gọi, kb zalo và trao đổi lịch test cho mẹ. sắp xếp lịch test 22/6. 22/6 trả kq test tư vấn kĩ.</t>
  </si>
  <si>
    <t>Nộp nốt nửa khóa còn lại</t>
  </si>
  <si>
    <t>NPBT</t>
  </si>
  <si>
    <t>Truong Hoang</t>
  </si>
  <si>
    <t>Trương Nguyễn Anh Khôi</t>
  </si>
  <si>
    <t>16 tuổi</t>
  </si>
  <si>
    <t>0903667672</t>
  </si>
  <si>
    <t>Xin chào, cho mình thông tin về khoá học cho trẻ 16/14/10 tuổi.
Phụ huynh muốn bé học lớp VUI</t>
  </si>
  <si>
    <t>Con ngoan hiền, lễ phép. Con tập trung khi tham gia buổi test.
Tốc độ phản xạ: Con vẫn nhanh nhẹn tuy nhiên vẫn chưa nhanh vì vốn từ còn hạn chế.
Con có thể nghe và trả lời những câu hỏi giao tiếp cơ bản về tên, tuổi, nơi ở, sở thích,...
Phát âm còn phải điều chỉnh nhiều về cả độ chính xác, lưu loát và ngữ điệu. Chưa có âm cuối đầy đủ và chưa nối âm.
Con chưa dùng được câu hoàn chỉnh. Cấu trúc các câu còn hạn chế.
Con có thể nắm được số từ 1-100. Còn lỗi 1 số chỗ.
Con thuộc bảng chữ cái. Đánh vần với tốc độ nhanh.
Con chưa sử dụng được ngữ pháp khi nói. 
Con cần rèn luyện thêm về từ vựng và ngữ pháp với chương trình: Kèm SGK.</t>
  </si>
  <si>
    <t>22/6: Gọi tư vấn rồi và sẽ hẹn lịch test cho bé lúc 9h30 ngày 23/6 
23/6: Đã test, hẹn 4h chiều tư vấn ưu đãi 
24/6: Chốt khoá học kèm Ngữ pháp 1-1 học 25 buổi</t>
  </si>
  <si>
    <t>Trương Nguyễn Hoàng Bách</t>
  </si>
  <si>
    <t>14 tuổi</t>
  </si>
  <si>
    <t>Phụ huynh muốn bé học lớp VUI</t>
  </si>
  <si>
    <t>Con ngoan hiền, lễ phép, dạn dĩ trong giao tiếp, có chủ động đặt câu hỏi tương tác.
Con tập trung khi tham gia buổi test.
Tốc độ phản xạ: Khá nhanh
Con có thể nghe và trả lời những câu hỏi giao tiếp cơ bản về tên, tuổi, nơi ở, sở thích,... Con biết chủ động mở rộng chủ đề khi giao tiếp. 
Phát âm của con khá hay tuy nhiên vẫn cần điều chỉnh thêm về độ chính xác, lưu loát và ngữ điệu.
Con dùng được câu hoàn chỉnh. Tuy nhiên, cấu trúc các câu còn hạn chế.
Con có thể nắm được số từ 1-10000. Còn lỗi 1 số chỗ.
Con thuộc bảng chữ cái. Đánh vần với tốc độ nhanh.
Con chưa sử dụng được ngữ pháp khi nói. 
Con cần rèn luyện thêm về từ vựng và ngữ pháp với chương trình: VUI Level 1.</t>
  </si>
  <si>
    <t xml:space="preserve">22/6: Gọi tư vấn rồi và sẽ hẹn lịch test cho bé lúc 10h ngày 23/6
23/6: Đã test, hẹn 4h chiều tư vấn ưu đãi 
24/6: Chốt khoá học VUI 26/6, 25 buổi
</t>
  </si>
  <si>
    <t>Trương Nguyễn Minh Hải</t>
  </si>
  <si>
    <t>10 tuổi</t>
  </si>
  <si>
    <t>Phụ huynh muốn bé học lớp GTPX</t>
  </si>
  <si>
    <t>Minh Hải
Con ngoan hiền, lễ phép. Tập trung khi tham gia buổi test.
Tốc độ phản xạ: Chưa được nhanh
Con trả được cô câu hỏi về tên, tuổi, màu sắc, và con vật nhưng những thông tin cá nhân khác thì con chưa trả lời được
Con phát âm chưa được rõ, đặc biệt là các âm cuối và chưa có nối âm.
Con chưa dùng được câu hoàn chỉnh nhiều. Cấu trúc các câu còn hạn chế.
Con có thể nắm được số từ 1-13
Con thuộc 70% bảng chữ cái và chưa biết đánh vần
Vốn từ của con còn hạn chế
Con cần rèn luyện thêm về từ vựng và ngữ pháp với chương trình : GTPX Level 1</t>
  </si>
  <si>
    <t>22/6: Gọi tư vấn rồi và sẽ hẹn lịch test cho bé lúc 10h30 ngày 23/6
23/6: Đã test, hẹn 4h chiều tư vấn ưu đãi 
24/6: Chốt khoá học GTPX level 1 học kèm 1-2, 25 buổi</t>
  </si>
  <si>
    <t>Nguyen Thanh Thúy</t>
  </si>
  <si>
    <t>0356 088 891</t>
  </si>
  <si>
    <r>
      <rPr>
        <rFont val="Cambria"/>
        <color rgb="FFFFFFFF"/>
        <sz val="11.0"/>
      </rPr>
      <t xml:space="preserve">Mẹ quan tâm tư vấn khóa GPTX - ghép được lớp 1 kèm 4 càng tốt  
</t>
    </r>
    <r>
      <rPr>
        <rFont val="Cambria"/>
        <b/>
        <color rgb="FFFFFFFF"/>
        <sz val="11.0"/>
      </rPr>
      <t>NHẮN TIN ZALO - MẸ KO TIỆN NGHE MÁY</t>
    </r>
  </si>
  <si>
    <t>22/6: đã gọi mẹ bận kb zalo để trao đổi thông tin.1 23/6 gọi KNM. nhắn tin zalo ko phản hồi</t>
  </si>
  <si>
    <t>Nguyễn Anh Thư</t>
  </si>
  <si>
    <t>Đinh Nguyễn Phương Nhi</t>
  </si>
  <si>
    <t>Lớp 4 lên lớp 5</t>
  </si>
  <si>
    <t>0984 991 996</t>
  </si>
  <si>
    <t>22/6: Đã gọi tư vấn cho mẹ, mẹ sẽ xem xét và chốt lịch test sau
29/6: Mẹ chưa đồng ý kết bạn Zalo
1/7: Mẹ đang cấn lịch nên chưa sắp xếp được, có gì mẹ tự liên hệ sau</t>
  </si>
  <si>
    <t>Thơ Hoàng</t>
  </si>
  <si>
    <t>Phạm Đình Hoàng Bách</t>
  </si>
  <si>
    <t>0983 242 010</t>
  </si>
  <si>
    <t>Tư vấn ngay trong ngày</t>
  </si>
  <si>
    <t>Hoàng Bách
Con ngoan hiền, lễ phép, khá tập trung cao khi tham gia buổi test.
Tốc độ phản xạ: Khá ổn
Con có thể nghe và trả lời những câu hỏi giao tiếp cơ bản và có thể nghe hiểu tốt các câu hỏi của cô.
Con dạn dĩ khi tương tác với cô
Con cần cải thiện phát âm, đặc biệt là các âm cuối và nối âm
Con nắm được tốt bảng chữ cái. Tốc độ đánh vần khá nhanh.
Con có thể nắm được số từ 1-100. Con chưa nắm được số thứ tự.
Con có những vốn từ cơ bản về các chủ đề: con vật, đồ vật vị trí,...
Con cần rèn luyện thêm về từ vựng và ngữ pháp với chương trình GTPX Level: UP 3</t>
  </si>
  <si>
    <t>22/6: gọi kb zalo, gửi thông tin khóa học, sắp xếp lịch test vào 15h thuws6 23/6. 26/6 trả kq test mẹ chưa phản hồi. nt ko trả lời, gọi ko nghe máy
4/7: nhắn tin hỏi thăm nhưng chưa phản hồi
6/7: mẹ đang sắp xếp lại thời gian chưa phản hồi</t>
  </si>
  <si>
    <t>An Trương</t>
  </si>
  <si>
    <t>0902531669</t>
  </si>
  <si>
    <t>Mẹ bảo mẹ không biết gì hết</t>
  </si>
  <si>
    <t>22/6: Đã gọi cho mẹ và  mẹ bảo không biết gì hết
24/6: Mẹ nói khi nào có nhu cầu sẽ gọi</t>
  </si>
  <si>
    <t>0379521995</t>
  </si>
  <si>
    <t>Quan Tâm khóa GTPX</t>
  </si>
  <si>
    <t>22/6: gọi nhưng con nghe máy. gọi lại sau</t>
  </si>
  <si>
    <t>Nguyễn Minh Hiếu</t>
  </si>
  <si>
    <t>Bé Diệp</t>
  </si>
  <si>
    <t>0375910541</t>
  </si>
  <si>
    <t>Mẹ đang đi công tác, qua tuần gọi lại</t>
  </si>
  <si>
    <t>22/6: Hẹn lịch test tối thứ 3 ngày 27/6
23/6: Chốt lịch test 20h, ngày 27/6/2023 
27/6: Bé k tham gia test
29/6: Qua tháng 7 tư vấn lại</t>
  </si>
  <si>
    <t>Nguyễn Thị Hồng Việt</t>
  </si>
  <si>
    <t>Bá Dương</t>
  </si>
  <si>
    <t>0384547899</t>
  </si>
  <si>
    <t>22/6: gọi nhưng mẹ bận không trao đổi được. 23/6 gọi kb zalo hẹn lịch test vào 10h sáng thứ 2 26/6
29/6 đã liên hệ lại va hẹn lịch test vào thứ 7
1/7: đã liên lạc nhắc lịch test nhưng ko nghe máy. gọi ko trả lời</t>
  </si>
  <si>
    <t>Bá Huy</t>
  </si>
  <si>
    <t>Hue Hoang</t>
  </si>
  <si>
    <t>0909161235</t>
  </si>
  <si>
    <t xml:space="preserve">Mẹ Xin hỏi học phí chương trình tiếng anh tiểu học bn/khóa 
</t>
  </si>
  <si>
    <t xml:space="preserve">22/6: Mẹ đang lái xe, hẹn gọi tối 24/6
28/6: gọi mẹ k nghe máy
4/7: Tối gọi lại </t>
  </si>
  <si>
    <t>Huỳnh Khánh Đức</t>
  </si>
  <si>
    <t>Bảo Nhân</t>
  </si>
  <si>
    <t>0988 017 444</t>
  </si>
  <si>
    <r>
      <rPr>
        <rFont val="Cambria"/>
        <b/>
        <color rgb="FFFFFFFF"/>
        <sz val="11.0"/>
      </rPr>
      <t xml:space="preserve">Nhắn tin ZALO </t>
    </r>
    <r>
      <rPr>
        <rFont val="Cambria"/>
        <color rgb="FFFFFFFF"/>
        <sz val="11.0"/>
      </rPr>
      <t>cho bố, tư vấn học phí chương trình học cho bạn 12 tuổi qua Zalo cho bố</t>
    </r>
  </si>
  <si>
    <t>22/6: đã nt  zalo để trao đổi thông tin. 26/6 sau khi trao đổi các thông tin bố từ chối cho con test và ko tham gia</t>
  </si>
  <si>
    <t>Vân Trường</t>
  </si>
  <si>
    <t>Vũ Hiểu Minh</t>
  </si>
  <si>
    <t xml:space="preserve">0973656142
</t>
  </si>
  <si>
    <r>
      <rPr>
        <rFont val="Cambria"/>
        <b/>
        <color rgb="FFFFFFFF"/>
        <sz val="11.0"/>
      </rPr>
      <t>Nhắn tin ZALO</t>
    </r>
    <r>
      <rPr>
        <rFont val="Cambria"/>
        <color rgb="FFFFFFFF"/>
        <sz val="11.0"/>
      </rPr>
      <t xml:space="preserve"> cho mẹ tư vấn khóa học phù hợp cho bé lớp 3 </t>
    </r>
  </si>
  <si>
    <t>22/6: Đã nhắn tin cho mẹ tư vấn
23/6: Mẹ đang phân vân vì sợ con học k kịp bạn 
3/7: Mẹ từ chối vì cho con học chỗ khác r</t>
  </si>
  <si>
    <t>Pa Sa</t>
  </si>
  <si>
    <t>Nguyễn Ngọc Thùy Dương</t>
  </si>
  <si>
    <t>0963 408 999</t>
  </si>
  <si>
    <r>
      <rPr>
        <rFont val="Cambria"/>
        <color rgb="FFFF0000"/>
        <sz val="11.0"/>
      </rPr>
      <t xml:space="preserve">1 bạn nhỏ hơn muốn học VUI 
Phụ huynh là </t>
    </r>
    <r>
      <rPr>
        <rFont val="Cambria"/>
        <b/>
        <color rgb="FFFF0000"/>
        <sz val="11.0"/>
      </rPr>
      <t xml:space="preserve">chú của Thầy </t>
    </r>
  </si>
  <si>
    <t>Con ngoan hiền, lễ phép. Tập trung khi tham gia buổi test.
Tốc độ phản xạ: Chưa nhanh. Con không nghe được vì con không có đủ vốn từ.
Con trả được cô câu hỏi về tên, tuổi, màu sắc, và con vật,... Nhưng chưa nhanh và cấu trúc còn hạn chế. Đa phần con sử dụng từ chứ chưa dùng được câu hoàn chỉnh.
Con phát âm khá hay. Tuy nhiên cần điều chỉnh thêm về cả độ chính xác, ngữ điệu, lưu loát, đặc biệt là các âm cuối và nối âm.
Con có thể nắm được số từ 1-100. Các số hàng 1000 con đọc được theo kiểu của năm (tách đôi thành 2 phần hàng chục)
Con thuộc 80% bảng chữ cái nhưng chưa đánh vần nhanh được. Còn sai sót.
Con cần rèn luyện thêm về từ vựng và ngữ pháp với chương trình: IELTS LV1</t>
  </si>
  <si>
    <t>22/6: Đã gọi nhưng k trả lời
24/6: Xác nhận lịch test chiều thứ 7. chiều 24/6: đã trả kq test.</t>
  </si>
  <si>
    <t>Minhtam Su</t>
  </si>
  <si>
    <t>Quốc Kiên</t>
  </si>
  <si>
    <t>0779 415 903</t>
  </si>
  <si>
    <t>Con học lại từ đầu với GTPX Starter</t>
  </si>
  <si>
    <t>22/6: gọi trao đổi, kb mes, gửi thông tin, và sắp xếp lịch test. 23/6 xếp lịch test chiều thứ 7.
30/6: từ chối vì đã tìm được bạn học chung học trực tuyến</t>
  </si>
  <si>
    <t>Nguyễn Minh Thư</t>
  </si>
  <si>
    <t>0944 392 263</t>
  </si>
  <si>
    <t>27/6: Mẹ đang cân nhắc
3/7: Nhắn tin tư vấn và hẹn test
20/7: Mẹ cho bé học r</t>
  </si>
  <si>
    <t>Doan Minh</t>
  </si>
  <si>
    <t>0905379983</t>
  </si>
  <si>
    <t>Chú họ của T (ba Minh Triều Vui04) muốn học tiếng Anh từ căn bản, mục tiêu là thi được IELTS General đạt 5.5 để định cư Úc theo diện tay nghề. OFFLINE 3 buổi/tuần x 90 phút/buổi. Cô giáo dạy.</t>
  </si>
  <si>
    <t>-24/06: Hẹn lịch test 10:00 ngày 26/06/2023</t>
  </si>
  <si>
    <t>Pham Trang</t>
  </si>
  <si>
    <t>Nguyễn Thanh Trúc</t>
  </si>
  <si>
    <t>0905 133464</t>
  </si>
  <si>
    <t>Mẹ tìm lớp phù hợp cho bạn lớp 4</t>
  </si>
  <si>
    <t>23/6: gọi trao đổi thông tin kb zalo, xếp lịch test sáng t7. 24/6 dời lịch test sang tối thứ 2. 
24/6: bùng test không vào test
25/6: liên lạc xếp lịch lại nhưng ko phản hồi
1/7: gọi lại nhưng con ko chịu test từ chối</t>
  </si>
  <si>
    <t>Hoài Lê</t>
  </si>
  <si>
    <t>Khánh Giao</t>
  </si>
  <si>
    <t>0988241543</t>
  </si>
  <si>
    <t>Đã học Starter bên trung tâm khác. Mẹ muốn bé cải thiện giao tiếp</t>
  </si>
  <si>
    <t xml:space="preserve">23/6: Đã gọi, mẹ hẹn 11h gọi lại
23/6: Đã gọi và tư vấn, đợi mẹ kết bạn zalo, mẹ nói để mẹ xem xét
29/6: Mẹ từ chối vì chưa thể tham gia </t>
  </si>
  <si>
    <t>Lieu Phan</t>
  </si>
  <si>
    <t>0332481362</t>
  </si>
  <si>
    <t>Số điện thoại check</t>
  </si>
  <si>
    <t>23/6: gọi knm</t>
  </si>
  <si>
    <t>Mẹ Bích Nhàn</t>
  </si>
  <si>
    <t>Nông Trần Bảo Khánh</t>
  </si>
  <si>
    <t>Năm nay lên lớp 5</t>
  </si>
  <si>
    <t>0988233324</t>
  </si>
  <si>
    <t>Con ngoan hiền, lễ phép. Tập trung khi tham gia buổi test. Tuy nhiên có chị của con tham gia dịch và nhắc câu trả lời nên kết quả test sẽ bị ảnh hưởng. 
Tốc độ phản xạ: Chậm. Phụ thuộc hoàn toàn vào chị để dịch ra tiếng Việt rồi con mới đáp được. 
Con có vốn từ còn hạn chế.
Con phát âm chưa được chính xác, cần điều chỉnh thêm cả ngữ điệu, lưu loát, đặc biệt là các âm cuối và nối âm.
Con chưa dùng được câu hoàn chỉnh nhiều. Cấu trúc các câu chưa đa dạng.
Con có thể nắm được số từ 1-100. Còn nhầm các số 12, 20, 50,..
Con chưa nắm được bảng chữ cái.
Con cần rèn luyện thêm về từ vựng và ngữ pháp với chương trình : GTPX Level 1</t>
  </si>
  <si>
    <t>23/6: Set lịch test 11 giờ ngày 24/6
24/6: Mẹ chốt khoá  GTPX up1 lớp 1 kèm 2 học 25 buổi
27/6: Mẹ hẹn 28/6 chuyển
29/6: Đã chuyển học phí</t>
  </si>
  <si>
    <t>Đinh Hải Vân</t>
  </si>
  <si>
    <t xml:space="preserve">Bảo Hân </t>
  </si>
  <si>
    <t xml:space="preserve">
0905010485</t>
  </si>
  <si>
    <t>Lộ  trình và học phí cho 2 bé 6 tuổi và 12 tuổi, tư vấn qua Zalo</t>
  </si>
  <si>
    <t>Con ngoan hiền, lễ phép. 
Con rất tập trung khi tham gia test.
Tốc độ phản xạ: Chưa nhanh. Cần luyện thêm về cách phát triển chủ đề khi giao tiếp và đặt câu hỏi.
Con phát âm chưa tốt, cần luyện thêm về độ chính xác, ngữ điệu, lưu loát, âm cuối và nối âm. 
Con nắm được số đếm 1 - 10000.  Còn nhầm 1 số chỗ. 
Con nắm được bảng chữ cái. Tốc độ đánh vần khá nhanh.
Có vốn từ chưa rộng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VUI level 1.</t>
  </si>
  <si>
    <t>23/6: Hẹn lịch test lúc 8h30 sáng ngày 26/6
26/6: Đã test và tư vấn khoá
3/7: Mẹ đăng kí khoá khác cho bé rồi</t>
  </si>
  <si>
    <t>Nguyễn Thị Loan</t>
  </si>
  <si>
    <t>Nguyễn Thị Minh Tâm</t>
  </si>
  <si>
    <t>0907850185</t>
  </si>
  <si>
    <t>Mẹ điền form Vườn Ươm</t>
  </si>
  <si>
    <t>Con ngoan hiền, lễ phép. Tập trung khi tham gia buổi test.
Tốc độ phản xạ: Khá nhanh
Con trả được cô câu hỏi về tên, tuổi, màu sắc, và con vật,...
Con phát âm chưa được chính xác, cần điều chỉnh thêm cả ngữ điệu, lưu loát, đặc biệt là các âm cuối và nối âm.
Con chưa dùng được câu hoàn chỉnh nhiều. Cấu trúc các câu còn hạn chế.
Con có thể nắm được số từ 1-100. Còn nhầm các số 12, 20, 50,..
Con thuộc 80% bảng chữ cái nhưng chưa đánh vần nhanh được. Còn sai sót nhiều.
Vốn từ của con còn hạn chế
Con cần rèn luyện thêm về từ vựng và ngữ pháp với chương trình : GTPX Level 2</t>
  </si>
  <si>
    <t>thứ 3-5-7: sau 19h30</t>
  </si>
  <si>
    <t>23/6: gọi dt trao đổi, kb zalo và gửi thông tin hẹn lịch test thứ 7. 24/6 trả kq test mẹ chưa phản hồi</t>
  </si>
  <si>
    <t>Kiều Diễm</t>
  </si>
  <si>
    <t xml:space="preserve">Ngọc Như </t>
  </si>
  <si>
    <t>0989774100</t>
  </si>
  <si>
    <t>Con ngoan hiền, lễ phép. Tập trung khi tham gia buổi test.
Tốc độ phản xạ: Chưa nhanh
Con trả được cô câu hỏi về tên, tuổi, màu sắc, và con vật nhưng những thông tin cá nhân khác thì con chưa trả lời được
Con phát âm chưa được rõ, cần được luyện về cả độ chính xác, lưu loát và ngữ điệu, đặc biệt là các âm cuối và chưa có nối âm.
Con chưa dùng được câu hoàn chỉnh nhiều. Cấu trúc các câu còn hạn chế.
Con có thể nắm được số từ 1-100. Còn nhầm 1 vài số như 12, 20...
Con thuộc 80% bảng chữ cái và đánh vần còn chậm.
Vốn từ của con còn hạn chế
Con cần rèn luyện thêm về từ vựng và ngữ pháp với chương trình : GTPX Level 1</t>
  </si>
  <si>
    <t>23/6: Chốt lịch test  8h30-9h sáng 24/6
24/6: Tư vấn khoá hoc 
26/6: bố bé cho bé học ở trung tâm gần nhà rồi</t>
  </si>
  <si>
    <t>TINA</t>
  </si>
  <si>
    <t>032 957 1421</t>
  </si>
  <si>
    <t>23/6: Đã gọi nhưng không nghe máy
24/6: Máy không đổ chuông, k nghe máy
28/6: Máy k đổ chuông</t>
  </si>
  <si>
    <t>Trần Thị Diệu Xuân</t>
  </si>
  <si>
    <t>Nguyễn Minh Quân</t>
  </si>
  <si>
    <t>0974 265 057</t>
  </si>
  <si>
    <t>Mẹ điền form Phonics Fun</t>
  </si>
  <si>
    <t xml:space="preserve">Con ngoan hiền, lễ phép.
Con tập trung khi tham gia buổi test.
Tốc độ phản xạ: Khá tốt
Con có thể nghe và trả lời những câu hỏi giao tiếp cơ bản và có thể nghe hiểu khá tốt các câu hỏi của cô. Vốn từ của con khá tốt. 
Phát âm của con chưa tốt. Con cần cải thiện phát âm cả độ chính xác, ngữ điệu và lưu loát. Con sửa phát âm khá nhanh nhưng thói quen phát âm Việt hoá này cần phải luyện tập thật. bài bản mới có thể thay đổi được. 
Con nắm chưa được tốt bảng chữ cái. 
Con có thể nắm được số từ 1-10000. Tuy nhiên con vẫn còn nhầm lẫn một vài số.
Con chưa nắm được số thứ tự
Con có những vốn từ cơ bản về các chủ đề: con vật, đồ vật vị trí,...
Con cần rèn luyện thêm về từ vựng và ngữ pháp với chương trình GTPX Level: UP 3. Tuy nhiên đề xuất học kèm phát âm 1:1 với GV VN trước. Rồi chuyển lên GTPX sau. </t>
  </si>
  <si>
    <t>23/6 Kết bạn zalo, chia sẻ thông tin khóa học sắp xếp lịch test cho bé 
30/6: liên lạc xếp lịch test co bạn. 
4/7: xếp lịch test vào khung giờ tối thứ 4
6/7: trả kq test, tư vân mẹ, nhưng hiện tại tài chính mẹ chỉ phù hợp lớp 1-4
đang cân nhăc
12/7: gọi lại nhưng chưa thấy mẹ phản hồi lại
20/7: chia sẻ lớp Phonic Fun</t>
  </si>
  <si>
    <t>Nguyễn Minh Hưng</t>
  </si>
  <si>
    <t>23/6 Kết bạn zalo, chia sẻ thông tin khóa học sắp xếp lịch test cho bé 
bạn ko đồng ý tham gia test</t>
  </si>
  <si>
    <t>Hoàng Lan</t>
  </si>
  <si>
    <t>Nguyễn Lê Quỳnh Như</t>
  </si>
  <si>
    <t>0984847722</t>
  </si>
  <si>
    <t>Lớp 7 lên 8 Mẹ điền form Phonics Fun</t>
  </si>
  <si>
    <t>24/6: Mẹ nói khi nào có lịch lớp Phonics thì báo mẹ</t>
  </si>
  <si>
    <t>Bich Loan</t>
  </si>
  <si>
    <t>Phạm Minh Khang</t>
  </si>
  <si>
    <t>12 tuổi, lên lớp 6</t>
  </si>
  <si>
    <t>0916976986</t>
  </si>
  <si>
    <t>Minh Khang
Con ngoan hiền, lễ phép.
Con tập trung khi tham gia buổi test.
Tốc độ phản xạ: Khá ổn
Con có thể nghe và trả lời những câu hỏi giao tiếp cơ bản và có thể nghe hiểu tốt các câu hỏi của cô.
Con cần cải thiện phát âm, đặc biệt là các âm cuối và nối âm.
Con nắm được tốt bảng chữ cái. Tốc độ đánh vần khá nhanh.
Con có thể nắm được số từ 1-100. Tuy nhiên con vẫn còn nhầm lẫn một chút giữa số 12 và 20,
Con nắm được số thứ tự
Con có những vốn từ cơ bản về các chủ đề: con vật, đồ vật vị trí,...
Con có thể trả lời các câu hỏi đọc hiểu tuy nhiên cần đọc kĩ bài hơn khi trả lời và áp dụng ngữ pháp khi trả lời
Con cần rèn luyện thêm về từ vựng và ngữ pháp với chương trình GTPX Level: UP 3</t>
  </si>
  <si>
    <t>24/6: đã gọi và hẹn lịch test 15h30 chiều 24/6
24/6: Chốt học khoá GTPX up4 25b 1-2
28/6: Mẹ đang cân nhắc vì bé học nhiều nơi nên mẹ đang suy nghĩ có nên cho bé học không
30/6: Mẹ chốt và ck khoá GTPX level 4  kèm 1-2 học 25 buổi</t>
  </si>
  <si>
    <t>Nguyen Thi Thuong</t>
  </si>
  <si>
    <t>0916836685</t>
  </si>
  <si>
    <t>Bé nhà c ở đầu movers
Phát âm bình thường
Ngữ pháp cũng ổn nên speaking cũng khá so với tuổi
Có con mình học gần nhà
Quan tâm khóa với GV nước ngoài
(seeding từ fb Tú Vi)</t>
  </si>
  <si>
    <t>24/6: gọi nhưng bận không trao đổi được kb zalo</t>
  </si>
  <si>
    <t>GTPX 5</t>
  </si>
  <si>
    <t>Mẹ Như Khôi</t>
  </si>
  <si>
    <t>Như Khôi</t>
  </si>
  <si>
    <t>905425600</t>
  </si>
  <si>
    <t>Học GTPX 1:3 với GV Âu Mỹ, 2 buổi 1 tuần, 60 phút/ 1 buổi</t>
  </si>
  <si>
    <t>UP 5</t>
  </si>
  <si>
    <t>3-5-7:15H30</t>
  </si>
  <si>
    <t>24/6:mẹ chốt lớp 1:2 GTPX âu mỹ. đang hẹn ngày ck. 27/6: hẹn lập gr với mẹ Duy Anh để sắp xếp thời gian học và đóng hphi</t>
  </si>
  <si>
    <t>Mẹ Duy Anh</t>
  </si>
  <si>
    <t>Duy Anh</t>
  </si>
  <si>
    <t>925298698</t>
  </si>
  <si>
    <t xml:space="preserve">con chỉ cần học từ LV UP 5 </t>
  </si>
  <si>
    <t>19/6: đã liên hệ và chia sẻ khóa học GTPX. 24l6 đã liên lạc chia sẻ lại nhưng chưa thấy mẹ phản hồi
4/7: đã gọi trao đổi nhưng hiện tại bố đang ko cho con học thêm vì hết kì nghỉ hè mà học quá nhiều</t>
  </si>
  <si>
    <t>Nguyen Hong Vy</t>
  </si>
  <si>
    <t>0905645818</t>
  </si>
  <si>
    <t>24/6: Đường dây bận 
29/6: KNM</t>
  </si>
  <si>
    <t>Mẹ Dương</t>
  </si>
  <si>
    <t>0932402939</t>
  </si>
  <si>
    <t>Đã theo grapseed đến unit 10, bạn năm nay 9 tuổi</t>
  </si>
  <si>
    <t>24/6: gọi chia sẻ thông tin xếp lịch test giờ tối
Con chưa sẵn sàng học</t>
  </si>
  <si>
    <t xml:space="preserve">Mẹ Nhiên - Ba Long </t>
  </si>
  <si>
    <t xml:space="preserve">Kim Dung </t>
  </si>
  <si>
    <t>0935216190 (Số mẹ Nhiên</t>
  </si>
  <si>
    <t>905471678  (Zalo của Ba, gọi cho Ba tiện hơn)</t>
  </si>
  <si>
    <t xml:space="preserve">Bạn này ko ở Việt Nam (hình như ở Mỹ - hỏi thăm lại PH) Bố mẹ muốn cho con học GTPX để tăng khả năng nói. Tư vấn nên học với GV Âu Mỹ. </t>
  </si>
  <si>
    <t>Starter</t>
  </si>
  <si>
    <t xml:space="preserve">25/6. đã gọi dt trao đổi vs bố và mẹ. chốt học GTPX up starter gv phi.hẹn 26/6 đến trung tâm đóng học phí.
Trao đổi với bố cho con test </t>
  </si>
  <si>
    <t>Phúc Uyên</t>
  </si>
  <si>
    <t>0901131144</t>
  </si>
  <si>
    <t xml:space="preserve">cho bạn học GTPX 1:2 HOẶC 1:4 Âu Mỹ
Ghép với bạn đang chờ lớp Âu Mỹ nếu cùng Up </t>
  </si>
  <si>
    <t>26/6: Bố cân nhắc việc học online, bố sẽ tự liên lạc nếu có nhu cầu</t>
  </si>
  <si>
    <t>Hà Tiên</t>
  </si>
  <si>
    <t>Học yếu, yêu cầu test vỡ lòng</t>
  </si>
  <si>
    <t>Con ngoan hiền, lễ phép. 
Tốc độ phản xạ: Chưa nhanh. Con không có vốn từ vựng nên chưa hiểu được câu hỏi của cô.
Con mới chỉ trả lời được câu hỏi của cô về tên nhưng con chưa trả lời được những câu hỏi thông tin cá nhân khác của cô.
Con nói chưa được nhiều và vẫn còn phải điều chỉnh nhiều về mặt phát âm
Con chưa dùng được câu hoàn chỉnh.
Con có thể nắm được số từ 1-25. 
Con chưa nắm được bảng chữ cái và chưa đánh vần được.
Con có những vốn từ hạn chế về các chủ đề: con vật, đồ vật, thể thao...
Con cần rèn luyện thêm về từ vựng và ngữ pháp với chương trình : GTPX Level 1</t>
  </si>
  <si>
    <t>21/6: Set lịch test lúc 11h
21/6: Đã test, và tư vấn học kèm 1-1
22/6: Phụ huynh cho bé học ngoài vì bé quá yếu</t>
  </si>
  <si>
    <t>SGK Lớp 8</t>
  </si>
  <si>
    <t>Đinh Viết Hoàng Nam</t>
  </si>
  <si>
    <t>Sắp lên lớp 8</t>
  </si>
  <si>
    <t>Học khá</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</si>
  <si>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1-10 000.
Con còn nhầm lẫn cách đọc của số 13
Con thuộc bảng chữ cái. Đánh vần với tốc độ vừa phải.
Con có những vốn từ chưa nhiều về các chủ đề: con vật, đồ vật, thể thao...
Con chưa sử dụng được ngữ pháp khi nói. 
Con cần rèn luyện thêm về từ vựng và ngữ pháp với chương trình : GTPX Level 3.</t>
  </si>
  <si>
    <t>SGK</t>
  </si>
  <si>
    <t xml:space="preserve">21/6: Đã test và tư vấn khoá học
22/6: Phụ huynh đang cân nhắc khoá học
26/6: Chốt khoá Kèm Ngữ pháp lớp 8, học 1-1, 50 buổi </t>
  </si>
  <si>
    <t>Lê Nguyễn Ngọc Anh</t>
  </si>
  <si>
    <t>Lên lớp 5</t>
  </si>
  <si>
    <t>774193052</t>
  </si>
  <si>
    <t>Bé học trung bình, năm nay lên lớp 5</t>
  </si>
  <si>
    <t>26/6: Đã gọi và tư vấn cho mẹ qua Zalo</t>
  </si>
  <si>
    <t>Hoàng Oanh</t>
  </si>
  <si>
    <t>84985985600</t>
  </si>
  <si>
    <t>27/6: gọi chưa nghe máy
12/7: gọi lại từ chối ko nhu cầu</t>
  </si>
  <si>
    <t>Nguyễn Đăng Quang</t>
  </si>
  <si>
    <t>0905211982</t>
  </si>
  <si>
    <t>Bố hỏi học phí</t>
  </si>
  <si>
    <t>27/6: Bố không có nhu cầu</t>
  </si>
  <si>
    <t>Pham Hong Nga</t>
  </si>
  <si>
    <t>0974332338</t>
  </si>
  <si>
    <t>27/7: gọi chưa nghe máy</t>
  </si>
  <si>
    <t>Trang Tròn</t>
  </si>
  <si>
    <t>0987757806</t>
  </si>
  <si>
    <t>Mẹ đang tìm khóa với GV Âu Mỹ</t>
  </si>
  <si>
    <t>27/6: Đã tư vấn
29/6: Mẹ đã tìm được trung tâm r</t>
  </si>
  <si>
    <t>Hồng Thắm</t>
  </si>
  <si>
    <t>0393.968.983</t>
  </si>
  <si>
    <t>Nhắn tin tư vấn với mẹ qua Zalo - bé học lớp 3</t>
  </si>
  <si>
    <t>27/6: đã nt zalo và kb trao đổi thông tin
28/6: nt ko phản hồi</t>
  </si>
  <si>
    <t>Bố Luân</t>
  </si>
  <si>
    <t>Bé Hương Lâm</t>
  </si>
  <si>
    <t>Năm nay lên lớp 6</t>
  </si>
  <si>
    <t>905200977</t>
  </si>
  <si>
    <t>27/6: Hẹn lịch 28/6 test lúc 19h
29/6: Bố từ chối học on và bố đã chọn lớp off cho bé</t>
  </si>
  <si>
    <t>Đào Hương Nhi</t>
  </si>
  <si>
    <t>0935 658856</t>
  </si>
  <si>
    <t xml:space="preserve">hỏi GTPX
</t>
  </si>
  <si>
    <t>27/6: KNM
28/6: Mẹ không có nhu cầu</t>
  </si>
  <si>
    <t>0356163630</t>
  </si>
  <si>
    <t>hỏi Phonics Fun - đã báo học phí 2 triệu</t>
  </si>
  <si>
    <t>27/6:gọi nhầm số</t>
  </si>
  <si>
    <t>Lê Chúc Bảo An</t>
  </si>
  <si>
    <t>378803489</t>
  </si>
  <si>
    <t>27/6: Mẹ đang cân nhắc
26/6: Mẹ chưa chấp nhận kết bạn Zalo</t>
  </si>
  <si>
    <t>Huyen Phan</t>
  </si>
  <si>
    <t>Trương Vi Khanh</t>
  </si>
  <si>
    <t>Cbi lên lớp 5</t>
  </si>
  <si>
    <t>0935437792</t>
  </si>
  <si>
    <t>Thời khoá biểu và học phí sẽ ntn ạ?
Và cho m thêm thông tin bé 10 tuổi lớp 5 và 1 bé 4 tuổi ạ
Gửi thông tin thêm về khóa học GTPX cho mẹ qua ZALO</t>
  </si>
  <si>
    <t>Vi Khanh
Con ngoan hiền, lễ phép.
Con tập trung khi tham gia buổi test.
Tốc độ phản xạ: Khá ổn
Con có thể nghe và trả lời những câu hỏi giao tiếp cơ bản và có thể nghe hiểu tốt các câu hỏi của cô.
Con phát âm được hầu hết các từ nhưng con cần chú ý các âm cuối và nối âm
Con nắm được tốt bảng chữ cái. Tốc độ đánh vần khá nhanh.
Con có thể nắm được số từ 1-10 000 và con nắm được số thứ tự.
Con có những vốn từ cơ bản về các chủ đề: con vật, đồ vật vị trí, ngày tháng, so sánh hơn, thể thao,..
Con có thể trả lời các câu hỏi đọc hiểu tuy nhiên cần đọc kĩ bài hơn khi trả lời và áp dụng ngữ pháp khi trả lời
Con cần rèn luyện thêm về từ vựng và ngữ pháp với chương trình GTPX Level: UP 3</t>
  </si>
  <si>
    <t>27/6: Hẹn lịch test 11h30 ngày 27/6
27/6: Đã tư vấn ạ
28/6: Đã chốt khoá VUI level 1 hoc 30/7 40b</t>
  </si>
  <si>
    <t>Thái Trân</t>
  </si>
  <si>
    <t>0778012466</t>
  </si>
  <si>
    <t>27/6: đã gọi điện. kb zalo và gửi thông tin khóa hoc. sắp xếp lịch test cho bé
28/6 Nhắn tin Zalo mẹ chưa phản hồi
12/7: nt hẹn lịch test chưa thấy phản hồi</t>
  </si>
  <si>
    <t>Thanh Trâm</t>
  </si>
  <si>
    <t>Hoàng Hiếu</t>
  </si>
  <si>
    <t xml:space="preserve">0935310501 </t>
  </si>
  <si>
    <t xml:space="preserve">Con ngoan hiền, lễ phép.
Con tập trung khi tham gia buổi test.
Tốc độ phản xạ: Chưa nhanh
Con có thể nghe và trả lời những câu hỏi giao tiếp cơ bản. Vốn từ còn hạn chế. 
Con cần luyện thêm về phát âm cả độ chính xác, ngữ điệu, lưu loát và nối âm.
Con chưa nắm được tốt bảng chữ cái. Tốc độ đánh vần chậm.
Con có thể nắm được số từ 1-100. Còn lỗi 1 vài số như 50,... và con chưa nắm hết được số thứ tự.
Con chưa dùng được câu hoàn chỉnh khi trả lời.
Con cần rèn luyện thêm về từ vựng và ngữ pháp với chương trình GTPX Level: UP 2. </t>
  </si>
  <si>
    <t>27/6: Đã nhắn Zalo tư vấn
29/6: Hẹn test 19h30 ngày 29/6
30/6: Đã trả test và mẹ bảo bé không muốn học và chưa sẵn sàng học ạ.
Chăm sóc sau</t>
  </si>
  <si>
    <t>Ái Nghĩa Nguyễn</t>
  </si>
  <si>
    <t>Cao Nguyên</t>
  </si>
  <si>
    <t xml:space="preserve">0935005902
</t>
  </si>
  <si>
    <t>Con ngoan hiền, lễ phép.
Con tập trung khi tham gia buổi test.
Tốc độ phản xạ: Chưa nhanh
Con có thể nghe và trả lời những câu hỏi giao tiếp cơ bản. Vốn từ còn hạn chế. 
Con cần luyện thêm về phát âm cả độ chính xác, ngữ điệu, lưu loát và nối âm.
Con chưa nắm được tốt bảng chữ cái. Tốc độ đánh vần chậm.
Con có thể nắm được số từ 1-100. Còn lỗi 1 vài số như 50,... và con chưa nắm được số thứ tự.
Con chưa dùng được câu hoàn chỉnh khi trả lời.
Con cần rèn luyện thêm về từ vựng và ngữ pháp với chương trình GTPX Level: UP 2. 
Lưu ý: Học từ đầu chứ không ghép 1/2 khoá được.</t>
  </si>
  <si>
    <t xml:space="preserve">27/6: Set lịch test 18h ngày 28/6
28/6: đã trả test
29/6: Mẹ lo bé k học được tiếng Anh full lớp
1/7: Mẹ hẹn tối gọi
3/7: Bé không thích học nữa, mẹ nói học phí cao quá </t>
  </si>
  <si>
    <t>Thanh Cao</t>
  </si>
  <si>
    <t>Hưng</t>
  </si>
  <si>
    <t>0935683866</t>
  </si>
  <si>
    <t>Thi Flyer được điểm cao có nền - mẹ quan tâm lớp Vườn Ươm</t>
  </si>
  <si>
    <t>Con ngoan hiền, lễ phép. Con tập trung tốt khi tham gia buổi test.
Tốc độ phản xạ: Khá nhanh. 
Con nói khá tự nhiên và có thể hiểu tốt được những câu hỏi và trả lời tốt.
Con cần điều chỉnh phát âm, đặc biệt là âm cuối và nối âm.
Con có thể nghe và trả lời những câu hỏi giao tiếp cơ bản về tên, tuổi, nơi ở,...
Con biết cách mở rộng cấu trúc câu và thêm các thông tin chi tiết vào câu trả lời của con.
Con biết cách nêu lên quan điểm của mình về những vấn đề mà cô hỏi.
Con có thể nắm được số từ 1-1 000 000.
Con thuộc bảng chữ cái và có thể đánh vần tốt.
Vốn từ của con khá phong phú về con vật, đồ vật, so sánh, môn thể thao, thời tiết,...
Con có kĩ năng nghe ổn và có thể trả lời đúng các câu hỏi liên quan đến bài nghe.
Tuy nhiên con cần cải  thiện thêm kiến thức ngữ pháp về các thì. 
Kiến thức về thì của con chưa chắc.
Con cần rèn luyện thêm về từ vựng và ngữ pháp với chương trình: Vườn Ươm Level 1</t>
  </si>
  <si>
    <t>27/6 Xếp lịch test vào tuần sau, tuần này bạn bận thi vào trường chuyên cấp 2. hẹn sau 10/7 gọi lại để sắp xếp lịch test
11/7: đã liên lạc xếp lịch test</t>
  </si>
  <si>
    <t xml:space="preserve">Thùy Dương </t>
  </si>
  <si>
    <t>0379839272</t>
  </si>
  <si>
    <t>Tiếp nhận thông tin</t>
  </si>
  <si>
    <t>27/6: Đã tư vấn cho mẹ và chờ mẹ hẹn lịch test
1/7: Gọi cho mẹ, mẹ bảo có gì mẹ gọi</t>
  </si>
  <si>
    <t>Tran Thi Minh Triet</t>
  </si>
  <si>
    <t>Như Bình</t>
  </si>
  <si>
    <t>84 90 640 14 01</t>
  </si>
  <si>
    <t>Gửi Zalo thông tin khóa học</t>
  </si>
  <si>
    <t>Như Bình
Con ngoan hiền, lễ phép.
Con có thể trả lời những câu hỏi cơ bản của cô về tên, tuổi, và sở thích.
Con rất tập trung khi tham gia test.
Tốc độ phản xạ: Khá ổn. Cần luyện thêm về cách phát triển chủ đề khi giao tiếp và đặt câu hỏi.
Con có thể phát âm cơ bản nhưng cần cải thiện thêm phát âm âm cuối và nối âm.
Con có thể nắm được từ số 1 - 10 000 và con nắm được số thứ tự.
Con nắm được bảng chữ cái và đánh vần được tốt các từ.
Con có vốn từ vựng cơ bản về con vật, đồ vật, so sánh, môn thể thao, thời tiết tuy nhiên con cần cải thiện thêm từ vựng về vị trí.
Con chưa áp dụng được ngữ pháp khi nói. Cấu trúc câu chưa đa dạng. 
Con cần rèn luyện thêm về từ vựng và cấu trúc với chương trình GTPX Level 3</t>
  </si>
  <si>
    <t>27/6 Đã nhắn tin trao đổi Zalo 
29/6: xếp lịch test vào chiefu 15h thứ 6
3/7: đã trả kết quả test mẹ cân nhắc để con đi chơi xong về đăng kí khóa học
11/7: gọi dt nhưng không nghe máy
21/7: vẫn gọi trao đổi nhắc học phí nhưng chưa liên lạc dc vs mẹ</t>
  </si>
  <si>
    <t>Đặng Thanh Hải</t>
  </si>
  <si>
    <t>Linh Đan</t>
  </si>
  <si>
    <t>0935862700</t>
  </si>
  <si>
    <t>Con ngoan hiền, lễ phép. Tập trung khi tham gia buổi test. 
Tốc độ phản xạ: Chậm. Vì vốn từ còn hạn chế.
Con phát âm chưa chính xác, cần điều chỉnh thêm cả ngữ điệu, lưu loát, đặc biệt là các âm cuối và nối âm.
Con chưa dùng được câu hoàn chỉnh nhiều. Cấu trúc các câu chưa đa dạng.
Con có thể nắm được số từ 1-100. Còn nhầm các số 15, 50,..
Con chưa nắm được bảng chữ cái.
Con cần rèn luyện thêm về từ vựng và ngữ pháp với chương trình : GTPX Level 1</t>
  </si>
  <si>
    <t xml:space="preserve">27/6: Đã liên lạc với mẹ và hẹn lịch test 19h ngày 29/6
30/6: Đã trả test, 9h sáng 30/6 gọi cho mẹ
3/7: Mẹ cân nhắc lại </t>
  </si>
  <si>
    <t>Hồng Anh</t>
  </si>
  <si>
    <t>Nguyễn Lưu Gia Linh</t>
  </si>
  <si>
    <t>0935305357</t>
  </si>
  <si>
    <t>Mẹ điền form Vườn Ươm (11h 27/6)</t>
  </si>
  <si>
    <t>27/6: đã gọi kb zalo, xếp lich test khung giờ 20h. trao đổi tiếp vs phụ huynh qua zalo
29/6 nt zalo để trao đổi lịch test nhưng chưa phản hồi</t>
  </si>
  <si>
    <t>Thu Thuỷ</t>
  </si>
  <si>
    <t>Lê Quốc Trường</t>
  </si>
  <si>
    <t>Chuẩn bị lên lớp 6</t>
  </si>
  <si>
    <t>0905209955</t>
  </si>
  <si>
    <t>Quốc Trường
Con ngoan hiền, lễ phép.
Con tập trung khi tham gia buổi test.
Tốc độ phản xạ: Khá ổn
Con có thể nghe và trả lời những câu hỏi giao tiếp cơ bản về thông tin cá nhân.
Con cần cải thiện phát âm, đặc biệt là các âm cuối và nối âm.
Con nắm được tốt bảng chữ cái tuy nhiên con cần xem lại các đọc chữ H và chữ J. Tốc độ đánh vần khá nhanh.
Con có thể nắm được số từ 1-100. Tuy nhiên con vẫn còn nhầm lẫn một chút giữa số 12 và 20, Con nhầm lẫn cách đọc số 59.
Con chưa nắm được số thứ tự.
Con có những vốn từ cơ bản về các chủ đề: con vật, đồ vật vị trí,... tuy nhiên vẫn còn nhầm lẫn về 1 số vị trí.
Con có thể trả lời các câu hỏi đọc hiểu tuy nhiên cần đọc kĩ bài hơn khi trả lời và áp dụng ngữ pháp khi trả lời
Con cần rèn luyện thêm về từ vựng và ngữ pháp với chương trình GTPX Level: UP 3</t>
  </si>
  <si>
    <t>27/6: Đã nhắn tin Zalo và hẹn lịch test tối 18h30 ngày 29/6
30/6: Đã trả kết quả test
Mẹ chốt khoá GTPX up 2 học 50b 1-2</t>
  </si>
  <si>
    <t>Anh Ai Thai Thi</t>
  </si>
  <si>
    <t>0935329779</t>
  </si>
  <si>
    <t>27/6: gọi lại sau knm, đã check zalo nhưng ko kb dc. tối gọi lại
28/6: nt zalo k phản hồi</t>
  </si>
  <si>
    <t>Hoa Nguyen</t>
  </si>
  <si>
    <t>0943025737</t>
  </si>
  <si>
    <t>Mẹ cần tư vấn khóa học cho 2 bạn</t>
  </si>
  <si>
    <t>27/6: Gửi  Zalo tư vấn đợi mẹ check
3/7: Mẹ muốn để 2 bé nghỉ hè đã, khi nào có nhu cầu mẹ sẽ tự liên hệ</t>
  </si>
  <si>
    <t>27/6: Gửi Zalo tư vấn đợi mẹ check 
3/7: Mẹ muốn để 2 bé nghỉ hè đã, khi nào có nhu cầu mẹ 
sẽ tự liên hệ</t>
  </si>
  <si>
    <t>Lê Thu Giang</t>
  </si>
  <si>
    <t>Dương Quỳnh Lan</t>
  </si>
  <si>
    <t>0905265169</t>
  </si>
  <si>
    <t>Mẹ chủ động nhắn về Zalo và gọi vào hotline
Học ILA từ tháng 9 2022 đến nay - con biết phát âm chuẩn và ngữ pháp - Quan tâm khóa học Online để con rèn luyện thêm</t>
  </si>
  <si>
    <t xml:space="preserve">Con ngoan hiền, lễ phép.
Con tập trung khi tham gia buổi test.
Tốc độ phản xạ:  Khá nhanh
Con có thể nghe và trả lời những câu hỏi giao tiếp cơ bản. Vốn từ rất tốt so với độ tuổi. 
Con phát âm hay và tự nhiên.
Con nắm được bảng chữ cái. Tốc độ đánh vần khá tốt.
Con có thể nắm được số từ 1-25. 
Con dùng được câu hoàn chỉnh khi trả lời.
Con cần rèn luyện thêm về từ vựng và ngữ pháp với chương trình GTPX Level: UP 2. </t>
  </si>
  <si>
    <t>27/6 Đã gọi 13 phú trao đổi khóa học - chờ phụ huynh xếp lịch test vào thứ 5
29/6: con tuần này bận thi hẹn lịch test vào tuần sau
3/7: đã trao đổi sắp xếp lịch test vào thứ 3
5/7 đã trả kq test mẹ cần thương thảo với bố - chỉ mún tìm thêm 1 khóa phản xạ</t>
  </si>
  <si>
    <t>Zalo mẹ: Suong Nguyen</t>
  </si>
  <si>
    <t xml:space="preserve">Nguyễn Hưng </t>
  </si>
  <si>
    <t>0905818585</t>
  </si>
  <si>
    <t>Mẹ điền form VUI (mẹ điền form lúc 12h49)</t>
  </si>
  <si>
    <t>27/6: Hẹn 10h sáng mai mẹ gọi
29/6: k gọi được
1/7: Hẹn test chưa được
5/7: Mẹ đang bận</t>
  </si>
  <si>
    <t>Đặng Nguyễn Hoài An</t>
  </si>
  <si>
    <t>0935866677</t>
  </si>
  <si>
    <t>Mẹ điền form ghi danh Vườn Ươm</t>
  </si>
  <si>
    <r>
      <rPr>
        <rFont val="Cambria"/>
        <color theme="1"/>
        <sz val="11.0"/>
      </rPr>
      <t>24/6: gọi nhưng knm. 26/6</t>
    </r>
    <r>
      <rPr>
        <rFont val="Cambria"/>
        <b/>
        <color theme="1"/>
        <sz val="11.0"/>
      </rPr>
      <t xml:space="preserve"> gọi nghe máy hẹn tối gọi lại
</t>
    </r>
    <r>
      <rPr>
        <rFont val="Cambria"/>
        <color theme="1"/>
        <sz val="11.0"/>
      </rPr>
      <t>28/6 gọi lại vẫn ko nghe máy. nt zalo ko phản hồi</t>
    </r>
  </si>
  <si>
    <t>Phạm Huyền Trang</t>
  </si>
  <si>
    <t>0935465395</t>
  </si>
  <si>
    <t xml:space="preserve">23/6: gọi thuê bao. cần check lai sdt - Đã check ZALO ra SĐT 0935465395
28/6: gọi cúp ngang. </t>
  </si>
  <si>
    <t xml:space="preserve">Hải Triều </t>
  </si>
  <si>
    <t xml:space="preserve">Thiên Kim </t>
  </si>
  <si>
    <t>0905787576</t>
  </si>
  <si>
    <t>23/6:  Hẹn test 13h30 ngày 26/6
28/6: Thuê bao
1/7:  Bố mẹ đợt này bận, sau sẽ liên hệ sau
2/8: Mẹ báo mẹ tìm được giáo viên r</t>
  </si>
  <si>
    <t>Bùi Hoàng Phương Quỳnh</t>
  </si>
  <si>
    <t>0972955082</t>
  </si>
  <si>
    <t>23/6: gọi kb zalo trao đổi thông tin qua zalo với mẹ
28/6: nhắn tin zalo ko phản hồi
30/6: gọi diện knm. nt zalo ko phản hồi
4/7: có gọi nhưng ko phản hổi báo bận, nt zalo ko trả lời
21/7: gọi lại vẫn knm</t>
  </si>
  <si>
    <t>Huyen Nguyen Thi</t>
  </si>
  <si>
    <t>Nguyễn Văn Hoàng Nghĩa</t>
  </si>
  <si>
    <t>0976.598.368</t>
  </si>
  <si>
    <t>tham khảo khóa học online</t>
  </si>
  <si>
    <t>26/6: gọi dt chkb zalo chia sẻ khóa học. hẹn sắp xếp lịch test trong tuần
28/6: gọi knm, nhắn tin zalo ko phản hồi
1/7: chau đi chơi 10ngay nữa vế sẽ sx lịch test sau
12/7: nt trao đổi chưa phản hồi
21/7: gọi nhưng con ko chiu tham gia test sẽ gọi lại sau để thuyết phục con</t>
  </si>
  <si>
    <t>Trúc Quỳnh</t>
  </si>
  <si>
    <t>Trần Hoàn Kinh Luân</t>
  </si>
  <si>
    <t>Năm nay lên lớp 7</t>
  </si>
  <si>
    <t>0906536558</t>
  </si>
  <si>
    <t>Zalo Nguyen Phuong</t>
  </si>
  <si>
    <t>Bé yếu</t>
  </si>
  <si>
    <t xml:space="preserve">Con ngoan hiền, lễ phép. Tập trung khi tham gia buổi test. 
Tốc độ phản xạ: Chậm. Vì vốn từ còn hạn chế.
Con phát âm chưa chính xác, cần điều chỉnh thêm cả ngữ điệu, lưu loát, đặc biệt là các âm cuối và nối âm.
Con chưa dùng được câu hoàn chỉnh nhiều. Cấu trúc các câu chưa đa dạng.
Con có thể nắm được số từ 1-100. Còn nhầm các số 15, 25, 50,..
Con chưa nắm được bảng chữ cái. Không đánh vần được.
Con cần rèn luyện thêm về từ vựng và ngữ pháp với chương trình: Kèm 1:1 theo SGK, đề xuất học 2 buổi theo sách, 1 buổi theo GTPX Level 1. </t>
  </si>
  <si>
    <t>28/6: Mẹ đang họp, đã gửi các thông tin, 
hẹn sau 5h30 gọi lại
28/6: Đã tư vấn, mai mẹ liên lạc
29/6: Mẹ chốt lịch test 8h30 ngày 30/6
30/6: Đã trả kết quả test
30/6: Mẹ chốt khoá GTPX UP1 học 1-2, 50 buổi</t>
  </si>
  <si>
    <t>Lê Nhật Minh</t>
  </si>
  <si>
    <t>28/6: gọi trao đổi thông tin, kb zalo gủi thông tin khóa học chờ ph thảo luận với con để xếp lịch test
30/6: trao đổi để sắp xép lịch test
1/7: nt chưa phản hồi</t>
  </si>
  <si>
    <t>Lê Nhật Quang</t>
  </si>
  <si>
    <t>28/6: gọi trao đổi thông tin, kb zalo gủi thông tin khóa học chờ ph thảo luận với con để xếp lịch test
30/6: trao đổi để sắp xép lịch test</t>
  </si>
  <si>
    <t>Do Thi Thu</t>
  </si>
  <si>
    <t>394144682</t>
  </si>
  <si>
    <t xml:space="preserve">Quan tâm từ bài đăng tuyển sinh ghép lớp Phonics Fun với giá 1tr (từ tháng 6) </t>
  </si>
  <si>
    <t>28/6: gọi nhưng báo k nhu cầu, chưa có baby</t>
  </si>
  <si>
    <t>Nhim Xu</t>
  </si>
  <si>
    <t>Ngô Sơn lâm</t>
  </si>
  <si>
    <t>913636596</t>
  </si>
  <si>
    <t xml:space="preserve">Con ngoan hiền, lễ phép, dạn dĩ, tự tin.
Con tập trung khi tham gia buổi test.
Tốc độ phản xạ: Nhanh
Con có thể nghe và trả lời những câu hỏi giao tiếp cơ bản. Vốn từ khá tốt so với độ tuổi.
Giọng nói và phong thái, cử chỉ rất tự nhiên. 
Con cần luyện thêm về phát âm cả độ chính xác, ngữ điệu, lưu loát và nối âm.
Con chưa nắm được tốt bảng chữ cái. Chưa đánh vần được.
Con có thể nắm được số từ 1-20. 
Con dùng được câu hoàn chỉnh khi trả lời nhưng cấu trúc còn hạn chế.
Con cần rèn luyện thêm về từ vựng và ngữ pháp với chương trình GTPX Level: UP 1. </t>
  </si>
  <si>
    <t>28/6: gọi kb zalo hẹn lịch test vào khung giờ tối trong tuần. hẹn lịch test tói thứ 4
29/6: đã trả kq test mẹ đang cân nhắc học phí\
11/1: con đang học 1 kèm 1 hiện tại chưa kết thúc nên chưa tham gia được, từ chối</t>
  </si>
  <si>
    <t>Phượng Nguyễn</t>
  </si>
  <si>
    <t>963035538</t>
  </si>
  <si>
    <t>28/6: gọi chưa nghe máy</t>
  </si>
  <si>
    <t>Nhung Tran</t>
  </si>
  <si>
    <t>986282035</t>
  </si>
  <si>
    <t>28/6: gọi chưa nghe máy
30/6: gọi cúp ngang, ko kb zalo dc</t>
  </si>
  <si>
    <t>Nguyen Hong Chiem</t>
  </si>
  <si>
    <t>984985217</t>
  </si>
  <si>
    <t xml:space="preserve">28/6: Mẹ đang bận </t>
  </si>
  <si>
    <t>Nguyen Hoa</t>
  </si>
  <si>
    <t>385873933</t>
  </si>
  <si>
    <t>28/6: Bé đang học trung tâm khác r</t>
  </si>
  <si>
    <t>Hue Nguyen</t>
  </si>
  <si>
    <t>978885403</t>
  </si>
  <si>
    <t>28/6: Mẹ k có nhu cầu</t>
  </si>
  <si>
    <t>Phan Gấm</t>
  </si>
  <si>
    <t>977369663</t>
  </si>
  <si>
    <t>28/6: Thuê bao 
29/6: Thuê bao  + Thuê bao</t>
  </si>
  <si>
    <t>Ái Miên</t>
  </si>
  <si>
    <t>Nguyễn Đình Quốc Hưng</t>
  </si>
  <si>
    <t>0982119878</t>
  </si>
  <si>
    <t>Con ngoan hiền, lễ phép. Con tập trung tốt khi tham gia buổi test.
Tốc độ phản xạ: Khá nhanh. Con có kỹ nói tốt hơn nghe. 
Con nói khá tự nhiên và có thể hiểu tốt được những câu hỏi và trả lời ổn.
Con có thể nghe và trả lời những câu hỏi giao tiếp cơ bản về tên, tuổi, nơi ở, sở thích,..
Phát âm của con khá ổn tuy nhiên con cần chú ý các âm cuối và nối âm.
Con có thể nắm được số từ 1-10 000, tuy nhiên con nhầm lẫn cách đọc số 59.
Con nắm được số thứ tự
Con thuộc bảng chữ cái và có thể đánh vần tốt.
Con có vốn từ cơ bản về con vật, đồ vật, môn thể thao, so sánh,...
Con nắm được các kiến thức cơ bản về thì hiện tại đơn, hiện tại tiếp diễn nhưng con vẫn cải thiện thêm kiến thức về các thì khác.
Con cần cải thiện hơn về kĩ năng nghe của con.
Con cần rèn luyện thêm về từ vựng và ngữ pháp với chương trình : GTPX Level 4</t>
  </si>
  <si>
    <t xml:space="preserve">28/6: Mẹ đã nhận đủ thông tin, đợi mẹ phản hồi
30/6: Hẹn lịch test lúc 8h30 ngày 1/7
1/7: Trả kết quả test, mẹ chốt khoá học GTPX UP4 học 1-2, 25 buổi </t>
  </si>
  <si>
    <t>Hoàng Linh</t>
  </si>
  <si>
    <t>Nguyễn Đức Quyền</t>
  </si>
  <si>
    <t>0901166246</t>
  </si>
  <si>
    <t>Gửi thông tin cho mẹ qua Zalo. KHÔNG GỌI GIỜ HÀNH CHÍNH DO MẸ ĐI LÀM</t>
  </si>
  <si>
    <t xml:space="preserve">Con ngoan hiền, lễ phép.
Con tập trung khi tham gia buổi test.
Tốc độ phản xạ: Chưa nhanh vì chưa có đủ vốn từ.
Con có thể nghe và trả lời những câu hỏi về các chủ đề màu sắc, con vật, số đếm,.. Chưa trả lời về thông tin cá nhân được. 
Con cần luyện thêm về phát âm cả độ chính xác, ngữ điệu, lưu loát và nối âm.
Con nắm được 70% bảng chữ cái. Chưa đánh vần được.
Con có thể nắm được số từ 1-10. 
Con chưa dùng được câu hoàn chỉnh khi trả lời.
Con cần rèn luyện thêm về từ vựng và ngữ pháp với chương trình GTPX Level: UP Starter. </t>
  </si>
  <si>
    <t>28/6: Nhắn tin cho mẹ, hẹn lịch test 20h ngày 28/6
28/6: Đã trả test, hẹn mai mẹ gọi
30/7: Nhắn tin mẹ nói mẹ đang suy nghĩ
4/7: Học phí cao quá, mẹ k theo được</t>
  </si>
  <si>
    <t>Bố - Duy Chinh</t>
  </si>
  <si>
    <t>0981433436</t>
  </si>
  <si>
    <t>29/6: KNM
29/6: KNM
3/7: KNM
6/7: KNM</t>
  </si>
  <si>
    <t>Tuyen Thanh</t>
  </si>
  <si>
    <t>795128839</t>
  </si>
  <si>
    <t>29/6: Số máy tạm khoá</t>
  </si>
  <si>
    <t>Kim Ngọc</t>
  </si>
  <si>
    <t>Nguyễn Lê Hoàng Anh</t>
  </si>
  <si>
    <t>0905185113</t>
  </si>
  <si>
    <t>28/6 đã liên hệ mẹ và sắp xếp lịch test
29/6: xếp lịch test vào 10h sangs thứ 7
1/7: hủy lịch test dời vào lúc khác, nhưng chưa nói khi nào</t>
  </si>
  <si>
    <t>Thanh Tuyen</t>
  </si>
  <si>
    <t>Anh Hải</t>
  </si>
  <si>
    <t>Lê Nguyễn Anh Tú</t>
  </si>
  <si>
    <t>968817956</t>
  </si>
  <si>
    <t>29/6:  gọi trao dổi thông tin về lớp GTPX . bố cần về tham khảo với con về buổi test sẽ báo lại sau
30/6: đang đi công tác chưa về để trao đổi với con trai. hẹn cuối tuần gọi lại</t>
  </si>
  <si>
    <t>Lê Nguyễn Anh Tuấn</t>
  </si>
  <si>
    <t>Chị My</t>
  </si>
  <si>
    <t>Bảo Nghi</t>
  </si>
  <si>
    <t>0935075878</t>
  </si>
  <si>
    <t>Quan tâm lớp VUI</t>
  </si>
  <si>
    <t>29/6: gọi trao đổi thông tin về lớp vườn ươm, gửi thông  tin qua zalo
30/6: gọi ko nghe máy
3/7: gọi ko nghe máy, nt chưa phản rồi</t>
  </si>
  <si>
    <t>Mai Thị Yến Viên</t>
  </si>
  <si>
    <t>905358019</t>
  </si>
  <si>
    <t xml:space="preserve">29/6: Mẹ hẹn 11h30 gọi
30/6: Mẹ k kb Zalo
</t>
  </si>
  <si>
    <t xml:space="preserve">Mẹ Phương </t>
  </si>
  <si>
    <t>Hữu Phước</t>
  </si>
  <si>
    <t>0935515721</t>
  </si>
  <si>
    <t>Con ngoan hiền, lễ phép, tập trung khi tham gia test. 
Tốc độ phản xạ: Còn chậm
Con mới chỉ trả lời được câu hỏi của cô về tên của con còn những câu hỏi khác con chưa trả lời được.
Con không nói được nhiều.
Con cần cải thêm nhiều về phát âm.
Con chưa dùng được câu hoàn chỉnh. 
Con mới nắm được số từ 1-10. 
Con nắm được 50% bảng chữ cái nhưng chưa đánh vần được.
Con có vốn từ rất hẹp về tất cả các chủ đề. 
Đề xuất học chương trình GTPX Level 1.</t>
  </si>
  <si>
    <t>29/6 liên hệ gọi và sắp xếp lịch test. gửi thông tin về lớp GTPX qua zalo để mẹ nắm thông tin
30/6: xếp lịch test buổi tối thứ 2</t>
  </si>
  <si>
    <t>Nguyễn Dung</t>
  </si>
  <si>
    <t>0945355310</t>
  </si>
  <si>
    <t>30/6: liên hệ kb zalo nhưng chưa được
1/7: Không liên lạc được
12/7: Nhà chị toàn người lớn cả rồi, không có nhu cầu học</t>
  </si>
  <si>
    <t>Dương Chí Bảo</t>
  </si>
  <si>
    <t>0934446569</t>
  </si>
  <si>
    <t>30/6: liên hệ kb zalo, và xếp lịch test 16h 1/7
3/7: gọi lại để hẹn lại lịch test nhưng ko nghe máy. trước nt nhưng ko trả lời tin nhắn</t>
  </si>
  <si>
    <t>Dương Quang Vũ</t>
  </si>
  <si>
    <t>Hannah Dong</t>
  </si>
  <si>
    <t>0978388883</t>
  </si>
  <si>
    <t>30/6: Bố từ chối, giọng rất lạnh lùng</t>
  </si>
  <si>
    <t>Thanh Nhan Ha</t>
  </si>
  <si>
    <t>0914750125</t>
  </si>
  <si>
    <t>Link FB</t>
  </si>
  <si>
    <t>Liên hệ Zalo không được thì nhắn FB cá nhân</t>
  </si>
  <si>
    <t>30/6: thuê bao
6/7: gọi thuê bao</t>
  </si>
  <si>
    <t>Le Sy Dong</t>
  </si>
  <si>
    <t>0904661789</t>
  </si>
  <si>
    <t>30/6: Bố đang bận, KNC</t>
  </si>
  <si>
    <t>Thục Chinh</t>
  </si>
  <si>
    <t>0784352093</t>
  </si>
  <si>
    <t>30/6: gọi dt báo sai số
6/7: gọi  vẫn báo sai số</t>
  </si>
  <si>
    <t>Nguyễn Oanh</t>
  </si>
  <si>
    <t>0975970337</t>
  </si>
  <si>
    <t>30/6: Mẹ đang bận, k có nhu cầu</t>
  </si>
  <si>
    <t>Thuy Giang Ha</t>
  </si>
  <si>
    <t>0981 175 080</t>
  </si>
  <si>
    <t>30/6: Thuê bao
1/7: Thuê bao
2/7: Thuê bao</t>
  </si>
  <si>
    <t>Nguyễn Thị Xuân</t>
  </si>
  <si>
    <t>Nguyễn Đăng Tuấn</t>
  </si>
  <si>
    <t>0375637734</t>
  </si>
  <si>
    <t xml:space="preserve">Con ngoan hiền, lễ phép.
Con tập trung khi tham gia buổi test.
Tốc độ phản xạ: Chưa nhanh
Con có thể nghe và trả lời những câu hỏi giao tiếp cơ bản tuy nhiên con chưa trả lời được thành câu đầy đủ mà chỉ là những từ lẻ.
Con cần luyện thêm về phát âm cả độ chính xác, ngữ điệu, lưu loát và nối âm.
Con nắm được bảng chữ cái và đánh vần được các từ với tốc độ vừa phải.
Tuy nhiên con còn nhầm lẫn cách đọc chữ cái 
Con có thể nắm được số từ 1-100. Tuy nhiên con nhầm lẫn về cách đọc số 59.
Con chưa nắm được số thứ tự.
Con dùng được một số cấu trúc câu cơ bản.
Con có vốn từ cơ bản về con vật, đồ vật, vị trí, thời gian, môn thể thao, so sánh,...
Con có thể đọc hiểu và trả lời được chính xác một số câu hỏi nhưng vẫn còn một số câu con chưa hiểu được câu hỏi dẫn đến trả lời nhầm hoặc chưa trả lời được.
Con cần rèn luyện thêm về từ vựng và ngữ pháp với chương trình GTPX Level: UP 2. </t>
  </si>
  <si>
    <t>30/6: gọi kb zalo và gửi thông tin khóa học, xếp lịch test vào tối thứ 4 tuần sau
6/7: đã trả kết quả test và chốt lop 1-2 25b
10/7: bố muốn cho con học trực tiếp để củng cố sau đấy mới sang học onl</t>
  </si>
  <si>
    <t>Nguyen Phuong</t>
  </si>
  <si>
    <t>Link fb</t>
  </si>
  <si>
    <t>30/6: đã nt cho mẹ, nhưng chưa thấy phản hồi</t>
  </si>
  <si>
    <t>0977708668</t>
  </si>
  <si>
    <t>30/6: Bé đã học ở trung tâm khác rồi</t>
  </si>
  <si>
    <t>Lê Hà Giang</t>
  </si>
  <si>
    <t>0979450654</t>
  </si>
  <si>
    <t>30/6: Mẹ không có nhu cầu</t>
  </si>
  <si>
    <t>Phạm Hoa</t>
  </si>
  <si>
    <t>nguyễn thảo trang</t>
  </si>
  <si>
    <t xml:space="preserve">0986 088250 </t>
  </si>
  <si>
    <t>1/7: gọi ko nghe máy
1/7: gọi lại trao đôi thông tin, kb zalo và gửi thông tin khóa học
5/7: gọi không nghe máy
6/7: hẹn gọi lại vào buổi tối
10/7; liên lạc nhiều lần nhưng mẹ ko phản hồi</t>
  </si>
  <si>
    <t>Hồng Nhung</t>
  </si>
  <si>
    <t>Hồ Trần Vĩnh Khang</t>
  </si>
  <si>
    <t>0905636227</t>
  </si>
  <si>
    <t xml:space="preserve">Mẹ nhắn tin fanpage hỏi lớp cho 2 bạn trai lớp 7 và lớp 5. </t>
  </si>
  <si>
    <t>Con ngoan hiền, lễ phép. Tập trung khi tham gia buổi test. 
Tốc độ phản xạ: Khá nhanh.
Con phát âm chưa hay, cần điều chỉnh thêm nhiều về độ chính xác, ngữ điệu, lưu loát, đặc biệt là các âm cuối và nối âm.
Con dùng được câu hoàn chỉnh. 
Con nắm được thì hiện tại đơn, hiện tại tiếp diễn, quá khứ đơn, hiện tại hoàn thành và tương lai đơn. Tuy nhiên chưa áp dụng được tốt ngữ pháp khi nói. 
Con nghe và trả lời được các câu hỏi thông tin cơ bản: cá nhân, bạn bè, màu sắc, môn học, động vật, so sánh, thói quen,... Cần luyện thêm để phát triển chủ đề khi giao tiếp và đặt câu hỏi. 
Con nắm được bảng chữ cái. Khi đánh vần thì vẫn còn vài lỗi nhỏ. 
Con cần rèn luyện thêm về từ vựng và ngữ pháp với chương trình: VUI Level 1</t>
  </si>
  <si>
    <t>1/7: Hẹn test 9h30 ngày 3/7
3/7: Trả test
7/7: Mẹ nói bé cấn lịch, khi nào sx được mẹ liên lạc lại sau
12/7: KNM
20/7: Mẹ nói mẹ nằm viện, k biết khi nào con học, ngưng tư vấn 
2/8: Đang tư vấn lại và test 
4/8: Kết quả test up 5
8/8: Mẹ chốt khoá
11/8: Mẹ chốt khoá GTPX up5 học 25 buổi kèm 1-1</t>
  </si>
  <si>
    <t>Hồ Trần Vĩnh An</t>
  </si>
  <si>
    <t>Mẹ nhắn tin fanpage hỏi lớp cho 
2 bạn trai lớp 7 và lớp 5.</t>
  </si>
  <si>
    <t xml:space="preserve">Con ngoan hiền, lễ phép. Tập trung khi tham gia buổi test. 
Tốc độ phản xạ: Khá nhanh.
Con phát âm khá hay, tuy nhiên vẫn cần điều chỉnh thêm về độ chính xác, ngữ điệu, lưu loát, đặc biệt là các âm cuối và nối âm.
Con dùng được câu hoàn chỉnh. Tuy nhiên cấu trúc các câu chưa đa dạng.
Con nghe và trả lời được các câu hỏi thông tin cơ bản: cá nhân, bạn bè, màu sắc, môn học, động vật,... Cần luyện thêm để phát triển chủ đề khi giao tiếp và đặt câu hỏi. 
Con có thể nắm được số từ 1-1000. Các số lớn từ 1000 trở lên chưa đọc nhanh được,..
Con nắm được bảng chữ cái. Khi đánh vần thì vẫn còn vài lỗi. 
Con biết về thì hiện tại đơn, có biết về quá khứ đơn nhưng chưa áp dụng được. Chưa nắm được các thì tiếp diễn hay hoàn thành. 
Con cần rèn luyện thêm về từ vựng và ngữ pháp với chương trình: GTPX Level 3 </t>
  </si>
  <si>
    <t>1/7: Hẹn test 9h ngày 3/7
3/7: Trả test
7/7: Mẹ nói bé cấn lịch, khi nào sx được mẹ liên lạc lại sau
12/7: KNM
20/7: Mẹ nói mẹ nằm viện, k biết khi nào con học, ngưng tư vấn
8/8: Mẹ chốt khoá
11/8: Mẹ đóng học phí khoá GTPX up3 kèm 1-1 học 25 buổi</t>
  </si>
  <si>
    <t>Nguyệt Minh</t>
  </si>
  <si>
    <t>0935580010</t>
  </si>
  <si>
    <t>1/7: Mẹ đang bận. hẹn nhắn Zalo
11/7: Mẹ chưa đồng ý kb Zalo</t>
  </si>
  <si>
    <t>Lệ Thanh</t>
  </si>
  <si>
    <t xml:space="preserve">Hoàng Minh Trí </t>
  </si>
  <si>
    <t>Năm nay lên lớp 8</t>
  </si>
  <si>
    <t>0333306700</t>
  </si>
  <si>
    <t>Mẹ muốn học lại từ đầu</t>
  </si>
  <si>
    <t>Con ngoan hiền, lễ phép. Tập trung khi tham gia buổi test. Thiết bị của con bị nhỏ âm lượng nên không nghe được tốt giáo viên lắm. 
Tốc độ phản xạ: Chậm. Vì vốn từ còn hạn chế.
Con phát âm chưa chính xác, cần điều chỉnh thêm cả ngữ điệu, lưu loát, đặc biệt là các âm cuối và nối âm.
Con chưa dùng được câu hoàn chỉnh. Chủ yếu dùng từ lẻ để trả lời. Cấu trúc các câu chưa đa dạng.
Con có thể nắm được số từ 1-100. Còn nhầm các số 12, 20,..
Con chưa nắm được bảng chữ cái. Không đánh vần được.
Con cần rèn luyện thêm về từ vựng và ngữ pháp với chương trình: Kèm 1:1 theo SGK, đề xuất học 1-2 buổi theo sách, 1-2 buổi theo GTPX Level 1.</t>
  </si>
  <si>
    <t>1/7: Hẹn lịch test 3/7 lúc 14h
3/7: Trả test + tư vấn
3/7: Mẹ chốt khoá Kèm ngữ pháp 1-1 học 25 buổi
Mẹ đã ck</t>
  </si>
  <si>
    <t xml:space="preserve">Mẹ Hồng Thanh </t>
  </si>
  <si>
    <t>0911369055</t>
  </si>
  <si>
    <t>1/7: Tư vấn và hẹn lịch test
3/7: Mẹ báo đã chọn trung tâm học offline cho con r</t>
  </si>
  <si>
    <t>An Boutique</t>
  </si>
  <si>
    <t>0399298886</t>
  </si>
  <si>
    <t>Mình cần lớp tiếng anh giao tiếp cho bé 8 tuổi. Học online.</t>
  </si>
  <si>
    <t>1/7: Mẹ nói nhắn tin Zalo tư vấn</t>
  </si>
  <si>
    <t>Hoàng Luân</t>
  </si>
  <si>
    <t>982758736</t>
  </si>
  <si>
    <t>Mất gốc, cần học cấp tốc để đi du học
Chị của Phương Nga VUI06</t>
  </si>
  <si>
    <t>1/7: Mẹ hẹn tối gọi lại nói chuyện</t>
  </si>
  <si>
    <t>Từ Thảo</t>
  </si>
  <si>
    <t>0989006973</t>
  </si>
  <si>
    <t>GỌI NGAY TRONG SÁNG</t>
  </si>
  <si>
    <t>3/7: Không nghe máy
3/7: Đã tư vấn, đợi hẹn test
5/7: Mẹ không nghe máy
5/7: Đã gọi mẹ bảo có gì mẹ liên hệ sau
21/7: Chị k có nhu cầu</t>
  </si>
  <si>
    <t>Oanh Nguyen</t>
  </si>
  <si>
    <t>Hoàng KHải Anh</t>
  </si>
  <si>
    <t>0912268245</t>
  </si>
  <si>
    <t>Con ngoan hiền, lễ phép. Tập trung khi tham gia buổi test. 
Tốc độ phản xạ: Khá nhanh. Con hiểu nhanh nhưng vẫn còn ậm ừ trước khi trả lời.
Con nghe và trả lời được các câu hỏi thông tin cơ bản: cá nhân, bạn bè, màu sắc, môn học, động vật, so sánh, thói quen,... 
Con dùng được câu hoàn chỉnh. Biết phát triển chủ đề khi nói. Con diễn đạt được về một chủ đề ngắn.
Con phát âm khá tốt, vẫn cần điều chỉnh thêm nhiều về độ chính xác, ngữ điệu, lưu loát, đặc biệt là các âm cuối và nối âm.
Con chưa nắm được thì và chưa áp dụng được tốt ngữ pháp khi nói. 
Con nắm được bảng chữ cái. Khi đánh vần thì vẫn còn vài lỗi nhỏ. 
Con cần rèn luyện thêm về từ vựng và ngữ pháp với chương trình: GTPX UP4</t>
  </si>
  <si>
    <t>3/7: đã gọi trao đổi thông tin, hẹn lịch test vào chiều thứ 4 15h
6/7: trả kq test nhưng chưa thấy mẹ phản hồi
8/7: gọi trả kq nhưng con ko chịu học mẹ muốn vào năm mới đăng kí cho bạn</t>
  </si>
  <si>
    <t>Eny Phuc</t>
  </si>
  <si>
    <t>563759630</t>
  </si>
  <si>
    <t>3/7: Thuê bao</t>
  </si>
  <si>
    <t>Bảo Ngọc</t>
  </si>
  <si>
    <t>0935071358</t>
  </si>
  <si>
    <t>- Đã gửi bảng giá TOEIC ưu đãi tháng 5, tư vấn bạn học khóa toeic kèm - gọi tư vấn về học phí</t>
  </si>
  <si>
    <t>3/7: Không có nhu cầu</t>
  </si>
  <si>
    <t>Hạnh Hằng</t>
  </si>
  <si>
    <t>0796 761 909</t>
  </si>
  <si>
    <r>
      <rPr>
        <rFont val="Cambria"/>
        <color theme="1"/>
        <sz val="11.0"/>
      </rPr>
      <t xml:space="preserve">Gửi thông tin khóa giao tiếp quốc tế qua </t>
    </r>
    <r>
      <rPr>
        <rFont val="Cambria"/>
        <b/>
        <color theme="1"/>
        <sz val="11.0"/>
      </rPr>
      <t>ZALO</t>
    </r>
    <r>
      <rPr>
        <rFont val="Cambria"/>
        <color theme="1"/>
        <sz val="11.0"/>
      </rPr>
      <t xml:space="preserve"> (gửi bảng giá GTPX) hoặc hỏi lại chị Yến giúp em</t>
    </r>
  </si>
  <si>
    <t>Hoàng Long</t>
  </si>
  <si>
    <t>0868 238 537</t>
  </si>
  <si>
    <r>
      <rPr>
        <rFont val="Cambria"/>
        <color theme="1"/>
        <sz val="11.0"/>
      </rPr>
      <t xml:space="preserve">Gửi thông tin tư vấn lớp </t>
    </r>
    <r>
      <rPr>
        <rFont val="Cambria"/>
        <b/>
        <color theme="1"/>
        <sz val="11.0"/>
      </rPr>
      <t>TOEIC qua ZALO</t>
    </r>
  </si>
  <si>
    <t>3/7: Đã tư vấn</t>
  </si>
  <si>
    <t>Phượng Thủy</t>
  </si>
  <si>
    <t>Đặng Tùng Quân</t>
  </si>
  <si>
    <t>0983672610</t>
  </si>
  <si>
    <t xml:space="preserve">Mẹ hỏi có lớp OFF ko? </t>
  </si>
  <si>
    <t>3/7: đã gọi dt trao đổi thông tin, nhưng mẹ vẫn đang cân nhắc vì hiện tại con cũng đang học 1 lớp online r
 đã nt trao đổi nhưng mẹ vẫn muốn tìm lớp off cho con</t>
  </si>
  <si>
    <t>Phạm Cúc</t>
  </si>
  <si>
    <t>0399184379</t>
  </si>
  <si>
    <t>3/7: Mẹ không có nhu cầu</t>
  </si>
  <si>
    <t>Mến Phạm</t>
  </si>
  <si>
    <t>0986366123</t>
  </si>
  <si>
    <t>3/7: gọi ko nghe máy
4/7: gọi lại sau ko nghe máy</t>
  </si>
  <si>
    <t>Loan Nguyen</t>
  </si>
  <si>
    <t>Trần Nguyễn Cát Tường</t>
  </si>
  <si>
    <t>0937776285</t>
  </si>
  <si>
    <t>Con ngoan hiền, lễ phép. 
Con chú ý khi tham gia test tuy nhiên đôi lúc hơi bị xao nhãng.
Tốc độ phản xạ: con phản xạ ổn nhưng đôi lúc con phản xạ chưa được nhanh.
Con trả lời được một số những câu hỏi cơ bản về thông tin cá nhân và sở thích tuy nhiên con vẫn còn nhầm lẫn giữa một số những câu hỏi như "How old are you?" và "How are you?".
Có một số câu hỏi con chưa hiểu được tốt như câu hỏi "How many people in your family?", "How old is your sister?"
Con phát âm được các từ cơ bản tuy nhiên con cần cải thiện phát âm âm cuối và nối âm.
Con chủ yếu dùng từ lẻ để trả lời các câu hỏi của cô.
Con nắm được bảng chữ cái và có thể đánh vần các từ với tốc độ vừa phải.
Con có thể nắm được số từ 1-12. Con còn đôi chút nhầm lẫn khi trả lời câu hỏi về số lượng.
Con có vốn từ về đồ vật, con vật, thời gian tuy nhiên con chưa có nhiều vốn từ về vị trí, môn thể thao, môn học,..
Con cần rèn luyện thêm về từ vựng và ngữ pháp với chương trình: GTPX Level 1</t>
  </si>
  <si>
    <t>3/7:  Hẹn test lúc 20h ngày 4/7
5/7: Trả test
7/7:  Mẹ nói bé Tường k tập trung</t>
  </si>
  <si>
    <t xml:space="preserve">Trần Tuệ Tâm </t>
  </si>
  <si>
    <t>Vốn từ ít do không chịu học từ vựng, ngữ pháp ổn</t>
  </si>
  <si>
    <t>Con ngoan hiền, lễ phép. Tập trung khi tham gia buổi test. 
Tốc độ phản xạ: Chậm. Vì vốn từ còn hạn chế.
Con phát âm chưa chính xác, cần điều chỉnh thêm cả ngữ điệu, lưu loát, đặc biệt là các âm cuối và nối âm.
Con chưa dùng được câu hoàn chỉnh. Chủ yếu dùng từ lẻ để trả lời. Cấu trúc các câu chưa đa dạng.
Con có thể nắm được số từ 1-10.
Con nắm được 80% bảng chữ cái. Đánh vần chậm
Con cần rèn luyện thêm về từ vựng và ngữ pháp với chương trình: GTPX Level 1.</t>
  </si>
  <si>
    <t>3/7: Hẹn test lúc 18:30 ngày 3/7
3/7: Trả test
7/7: Mẹ nói mẹ đang thuyết phục bé Tâm</t>
  </si>
  <si>
    <t>Loan Nguyễn</t>
  </si>
  <si>
    <t>38 tuổi</t>
  </si>
  <si>
    <t>Mẹ muốn học giao tiếp người lớn, sau đó hướng mục tiêu về 4 kỹ năng: Nghe Nói, Đọc,Viết</t>
  </si>
  <si>
    <t>"Chị tập trung và tích cực tương tác xuyên suốt buổi test.
Tốc độ phản xạ: khá ổn
Chị có thể trả lời được những câu hỏi thông tin cơ bản về tên, tuổi, nơi ở, sở thích,..
Tuy nhiên chị chưa sử dụng được đúng được các cấu trúc câu.
Chị có thể phát âm được các từ cơ bản tuy nhiên chị cần cải thiện thêm phát âm để phát âm đúng, một số từ bị thiếu âm cuối và chưa có ngữ điệu và nối âm khi nói.
Chị nắm được tốt bảng chữ cái và tốc độ đánh vần nhanh.
Chị có thể nắm được chắc từ số 1 -100 tuy nhiên chị bị nhầm lẫn cách đọc giữa số 1000 và 1 000 000.
Chị có vốn từ cơ bản về các chủ đề như con vật, đồ vật, thời gian tuy nhiên chị chưa nắm được các từ vựng chỉ vị trí và còn nhầm lẫn từ vựng giữa các môn thể thao.
Chị cần cải thiện thêm kiến thức ngữ pháp về các thì. 
Chị nên học cải thiện phát âm trước sau đó tập trung vào phát triển kĩ năng nghe và kĩ năng nói."</t>
  </si>
  <si>
    <t>3/7: Hẹn test 20h ngày 6/7
7/7: Trả test, mẹ bảo mẹ tháng 8 mới đăng kí</t>
  </si>
  <si>
    <t>Chị Phượng</t>
  </si>
  <si>
    <t>Sofia</t>
  </si>
  <si>
    <t>0935 046 093</t>
  </si>
  <si>
    <t>Mẹ Trang</t>
  </si>
  <si>
    <t>0359124365</t>
  </si>
  <si>
    <t>3/7: gọi cúp máy ngang
4/7: vẫn cúp máy ngang</t>
  </si>
  <si>
    <t>Liên Ngô</t>
  </si>
  <si>
    <t>0332498702</t>
  </si>
  <si>
    <t>3/7: gọi ko nghe máy
4/7: gọi cúp ngang</t>
  </si>
  <si>
    <t>Mẹ Cẩm Vân</t>
  </si>
  <si>
    <t xml:space="preserve">Nguyễn Đăng Khôi </t>
  </si>
  <si>
    <t>0966291117</t>
  </si>
  <si>
    <t>Con ngoan hiền, lễ phép. Tập trung khi tham gia buổi test. 
Tuy nhiên còn còn hơi ngại khi giao tiếp với cô
Tốc độ phản xạ: chưa được nhanh
Vào đầu buổi test con còn khá ngại với cô nên con chưa nói được nhiều. Nhưng khi con làm quen với cô thì con có thể trả lời được một số những câu hỏi về màu sắc và con vật.
Con chưa dùng được câu hoàn chỉnh. Chủ yếu dùng từ lẻ để trả lời. Cấu trúc các câu chưa đa dạng.
Con có thể nắm được số từ 1-100.
Khi cô hỏi con về bảng chữ cái thì con chưa nói được nhiều và con cũng chưa đánh vần được.
Con cần rèn luyện thêm về từ vựng và ngữ pháp với chương trình: GTPX Level 1.</t>
  </si>
  <si>
    <t>3/7: Đã liên hệ và set lịch test
4/7: Chốt và ck khoá GTPX up1 25b học 1-2</t>
  </si>
  <si>
    <t>Lê Thị Lâm</t>
  </si>
  <si>
    <t>Nguyễn Bảo Chi</t>
  </si>
  <si>
    <t>0973040296</t>
  </si>
  <si>
    <t>4/7: xếp lịch test vào thứ 4. có kq tư vấn tiếp
5/7: mẹ báo con ko chịu học ko chịu tham gia test để mẹ làm việc với con liên lạc sau</t>
  </si>
  <si>
    <t>Lê Nguyễn Thanh Tâm</t>
  </si>
  <si>
    <t>36 tuổi</t>
  </si>
  <si>
    <t>0965174365</t>
  </si>
  <si>
    <t>Học giao tiếp người lớn để trao dồi tốt hơn data từ thầy về</t>
  </si>
  <si>
    <t>4/7: Hẹn test lúc 14h ngày 4/7
4/7: k tham gia test, hẹn ngày khác</t>
  </si>
  <si>
    <t>Dương huyền chi</t>
  </si>
  <si>
    <t>0964884366</t>
  </si>
  <si>
    <t>Liên hệ tối hoặc cuối tuần.
bé lớp 1 chưa học tiếng Anh, có thể ghép vào starter (từ FB Tú Vi)</t>
  </si>
  <si>
    <t>4/7: gọi trao đổi mẹ từ chối tham gia test vì muốn tìm lớp off</t>
  </si>
  <si>
    <t>Huệ Thanh</t>
  </si>
  <si>
    <t>Hoàng Nguyên Thảo</t>
  </si>
  <si>
    <t>0935283344</t>
  </si>
  <si>
    <t>Mẹ Huệ có con lớp 9 lên 10 bị mất gốc tiếng Anh. Tư vấn 1:1 online</t>
  </si>
  <si>
    <t>Nguyên Thảo- 14 tuổi
Con ngoan hiền và có độ tập trung cao khi tham gia buổi test.
Con tích cực tương tác với cô.
Tốc độ phản xạ: khá ổn
Con có thể nghe và trả lời những câu hỏi giao tiếp cơ bản về tên, tuổi, nơi ở, sở thích,...
Con phát âm được các từ cơ bản nhưng con cần cải thiện thêm về việc phát âm âm cuối và nối âm.
Con nghe hiểu và trả lời được các câu hỏi của cô. 
Con có thể nắm được số từ 1-10 000.
Con nắm được số thứ tự
Con nắm được bảng chữ cái và đánh vần với tốc độ nhanh
Con có những vốn từ cơ bản về các chủ đề: con vật, đồ vật, môn thể thao, vị trí, thời tiết, ngày tháng,..
Con cần cải thiện thêm về kĩ năng nghe.
Con có kiến thức cơ bản về thì hiện tại đơn, hiện tại tiếp diễn, hiện tại hoàn thành, tương lai đơn tuy nhiên con nắm kiến thức của con chưa chắc. Đặc biệt con cần ôn lại cấu trúc câu của thì hiện tại tiếp diễn. Con thiếu động từ tobe khi làm bài tập về thì hiện tại tiếp diễn</t>
  </si>
  <si>
    <t>4/7: Hẹn test 15h30 ngày 4/7
Mẹ chốt khoá kèm Ngữ pháp 1-1 50b</t>
  </si>
  <si>
    <t>Minh Giao</t>
  </si>
  <si>
    <t>Khải Huân</t>
  </si>
  <si>
    <t>0908542756</t>
  </si>
  <si>
    <t>Con ngoan hiền, lễ phép, tập trung khi tham gia test. 
Tốc độ phản xạ: Đoạn đầu khi tham gia test tốc độ phản xạ của con còn khá chậm nhưng về sau con có cải thiện hơn.
Con trả lời được câu hỏi của cô về tên, tuổi, màu sắc và con vật yêu thích, tuy nhiên con chưa trả được câu hỏi "How are you?" và còn nhầm lẫn một chút khi cô hỏi về số lượng thành viên trong gia đình. Con có thể liệt kê được các thành viên trong gia đình.
Con phát âm được các từ cơ bản tuy nhiên nhiều âm còn chưa hoàn thiện, con thiếu nối âm và độ lưu loát.
Con dùng được ít câu hoàn chỉnh, chủ yếu con dùng từ lẻ để trả lời.
Con mới nắm được số từ 1-20. 
Con nắm được cơ bản bảng chữ cái tuy nhiên có một số từ vựng con nắm chưa chắc như J, T, V, P, I.
Con đánh vần được tuy nhiên tốc độ chưa được nhanh.
Con có vốn từ cơ bản về đồ vật, con vật, một số từ vựng về vị trí tuy nhiên con chưa nắm được từ vựng về thời gian, môn học.
Con trả lời được câu hỏi của cô về so sánh hơn và so sánh nhất.
Có một số câu hỏi con dựa trên gợi ý của mẹ để trả lời.
Con cần rèn luyện thêm về từ vựng và ngữ pháp với chương trình: GTPX UP1</t>
  </si>
  <si>
    <t>2-4-6: 19h30</t>
  </si>
  <si>
    <t>4/7: con đang học trường quốc tế, học chương trình graphic mong muốn con rèn luyện kĩ năng phản xạ. gửi thông tin xêp lịch test vào tối thứ 6
7/7": trả kết quả test, sau 25/7 con kêt thúc lớp học trực tiếp sẽ đăng kí, chăm sóc tiếp</t>
  </si>
  <si>
    <t>Thanh Tâm</t>
  </si>
  <si>
    <t xml:space="preserve">Nguyễn Minh Đức </t>
  </si>
  <si>
    <t>sang năm lớp 1. Đã làm quen rồi</t>
  </si>
  <si>
    <t>Con ngoan hiền, lễ phép. Tập trung khi tham gia buổi test. Dạn dĩ trong giao tiếp.
Tốc độ phản xạ: Khá nhanh. 
Con nghe và trả lời được các câu hỏi thông tin cơ bản: cá nhân, màu sắc, môn học, động vật, đồ vật... 
Con dùng được câu hoàn chỉnh ngắn. Vốn từ rất tốt so với độ tuổi. 
Con phát âm khá tốt, vẫn cần điều chỉnh thêm về độ chính xác, ngữ điệu, lưu loát, đặc biệt là các âm cuối và nối âm.
Con nắm được 80% bảng chữ cái. Vẫn còn vài lỗi nhỏ. Chưa kiêm tra được tốc độ đánh vần vì con không nhìn thấy được slide.
Con nắm được số đến 13. Từ 20 trở lên con chưa biết. 
Con cần rèn luyện thêm về từ vựng và ngữ pháp với chương trình: GTPX UP1</t>
  </si>
  <si>
    <t>5/7:gọi trao đổi thông tin, hẹn lịch test vào tối 5/7
6/7: trả kq test tư vấn tiếp
7/7: mẹ chưa biết lịch học trên trường của con nên chưa xếp dược lịch, có gì báo sau
11/7: liên lạc lại nhưng chưa thấy mẹ phản hồi</t>
  </si>
  <si>
    <t>phương thảo</t>
  </si>
  <si>
    <t>18 tuổi</t>
  </si>
  <si>
    <t>5/7: gọi bận có nt zalo hẹn tối trao đổi cụ thể
7/7: đã gọi lại trao đổi cân nhắc tháng 8 mới bắt đầu học</t>
  </si>
  <si>
    <t>mẹ Hồng Hoa</t>
  </si>
  <si>
    <t>Trẻ em (6-14 tuổi)</t>
  </si>
  <si>
    <t>5/7: gọi ko nghe máy gọi lại sau</t>
  </si>
  <si>
    <t>Nguyên</t>
  </si>
  <si>
    <t>5/7: gọi như sóng yếu hẹn tối gọi lại</t>
  </si>
  <si>
    <t>Nguyễn Hồng Thủy</t>
  </si>
  <si>
    <t>Trí Tâm</t>
  </si>
  <si>
    <t>đỗ thanh</t>
  </si>
  <si>
    <t xml:space="preserve">bùi hà phương </t>
  </si>
  <si>
    <t>cho bé 11 tuổi</t>
  </si>
  <si>
    <t>Hà Phương
Con ngoan hiền, lễ phép.
Con tập trung khi tham gia test.
Tốc độ phản xạ: Chưa được nhanh
Con có thể trả lời những câu hỏi cơ bản về thông tin cá nhân tuy nhiên trong quá trình test con chưa hiểu được tốt một số những câu hỏi của cô.
 Con cần luyện thêm về cách phát triển chủ đề khi giao tiếp và đặt câu hỏi.
Con chưa hiểu rõ nghĩa của một số câu hỏi như "Who are they?", "What are these?", "What are they?"
Con có thể phát âm cơ bản nhưng cần cải thiện thêm phát âm âm cuối và nối âm.
Con có thể nắm được từ số 1 - 10 000 và con nắm được số thứ tự, tuy nhiên con bị nhầm lẫn khi đọc số 2001.
Con nắm được bảng chữ cái và đánh vần được tốt các từ.
Con có vốn từ vựng cơ bản về con vật, đồ vật, so sánh, vị trí, thời gian, thời tiết tuy nhiên con bị nhầm lẫn từ vựng giữa môn bóng chuyền và bóng rổ.
Con chưa áp dụng được ngữ pháp khi nói. Cấu trúc câu chưa đa dạng.  
Con cần cải thiện khả năng đọc hiểu và trả lời đúng câu hỏi.
Con cần rèn luyện thêm về từ vựng và cấu trúc với chương trình: 1/2 GTPX UP2</t>
  </si>
  <si>
    <t>5/7: gọi trao đổi thông tin và kb zalo, hẹn lịch test
6/7: trả kq test. mẹ từ chối vì muốn tìm khóa học trực tiếp để con cải thiện
11/7: nhắn tin nhưng mẹ ko seen hay phản hồi gi. dừng chăm sóc</t>
  </si>
  <si>
    <t>Hà Trần</t>
  </si>
  <si>
    <t>vũ văn long</t>
  </si>
  <si>
    <t>5/7: gọi ko nghe máy gọi lại sau
lần 2: đã liên lạc được nhưng chưa kb zalo để gửi thông tin khóa học
6/7: xếp lịch test 
8/7: ko tham gia test
10/7: báo muố xếp lại lịch test trong tuần đang trao đổi</t>
  </si>
  <si>
    <t>Bố Hợi</t>
  </si>
  <si>
    <t>Thái Phát</t>
  </si>
  <si>
    <t>1 cháu chuẩn bị lên lớp 7 và 1 cháu chuẩn bị lên lớp 6. 
học ở trường và học thêm thôi. A muốn cải thiện khả năng nghe nói và tăng từ vựng</t>
  </si>
  <si>
    <t>Thái Phát
Con ngoan hiền, lễ phép.
Con tập trung khi tham gia test.
Tốc độ phản xạ: Khá ổn
Con có thể trả lời những câu hỏi cơ bản về thông tin cá nhân tuy nhiên chưa mở rộng được câu trả lời. 
 Con cần luyện thêm về cách phát triển chủ đề khi giao tiếp và đặt câu hỏi.
Con có thể phát âm cơ bản nhưng cần cải thiện thêm phát âm âm cuối và nối âm.
Con có thể nắm được từ số 1 - 10 000 và con nắm được số thứ tự, tuy nhiên con bị nhầm lẫn khi đọc số 2001.
Con nắm được bảng chữ cái và đánh vần được tốt các từ.
Con có vốn từ vựng cơ bản về con vật, đồ vật, so sánh, vị trí, thời gian, thời tiết tuy nhiên con bị nhầm lẫn từ vựng giữa môn bóng chuyền và bóng rổ.
Con chưa áp dụng được đúng ngữ pháp khi nói. 
Con có khả năng đọc hiểu ổn và trả lời đúng được hầu hết câu hỏi.
Con có kiến thức căn bản về thì hiện tại đơn, hiện tại tiếp diễn, tuy nhiên còn nhầm lẫn khi làm bài tập với thì quá khứ đơn và thì hiện tại tiếp diễn. Con chưa nắm được thì hiện tại hoàn thành.
Con cần rèn luyện thêm về từ vựng và cấu trúc với chương trình: GTPX UP4</t>
  </si>
  <si>
    <t>5/7: gọi ko nghe máy gọi lại sau
gọi lần 2: bố đang nhậu, trao đổi với con, xếp lịch test cho 2 anh em vào sáng thứ 5</t>
  </si>
  <si>
    <t>bố Hợi</t>
  </si>
  <si>
    <t>Trà My</t>
  </si>
  <si>
    <t>Trà My
Con ngoan hiền, lễ phép.
Con tập trung khi tham gia test.
Tốc độ phản xạ: Khá ổn
Con có thể trả lời những câu hỏi cơ bản về thông tin cá nhân tuy nhiên chưa mở rộng được câu trả lời. 
 Con cần luyện thêm về cách phát triển chủ đề khi giao tiếp và đặt câu hỏi.
Con có thể phát âm cơ bản nhưng cần cải thiện thêm phát âm âm cuối và nối âm.
Con có thể nắm được từ số 1 - 10 000 và con nắm được số thứ tự, tuy nhiên con bị nhầm lẫn khi đọc số 2001.
Con nắm được bảng chữ cái và đánh vần được tốt các từ.
Con có vốn từ vựng cơ bản về con vật, đồ vật, so sánh, vị trí, thời gian, thời tiết tuy nhiên con bị nhầm lẫn từ vựng giữa môn bóng chuyền và bóng rổ.
Con áp dụng được đúng ngữ pháp khi nói. 
Con có khả năng đọc hiểu ổn và trả lời đúng được hầu hết câu hỏi.
Con có kiến thức căn bản về thì hiện tại đơn, hiện tại tiếp diễn, quá khứ đơn, hiện tại hoàn thành và tương lai đơn.
Con cần rèn luyện thêm về từ vựng và cấu trúc với chương trình: GTPX UP4</t>
  </si>
  <si>
    <t>Hà Ngân Anh Kiệt</t>
  </si>
  <si>
    <t>5/7: Mẹ bận nên nhắn Zalo</t>
  </si>
  <si>
    <t>Hương Giang</t>
  </si>
  <si>
    <t>Bé học lớp 4</t>
  </si>
  <si>
    <t>5/7: Chị không có nhu cầu</t>
  </si>
  <si>
    <t>Thanh Thuy</t>
  </si>
  <si>
    <t>Bé lớp 7, phát âm tốt và mẹ muốn bé
 được học trong môi trường tiếng Anh</t>
  </si>
  <si>
    <t>5/7: Tư vấn rồi và đang hẹn test</t>
  </si>
  <si>
    <t>Huyhieu Vũ</t>
  </si>
  <si>
    <t>Bé lớp 5, 10 tuổi</t>
  </si>
  <si>
    <t>5/7: tư vấn rồi và đang hẹn test</t>
  </si>
  <si>
    <t xml:space="preserve">Ngân Phạm </t>
  </si>
  <si>
    <t>5/7: Đã  nhắn tin tư vấn và đang hẹn test</t>
  </si>
  <si>
    <t>Phương Phạm</t>
  </si>
  <si>
    <t>Luyện thi IELTS</t>
  </si>
  <si>
    <t>5/7: Mẹ chặn thông tin người lạ, chiều gọi để hẹn test
5/7: KNM
6/7: Gọi thì mẹ bảo bé đang luyện để lấy chứng chỉ và đang tham khảo 1 trung tâm khác
6/7: Mẹ hẹn giờ test nhưng không tham gia, k kết bạn Zalo</t>
  </si>
  <si>
    <t>Le Thanh Ha</t>
  </si>
  <si>
    <t>14 tuổi. Học trung tâm rồi</t>
  </si>
  <si>
    <t>5/7: Đã kết bạn và nhắn tin</t>
  </si>
  <si>
    <t>Tran Thu Ha</t>
  </si>
  <si>
    <t>Ngọc Mai</t>
  </si>
  <si>
    <t>Con ngoan hiền, lễ phép. Tập trung khi tham gia buổi test. 
Tốc độ phản xạ: Khá nhanh. 
Con nghe và trả lời được các câu hỏi thông tin cơ bản: cá nhân, màu sắc, môn học, động vật, đồ vật... Có hướng phát triển được chủ đề giao tiếp, chủ động thêm thông tin chứ không phải chỉ đáp thông tin được hỏi.
Con dùng được câu hoàn chỉnh. Vốn từ rất tốt so với độ tuổi. 
Con phát âm khá tốt, vẫn cần điều chỉnh thêm về độ chính xác, ngữ điệu, lưu loát.
Con nắm được bảng chữ cái. Vẫn còn vài lỗi nhỏ. Tốc độ đánh vần chưa nhanh.
Con nắm được số đến 20.
Con cần rèn luyện thêm về từ vựng và ngữ pháp với chương trình: GTPX UP2</t>
  </si>
  <si>
    <t xml:space="preserve">5/7: KNM
5/7: Hẹn lịch test 9h sáng 6/7/2023
6/7: Đã test và trả test. Mẹ bảo k muốn bé học điện thoại nên đợi bố bé mua máy tính mới để cho bé học
21/7: Mẹ chưa mua máy tính cho bé nên chưa học được </t>
  </si>
  <si>
    <t>Phan Thị Hạnh</t>
  </si>
  <si>
    <t>2 bé, 1 bé lớp 8. 1 bé lớp 11</t>
  </si>
  <si>
    <t>5/7: KNM + KNM + KNM
6/7: KNM
8/7: Đã gọi tư vấn cho mẹ, đợi mẹ hẹn lịch test</t>
  </si>
  <si>
    <t>bố HIển</t>
  </si>
  <si>
    <t>Nông Thế Tài</t>
  </si>
  <si>
    <t>989931522</t>
  </si>
  <si>
    <t>5/7: gọi trao đổi thông tin hẹn lịch test sáng thứ 5
6/7: gọi nhưng ko nghe máy bùng ca test
7/7: gọi để xếp lại lịch test nhưng từ chối ko muốn tham gia</t>
  </si>
  <si>
    <t>LN3 Tuệ</t>
  </si>
  <si>
    <t>0988804008</t>
  </si>
  <si>
    <t>5/7: từ chối cúp ngang</t>
  </si>
  <si>
    <t>Lệ Hợp</t>
  </si>
  <si>
    <t>LN3 Đỗ Thành Nam</t>
  </si>
  <si>
    <t>946099596</t>
  </si>
  <si>
    <t>5/7: gọi trao đổi thông tin hẹn lịch test
6/7: trả kq test mẹ cân đối tài chính
7/7: mẹ bảo học phí cao quá mẹ không thể theo được</t>
  </si>
  <si>
    <t>Nguyễn Thế Anh</t>
  </si>
  <si>
    <t>387676233</t>
  </si>
  <si>
    <t>5/7: gọi nhưng ko nghe máy</t>
  </si>
  <si>
    <t>Nguyễn Ánh</t>
  </si>
  <si>
    <t>NGUYỄN DUY KHÁNH</t>
  </si>
  <si>
    <t>985282023</t>
  </si>
  <si>
    <t>Bé lớp 3, chưa học tiếng Anh ở đâu</t>
  </si>
  <si>
    <t xml:space="preserve">
Con ngoan hiền và có độ tập trung cao khi tham gia buổi test. 
Tốc độ phản xạ: còn chậm
 Con trả lời câu hỏi về tên và biết một số từ vựng cơ bản về con vật, đồ vật. 
Tuy nhiên, con chưa nắm được bảng chữ cái và một số những câu hỏi thông tin cơ bản khác. 
Con hầu như chưa đánh vần được.
Con biết được từ số 1 -11.
Vốn từ vựng của con còn hạn chế.
Con cần rèn luyện thêm về từ vựng và cấu trúc câu với chương trình GTPX Level: UP Starter</t>
  </si>
  <si>
    <t xml:space="preserve">5/7: KNM
5/7: Hẹn test 14h30 ngày 6/7
5/7: Trả test
6/7: Nhắn tin mẹ k trả lời
7/7: Mẹ chưa xem tin nhắn, gọi thì mẹ đang cân nhắc
12/7:KNM
14/7: Mẹ chưa cho bé học </t>
  </si>
  <si>
    <t xml:space="preserve">NGUYỄN PHƯƠNG NGA </t>
  </si>
  <si>
    <t>Bé lớp 6, có học thêm</t>
  </si>
  <si>
    <t>Phương Nga
Con ngoan hiền, lễ phép.
Con có thể trả lời những câu hỏi cơ bản của cô về tên, tuổi, sở thích, màu sắc,..
Con rất tập trung khi tham gia test.
Tốc độ phản xạ: Khá ổn. 
Cần luyện thêm về cách phát triển chủ đề khi giao tiếp và đặt câu hỏi.
Con cần cải thiện âm cuối và nối âm của con cần được luyện thêm. 
Con nắm được từ số 1 -10 000 và số thứ tự. 
Con nắm được bảng chữ cái và đánh vần được tốt các từ.
Con có vốn từ vựng cơ bản về con vật, đồ vật tuy nhiên con vẫn cần trau dồi thêm vốn từ vựng của con.
Con chưa áp dụng được ngữ pháp khi nói. 
Con có kiến thức cơ bản về thì hiện tại đơn, tương lai đơn tuy nhiên kiến thức về thì quá khứ đơn và thì hiện tại tiếp diễn của con chưa chắc.
Con cần rèn luyện thêm về từ vựng và cấu trúc với chương trình GTPX Level 3</t>
  </si>
  <si>
    <t xml:space="preserve">5/7: KNM
5/7: Hẹn test 14h30 ngày 6/7
5/7: Trả test
6/7: Nhắn tin mẹ k trả lời
7/7: Mẹ chưa xem tin nhắn, gọi thì mẹ đang cân nhắc
12/7: KNM
14/7: Mẹ chưa cho bé học </t>
  </si>
  <si>
    <t>977422591</t>
  </si>
  <si>
    <t>5/7: knm</t>
  </si>
  <si>
    <t>An Nguyen</t>
  </si>
  <si>
    <t>Nguyễn Nam Sa</t>
  </si>
  <si>
    <t>913213114</t>
  </si>
  <si>
    <t>Bé lớp 7, đã học sắp xong bằng B1</t>
  </si>
  <si>
    <t>5/7: Mẹ ở Hà Nội và muốn tìm trung tâm ở Hà Nội cho các bé ạ</t>
  </si>
  <si>
    <t>Trần Thanh Thuỷ</t>
  </si>
  <si>
    <t>963519567</t>
  </si>
  <si>
    <t>5/7: Đã nhắn tin Zalo đợi mẹ trả lời</t>
  </si>
  <si>
    <t>Mẹ Quỳnh Phương - Mẹ Nguyên Bảo giới thiệu</t>
  </si>
  <si>
    <t>Hồ Nguyễn Ánh Minh</t>
  </si>
  <si>
    <t xml:space="preserve">0909 348 811 </t>
  </si>
  <si>
    <t>Con ngoan hiền, lễ phép. Con tập trung tốt khi tham gia buổi test.
Tốc độ phản xạ: Khá nhanh. Con nói khá tự nhiên và có thể hiểu tốt được những câu hỏi và trả lời ổn.
Con có thể nghe và trả lời những câu hỏi giao tiếp cơ bản về tên, tuổi, nơi ở, sở thích,..
Phát âm của con khá ổn tuy nhiên con cần chú ý các âm cuối và nối âm.
Con có thể nắm được số từ 1-1 000 000
Con nắm được số thứ tự.
Con thuộc bảng chữ cái và có thể đánh vần tốt.
Con có vốn từ cơ bản về con vật, đồ vật, môn thể thao, so sánh, thể thao, thời tiết,...
Con nắm được thì hiện tại đơn nhưng chưa nắm chắc được kiến thức về những thì khác.
Có có khả năng đọc hiểu tốt và trả lời được các câu hỏi bằng câu đầy đủ. 
Con cần cải thiện thêm kĩ năng nghe hiểu.
Con cần rèn luyện thêm về từ vựng và ngữ pháp với chương trình : 1/2 GTPX Level 3</t>
  </si>
  <si>
    <t xml:space="preserve">5/7: đã gọi dt trao đổi thông tin, về mẹ sắp xếp lịch test sau
7/7: nt hỏi lịch test của con nhưng mẹ chưa phản hồi
8/7: đã liên lạc xếp lịch test vào tối thứ 4
10/7: trả kêt quả test, mẹ lăn lăn giữa onlne và offline vè bạn Minh ko thích học online và hơi ngán do 2 năm dịch đều học online </t>
  </si>
  <si>
    <t>Bố Đức</t>
  </si>
  <si>
    <t>333640912</t>
  </si>
  <si>
    <t>Trẻ em tìm hiểu KH IELTS</t>
  </si>
  <si>
    <t>5/7: gọi thuê bao, chưa liên lạc được</t>
  </si>
  <si>
    <t>mẹ Minh Thùy</t>
  </si>
  <si>
    <t>943686877</t>
  </si>
  <si>
    <t>Con c học lớp 6 nhé</t>
  </si>
  <si>
    <t>5/7: gọi nhưng bảo nhiều trung tâm gọi quá ko nhu cầu  e nhé</t>
  </si>
  <si>
    <t>Lê Thủy</t>
  </si>
  <si>
    <t>Mai Anh</t>
  </si>
  <si>
    <t>934574885</t>
  </si>
  <si>
    <t>năm nay lên lớp 6. chưa học trung tâm. Mục tiêu 4 kĩ năng</t>
  </si>
  <si>
    <t xml:space="preserve">Mai Anh
Con ngoan hiền, lễ phép. Con tập trung khi tham gia test. 
Tốc độ phản xạ. Khá
Con có thể trả lời những câu hỏi cơ bản về thông tin cá nhân tuy nhiên con chưa biết cách mở rộng chủ đề. Đôi lúc con chưa hoàn toàn hiểu được câu hỏi của cô. Con có thể phát âm cơ bản nhưng cần cải thiện thêm phát âm âm cuối và nối âm. 
Con có thể nắm được từ số 1 - 100 và con nắm được số thứ tự.
Con nắm được bảng chữ cái và đánh vẫn được tốt các từ. Con có vốn từ vựng cơ bản về con vật, đồ vật, so sánh hơn và so sánh thời gian, thời tiết tuy nhiên con chưa nắm được tốt từ vựng về vị trí, môn thể thao. Con chưa áp dụng được nhiều ngữ pháp khi nói. 
Cấutrúc câu chưa đa dạng. Con cần cải thiện khả năng đọc hiểu và trả lời đúng câu
Con nắm được ngữ pháp thị hiện tại đơn, quá khứ đơn, tương lai đơn nhưng kiến thức ngữ pháp về thi hiện tại tiếp diễn thì chưa chắc
Con cần rèn luyện thêm về tử vựng và cấu trúc với chương trình: 1/2 GTPX UP2
</t>
  </si>
  <si>
    <t>5/7: gọi sắp xếp lịch test vào chiều mai 15h
6/7: TRả kết quả test. mẹ cân nhắc và hỏi ý kiến con, trả lời sau</t>
  </si>
  <si>
    <t>Mẹ Mai Trâm</t>
  </si>
  <si>
    <t>974157414</t>
  </si>
  <si>
    <t>5/7: gọi thuê bao</t>
  </si>
  <si>
    <t>Nguyễn Thị Hiền</t>
  </si>
  <si>
    <t>982710609</t>
  </si>
  <si>
    <t>Trẻ em (6-14 tuổi)
2h16 knm</t>
  </si>
  <si>
    <t>5/7: gọi ko nghe máy</t>
  </si>
  <si>
    <t>Tạ Thị Trầm</t>
  </si>
  <si>
    <t>358030486</t>
  </si>
  <si>
    <t>5/7: Hẹn tối gọi
Mẹ muốn bé học lớp 15-20 người</t>
  </si>
  <si>
    <t>Mẹ Luận</t>
  </si>
  <si>
    <t>Như Quỳnh</t>
  </si>
  <si>
    <t>867060095</t>
  </si>
  <si>
    <t>Bạn ý học tại trường nhưng mất gốc. Năm này lên lớp 12. Muốn học lại từ cơ bản</t>
  </si>
  <si>
    <t xml:space="preserve">5/7: Bé đang test  ở trung tâm khác rồi, đợi mẹ liên lạc lại </t>
  </si>
  <si>
    <t>Hải Trần</t>
  </si>
  <si>
    <t>989472826</t>
  </si>
  <si>
    <t>8 tuổi. Chưa học trung tâm. Mục tiêu 4 kĩ năng</t>
  </si>
  <si>
    <t>5/7: KNM
6/7: KNM, đã nhắn tin Zalo nhưng mẹ chưa rep
6/7: KNM</t>
  </si>
  <si>
    <t>Hoàng Dung</t>
  </si>
  <si>
    <t>Nông Minh Nhật</t>
  </si>
  <si>
    <t>914707629</t>
  </si>
  <si>
    <t>5/7: KNM +KNM + KNM 
6/7: Đã nhắn tin tư vấn khoá học
6/7: Hẹn test 7/7 lúc 9h
6/7: Trả test, mẹ nói học phí cao, cần cân nhắc
10/7: Mẹ đã đăng kí chỗ khác cho bé vì học phí bên mình cao</t>
  </si>
  <si>
    <t>Thúy Hằng</t>
  </si>
  <si>
    <t>Phạm Thúy MY</t>
  </si>
  <si>
    <t>0962238369</t>
  </si>
  <si>
    <t>Thúy Mỹ
Con ngoan hiền và có độ tập trung cao khi tham gia buổi test.
Tốc độ phản xạ: còn chậm
Con trả lời câu hỏi về tên và biết một số từ vựng cơ bản.
Tuy nhiên, con chưa nắm được bảng chữ cái và một số những câu hỏi thông tin cơ bản khác.
Con biết được từ số 1 -10.
Con cần rèn luyện thêm về từ vựng và cấu trúc câu với chương trình GTPX Level: UP Starter</t>
  </si>
  <si>
    <t>30/5: Không nghe máy
31/5: không nghe máy
1/6: Đã gửi tin nhắn qua zalo
14/06: KHÔNG NGHE MÁY
30/6: KNM
6/7: xếp lịch test vào sáng thứ 7
9/7: đã trả kết quả test, đang tư vấn kĩ và kéo khachs</t>
  </si>
  <si>
    <t>mẹ Hồng</t>
  </si>
  <si>
    <t>976346947</t>
  </si>
  <si>
    <t>Bé 8tuoi nhưng chưa đc học TA. Biết sơ sơ. Mục tiêu giao tiếp</t>
  </si>
  <si>
    <t>6/7: gọi ko nghe máy
8/7: nt báo ko nhu cầu học onl</t>
  </si>
  <si>
    <t>Huy Thông</t>
  </si>
  <si>
    <t>916961239</t>
  </si>
  <si>
    <t>6/7: chị ko có nhu cầu đăng kí bên này</t>
  </si>
  <si>
    <t>Nguyễn Văn Lâm</t>
  </si>
  <si>
    <t>982987338</t>
  </si>
  <si>
    <t>Con nhà mình năm nay lên lớp 11</t>
  </si>
  <si>
    <t>chị Nhung</t>
  </si>
  <si>
    <t>Trần Khánh Ngọc</t>
  </si>
  <si>
    <t>985843999</t>
  </si>
  <si>
    <t>6/7: gọi kb zalo gửi thông tin khóa học, xếp lịch test vào 19h30 thứ 2 tuần sau
8/7: chặn thông tin tìm kiếm</t>
  </si>
  <si>
    <t>chị Nguyệt</t>
  </si>
  <si>
    <t>Ngọc Lan</t>
  </si>
  <si>
    <t>971729403</t>
  </si>
  <si>
    <t>Ngọc Lan
Con ngoan hiền và có độ tập trung cao khi tham gia buổi test.
Tốc độ phản xạ: còn chậm
Con trả lời câu hỏi về tên, tuổi, màu sắc và biết một số từ vựng cơ bản.
Có một số câu hỏi con cần sự trợ giúp của mẹ để trả lời được.
Tuy nhiên, con nắm được một số chữ cái cơ bản nhưng chưa nắm được chắc bảng chữ cái và đánh vần chưa được tốt.
Con biết được từ số 1 -12.
Con cần rèn luyện thêm về từ vựng và cấu trúc câu với chương trình GTPX Level: UP Starter</t>
  </si>
  <si>
    <t>6/7: gọi kb zalo gửi thông tin lịch test vào thứ 7 15h</t>
  </si>
  <si>
    <t>Trí Thông</t>
  </si>
  <si>
    <t>977807533</t>
  </si>
  <si>
    <t>6/7: gọi ko nghe máy</t>
  </si>
  <si>
    <t>Tâm Như</t>
  </si>
  <si>
    <t>982834237</t>
  </si>
  <si>
    <t>Bích Hồng</t>
  </si>
  <si>
    <t>919402507</t>
  </si>
  <si>
    <t xml:space="preserve">6/7: Đã nhắn tin </t>
  </si>
  <si>
    <t>Lương Nguyên</t>
  </si>
  <si>
    <t>Vương Anh Nguyên</t>
  </si>
  <si>
    <t>0982093258</t>
  </si>
  <si>
    <t>6/7: Mẹ cúp máy ngang</t>
  </si>
  <si>
    <t>Giáp Phạm</t>
  </si>
  <si>
    <t>972495008</t>
  </si>
  <si>
    <t>6/7: Anh không có nhu cầu</t>
  </si>
  <si>
    <t>Trần Thị Kim Dung</t>
  </si>
  <si>
    <t>392802682</t>
  </si>
  <si>
    <t>6/7: Máy mẹ còn 2% pin nên hẹn nhắn Zalo
8/7: Tối 20h gọi 
8/7: Đã gọi nhưng k nghe máy</t>
  </si>
  <si>
    <t>Quân Nguyễn</t>
  </si>
  <si>
    <t>Nguyễn Tùng Lâm</t>
  </si>
  <si>
    <t>968372233</t>
  </si>
  <si>
    <t xml:space="preserve">6/7; Bố đã set lịch cho bé test ở Ispeak
7/7: Bố nhắn nói kết bạn tư vấn cho mẹ
12/7; Mẹ hẹn test giờ quá muộn, không sắp xếp được, mẹ bảo để mẹ tìm hiểu thêm </t>
  </si>
  <si>
    <t>Hà Huy Dũng</t>
  </si>
  <si>
    <t>931510333</t>
  </si>
  <si>
    <t>Người lớn, tìm hiểu KH giao tiếp</t>
  </si>
  <si>
    <t>6/7: Anh đã học khoá tiếng Anh bên Ispeak</t>
  </si>
  <si>
    <t>Linh Kiện Tiến Quang Hà Nội</t>
  </si>
  <si>
    <t>Phạm An Nhiên</t>
  </si>
  <si>
    <t>914286699</t>
  </si>
  <si>
    <t>10t, đã học ở trung tâm ngoài, học trung bình, gv Việt</t>
  </si>
  <si>
    <t>6/7: Tối gọi lại vì ban ngày mẹ k nghe máy
Mẹ không nghe máy</t>
  </si>
  <si>
    <t>Bố Thiên Định</t>
  </si>
  <si>
    <t>0905806189</t>
  </si>
  <si>
    <t>Nguyen Phuoc</t>
  </si>
  <si>
    <t>0906466887</t>
  </si>
  <si>
    <t>Gọi điện tư vấn cho mẹ về khóa học và học phí
Con đã học tiếng Anh ở Việt Úc
Con nói khá tốt.</t>
  </si>
  <si>
    <t>Helen: Con ngoan hiền, lễ phép, dạn dĩ và tự tin. 
Con rất tập trung khi tham gia test.
Tốc độ phản xạ: Nhanh. Kỹ năng nghe - nói tốt.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Con áp dụng được ngữ pháp khi nói. 
Nắm được thì Hiện tại đơn và Hiện tại tiếp diễn. Chưa có khái niệm nhiều về Quá khứ, hoàn thành,...
Con cần rèn luyện thêm về từ vựng và cấu trúc với chương trình VUI level 2</t>
  </si>
  <si>
    <t xml:space="preserve">22/5: Đã test đầu vào
24/5: Gửi kết quả test cho bố và tư vấn khóa VUI. Gọi điện bố chưa nghe. Nhắn tin bố chưa trả lời.
25/5: Đã gọi điện cho bố tư vấn lớp VUI. Bố không muốn nặng nề ngữ pháp cho con. Bố muốn học tiếng Anh giao tiếp kiểu tự nhiên. Bố chuộng cho con học Âu Mỹ.
26/5: Bố muốn cho con học thử với lớp VUI 10 buổi. Đã tư vấn cho bố học thử với VUI 08. Nếu bố thấy con học hợp bố sẽ đóng cả khóa cho con. Đã gửi thông tin chuyển khoản. Bố nói "ok e". 
27/5: Nhắn tin xác nhận lại với bố lịch học thử của con.
29/5: Nhắc bố về học phí cho con. Bố còn thắc mắc về chương trình học. Hẹn ngày 30/5 gọi điện tư vấn cho bố.
30/5: Gọi điện cho bố để giải đáp thắc mắc cho bố. Xếp cho con học với VUI06. Đã gửi cho bố những thì mà VUI06 đã học. Bố hẹn ngày 30/5 hoặc 31/5 chuyển khoản.
31/5: Gọi điện cho bố. Bố nói bố bận họp nên sẽ phản hồi sau.
14/6:gọi điện cho bố, bảo sẽ cho con học bắt đầu từ tháng đầu tháng 7. liên lạc qua zalo </t>
  </si>
  <si>
    <t>Anh Thanh</t>
  </si>
  <si>
    <t>Cao Hoàng Quân</t>
  </si>
  <si>
    <t>0947969494</t>
  </si>
  <si>
    <t>Gọi ngay</t>
  </si>
  <si>
    <t>Con ngoan hiền, lễ phép, khá tự tin trong giao tiếp. 
Con rất tập trung khi tham gia test.
Con nghe hiểu tốt các câu hỏi của cô và câu trả lời khá phong phú.
Tốc độ phản xạ: Khá nhanh. 
Con phát âm khá ổn, con có âm cuối tuy nhiên con nối âm chưa được nhiều
Con nắm được số đếm từ 1 -10 000 và con nắm được số thứ tự
Con nắm được bảng chữ cái. Tốc độ đánh vần kjhas  nhanh.
Có vốn từ khá về các chủ đề: thông tin cá nhân, đồ dùng, màu sắc, hoạt động, động vật, so sánh, thể thao.... 
Con nắm được tốt các thì cơ bản
Con cần rèn luyện thêm về từ vựng và cấu trúc với chương trình VUI level 2.</t>
  </si>
  <si>
    <t>18/6: gọi điện thoại chia sẻ thong tin khóa học, xếp lịch test sáng t2 ngày 19/6. 
20/6 đã trả kq test sắp xếp cho bé học thử 2 buổi lớp Vui 06.
23/6 gọi trao đổi lịch học thử, nhưng con ở ngoại giữa t7 mới về, liên lạc sau.
6/7: gọi nhưng bố bảo con nghỉ hè đi chơi đến cuối tháng 8 liên lạc lại sau
17/8: gọi bảo chờ vào năm học sắp xếp ổn lịch học mới tham gia</t>
  </si>
  <si>
    <t>Asari Le</t>
  </si>
  <si>
    <t>Lê Lý Bách Xuyên</t>
  </si>
  <si>
    <t>0905122220</t>
  </si>
  <si>
    <t>Kết bạn zalo tư vấn</t>
  </si>
  <si>
    <t>6/7: gọi trao đổi thông tin, gửi kb zalo</t>
  </si>
  <si>
    <t>Mỹ Vân</t>
  </si>
  <si>
    <t>0905.455.070</t>
  </si>
  <si>
    <t>7/7: Mẹ đang xem xét lịch test
10/7: Nhắn tin mẹ k trả lời</t>
  </si>
  <si>
    <t>Website</t>
  </si>
  <si>
    <t>0988017444</t>
  </si>
  <si>
    <t>7/7: Có gì anh liên lạc sau</t>
  </si>
  <si>
    <t>Trần Thị Kim Hương</t>
  </si>
  <si>
    <t>Trần Bảo Uyên</t>
  </si>
  <si>
    <t>0934819136</t>
  </si>
  <si>
    <t xml:space="preserve">Bé từ 3 tuổi đã học Apolo và hiện tại vẫn đang học. Mẹ muốn cho bé học giao tiếp vì bé còn nhút nhát. Bên Apolo đánh giá bé có tiến bộ và hiện đang học chương trình lớp 1 do Apolo soạn </t>
  </si>
  <si>
    <t xml:space="preserve">Con ngoan hiền, lễ phép. Tập trung khi tham gia buổi test.
Tốc độ phản xạ: Khá nhanh. 
Con nghe và trả lời được các câu hỏi thông tin cơ bản: cá nhân, màu sắc, môn học, động vật, đồ vật... Khả năng nghe khá tốt. 
Con dùng được câu hoàn chỉnh ngắn "It's a...". Vốn từ tốt so với độ tuổi. 
Con phát âm chưa chuẩn, cần điều chỉnh thêm về độ chính xác, ngữ điệu, lưu loát, đặc biệt là các âm cuối.
Con nắm được 70% bảng chữ cái. Chưa đánh vần được.
Con nắm được số đến 49. 50 bị nhầm thành fivety.
Con cần rèn luyện thêm về từ vựng và ngữ pháp với chương trình: GTPX UP1 </t>
  </si>
  <si>
    <t>7/7: Hẹn test lúc 9h ngày 10/7
10/7: Mẹ chốt khoá GTPX up1 kèm 1-1 học 50b</t>
  </si>
  <si>
    <t>mẹ Uyên Trang</t>
  </si>
  <si>
    <t>Trần Hoàng Nguyên</t>
  </si>
  <si>
    <t>0983572179</t>
  </si>
  <si>
    <t>Mẹ điền form đăng ký học VUI</t>
  </si>
  <si>
    <t>18/6: gọi điện mẹ báo đã tìm được khóa học cho con, để con học được 1 tháng có gì sẽ thông báo sau
1 tháng sau gọi chăm lại</t>
  </si>
  <si>
    <t>Nguyễn Thị Bích Trâm</t>
  </si>
  <si>
    <t>Ưng Lâm Vy Quân</t>
  </si>
  <si>
    <t>0905572532</t>
  </si>
  <si>
    <t xml:space="preserve">Con ngoan hiền, lễ phép. Con tập trung khi tham gia test.
Tốc độ phản xạ: Khá nhanh. 
Con nghe hiểu tốt các câu hỏi của cô và trả lời được ở mức căn bản. Con có ý thức sử dụng câu đầy đủ nhưng chưa áp dụng được tốt ngữ pháp, cấu trúc câu vào giao tiếp.
Có vốn từ khá về các chủ đề: thông tin cá nhân, đồ dùng, màu sắc, hoạt động, động vật, so sánh, thể thao.... 
Con phát âm khá tốt, con có âm cuối tuy nhiên con nối âm chưa được nhiều. Và cần luyện thêm về độ lưu loát + ngữ điệu. 
Con nắm được số đếm từ 1 -10 000 và con nắm được số thứ tự
Con nắm được bảng chữ cái. Tốc độ đánh vần khá  nhanh.
Con chưa nắm được thì trong tiếng Anh.
Con cần rèn luyện thêm về từ vựng và cấu trúc với chương trình GTPX Level 5. Cứ tư vấn 1:1 trước. Nếu không đc thì đề xuất ghép lớp với lớp 1:4 đang chạy. Lịch là: 
Thứ 2: 19h00-20h00 
Thứ 4: 19h00-20h00 
Thứ 7: 19h00-20h00 </t>
  </si>
  <si>
    <t>8/7: Hẹn lịch test 8/7 lúc 14h
8/7: Trả test
8/7: Mẹ chốt VUI 30/7 hoc 20b</t>
  </si>
  <si>
    <t>Mr Tung Dzung</t>
  </si>
  <si>
    <t>0905170583</t>
  </si>
  <si>
    <t>8/7: Đang hẹn test
12/7: Bố nói bé quá yếu nên ưu tiên cho bé học trực tiếp</t>
  </si>
  <si>
    <t>Thu Phạm</t>
  </si>
  <si>
    <t>0935109181</t>
  </si>
  <si>
    <t>11/7: gọi thuê bao</t>
  </si>
  <si>
    <t>Chị Huyền</t>
  </si>
  <si>
    <t>Lê Tự Minh Quân</t>
  </si>
  <si>
    <t>0914002700</t>
  </si>
  <si>
    <t>nhu cầu học 1:1</t>
  </si>
  <si>
    <t>Con ngoan hiền, lễ phép. Con tập trung khi tham gia buổi test. Dạn dĩ.
Tốc độ phản xạ: Con rất nhanh nhẹn. Tuy nhiên con nghe chưa nhạy và chưa phát triển được chủ đề giao tiếp.
Con phát âm chưa tốt, không có âm cuối. 
Con có thể nghe và trả lời những câu hỏi giao tiếp cơ bản về tên, tuổi, nơi ở, màu sắc, thể thao... 
Vốn từ tốt. Tuy nhiên, chưa dùng được câu hoàn chỉnh, chưa phân biệt được số ít số nhiều. 
Con có thể nắm được số từ 1- 30. Còn lỗi một số số như 12, 20.
Con thuộc 90% bảng chữ cái và có thể đánh vần nhưng chưa nhanh. Con lỗi một số chữ như h, j, g
Khả năng đọc hiểu chưa tốt.
Con cần rèn luyện thêm về từ vựng và ngữ pháp với chương trình: GTPX Level 2</t>
  </si>
  <si>
    <t>các tối trong tuần từ 19h30</t>
  </si>
  <si>
    <t>8/7: đã liên lạc kb zalo và gửi thông tin xếp lịch test thứ 3 lúc 19h</t>
  </si>
  <si>
    <t>Mẹ Lệ Nhung</t>
  </si>
  <si>
    <t>Mai Bảo Hân</t>
  </si>
  <si>
    <t>Muốn học tiếng Anh nghe và phản xạ được</t>
  </si>
  <si>
    <t>Con ngoan hiền, lễ phép. Con tập trung khi tham gia buổi test.
Tốc độ phản xạ: Chưa nhanh. Khả năng nghe còn chậm. Trả lời được câu lẻ. Chưa phát triển được chủ đề giao tiếp.
Con nói khá tự nhiên và Phát âm khá tốt. Có âm cuối. 
Con có thể nghe và trả lời những câu hỏi giao tiếp cơ bản về tên, tuổi, nơi ở,... Vốn từ chưa rộng. 
Con có thể nắm được số từ 1- 9000. Còn lỗi một số số lớn.
Con thuộc 90% bảng chữ cái và có thể đánh vần nhưng chưa nhanh.
Con chưa nắm được ngữ pháp về thì.  
Khả năng đọc hiểu chưa tốt.
Con cần rèn luyện thêm về từ vựng và ngữ pháp với chương trình: GTPX Level 3</t>
  </si>
  <si>
    <t>8/7: Hẹn test 18h30 ngày 10/7/2023
11/7: Trả test
11/7: Mẹ chốt GTPX up3 học 1 kèm 2, học 25 buổi
12/7: Mẹ ck</t>
  </si>
  <si>
    <t xml:space="preserve">Kim Mến </t>
  </si>
  <si>
    <t>0934389692</t>
  </si>
  <si>
    <t xml:space="preserve">Bé đã đi học ở trung tâm </t>
  </si>
  <si>
    <t>8/7: KNM
11/7: KNM
12/7: Bé đã đi học ở trung tâm rồi</t>
  </si>
  <si>
    <t>Hoàng Phương Nhung</t>
  </si>
  <si>
    <t>0345173196</t>
  </si>
  <si>
    <t>8/7: bận gọi lại lúc khác</t>
  </si>
  <si>
    <t>Huyền Hoàng</t>
  </si>
  <si>
    <t>0913.575.178</t>
  </si>
  <si>
    <t>8/7: gọi ko nghe máy</t>
  </si>
  <si>
    <t>Hạnh Lê</t>
  </si>
  <si>
    <t>Trần Lê Khánh Ngân</t>
  </si>
  <si>
    <t>0986200865</t>
  </si>
  <si>
    <t>Con ngoan hiền, lễ phép. 
Con tập trung khi tham gia buổi test và khá vui vẻ khi tham gia test. Tinh thần tốt.
Tốc độ phản xạ: Chưa nhanh. Vì vốn từ con còn đang ít. 
Phát âm tiếng Anh khá tự nhiên. 
Con có thể nghe và trả lời những câu hỏi giao tiếp cơ bản về tên, màu, động vật,... 
Con dùng từ lẻ để trả lời. 
Con chưa đọc được.
Con có thể nắm được số từ 1-10.
Con chưa nắm được bảng chữ cái và chưa  đánh vần được.
Con cần rèn luyện thêm về từ vựng và ngữ pháp với chương trình: GTPX Level Starter.</t>
  </si>
  <si>
    <t>8/7: Hẹn test 19h ngày 10/7
11/7: Trả test
13/7: Mẹ nói học phí cao quá, mẹ từ chối</t>
  </si>
  <si>
    <t>Linh Bui</t>
  </si>
  <si>
    <t>Nguyễn Ngọc Thiên Trang</t>
  </si>
  <si>
    <t>0702155391</t>
  </si>
  <si>
    <t>9/7: gọi ko nghe máy
10/7: gọi ko nghe máy
11/7: hẹn tuần sau con mới có thể tham gia lịch test</t>
  </si>
  <si>
    <t>Doan Xuan Huyen</t>
  </si>
  <si>
    <t>Đoàn Xuân Minh</t>
  </si>
  <si>
    <t>0968993368</t>
  </si>
  <si>
    <t>Con ngoan hiền, lễ phép. Con tập trung tốt khi tham gia buổi test.
Tốc độ phản xạ: Khá nhanh. 
Con nói khá tự nhiên và có thể hiểu tốt được những câu hỏi và trả lời tốt.
Con có thể nghe và trả lời những câu hỏi giao tiếp cơ bản về tên, tuổi, nơi ở,...
Con biết cách mở rộng cấu trúc câu và thêm các thông tin chi tiết vào câu trả lời của con.
Con biết cách nêu lên quan điểm của mình về những vấn đề mà cô hỏi.
Con có thể nắm được số từ 1-10 000.
Con thuộc bảng chữ cái và có thể đánh vần tốt.
Vốn từ của con khá phong phú về con vật, đồ vật, so sánh,...
Con có kĩ năng nghe ổn và có thể trả lời đúng các câu hỏi liên quan đến bài nghe.
Tuy nhiên con cầncair thiện thêm kiến thức ngữ pháp về các thì. 
Kiến thức về thì của con chưa chắc.
Con cần rèn luyện thêm về từ vựng và ngữ pháp với chương trình: GTPX Level 4</t>
  </si>
  <si>
    <t xml:space="preserve">9/7: Hẹn test 15h ngày 10/7
11/7: Trả test
13/7: Mẹ bảo bên trung tâm của bé Minh cũ đang có ưu đãi lớn hơn bên mình nên mẹ đang cân nhắc lại </t>
  </si>
  <si>
    <t>Võ Ngọc</t>
  </si>
  <si>
    <t>10/7: Mẹ bảo mẹ bận rồi cúp máy, không hẹn được lịch gọi lại tư vấn, Zalo không kết bạn đuọc vì chặn người lạ</t>
  </si>
  <si>
    <t>Hằng May</t>
  </si>
  <si>
    <t>355646391</t>
  </si>
  <si>
    <t>Mới thi tốt nghiệp xong. Học 12 môn TA khá. Học giao tiếp</t>
  </si>
  <si>
    <t>10/7: Mẹ bảo có 1 trung tâm mời mẹ giá 60k 1 buổi học 1-1, mẹ bảo học phí bên mình đắt, mẹ là công nhân bình thường nên cũng k có điều kiện quá nhiều</t>
  </si>
  <si>
    <t>Phương Nguyễn</t>
  </si>
  <si>
    <t>Hoàng Tiến</t>
  </si>
  <si>
    <t>986276038</t>
  </si>
  <si>
    <t xml:space="preserve">1 bạn lóp 5, 1 bạn lớp 7.mình muốn luyện phản xạ nghe, đọc , phát âm cho cháu. ngữ pháp ở trường có vẻ OK , nhưng lại ko nói được
</t>
  </si>
  <si>
    <t>Con ngoan hiền, lễ phép, tập trung khi tham gia test. 
Tốc độ phản xạ: Còn hơi chậm
 Con có thể trả lời được các câu hỏi cơ bản của cô về thông tin cá nhân, sở thích, tuy nhiên cấu trúc câu của con còn hạn chế.
Phát âm còn phải điều chỉnh. Con phát âm còn bị ngọng chữ "l"  và "n".
Con thiếu độ lưu loát, ngữ điệu và nối âm khi nói.
Con dùng được câu hoàn chỉnh nhưng câu trúc câu chưa đúng.
Con có thể nắm được số từ 1-100. 
Con nắm được bảng chữ cái và đánh vần được với tốc độ vừa phải.
Con có những vốn từ tương đối về các chủ đề: cá nhân, hoạt động, màu sắc, con vật, đồ vật, thể thao...
Con chưa có kiến thức về các thì.
Con cần rèn luyện thêm về từ vựng và ngữ pháp với chương trình : GTPX Level 2</t>
  </si>
  <si>
    <t xml:space="preserve">10/7: Test lúc 9h40 ngày 10/7
11/7: Bố nói học phí cao quá nên đăng kí khoá khác cho bé rồi </t>
  </si>
  <si>
    <t xml:space="preserve">Hoàng Quân </t>
  </si>
  <si>
    <t>0986276038</t>
  </si>
  <si>
    <t>Ngữ pháp oke nhưng nhát nhiều người</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</si>
  <si>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còn bị ngọng giữa âm "l" và "n".
Con chưa dùng được câu hoàn chỉnh với cấu trúc câu đúng.
Con có thể nắm được số từ 1-10 000.
Con thuộc bảng chữ cái. Đánh vần với tốc độ vừa phải.
Con có vốn từ cơ bản về các chủ đề: con vật, đồ vật, thể thao, vị trí,..
Con sử dụng được ngữ pháp khi nói.
 Con mới nắm được ngữ pháp của thì hiện tại đơn, hiện tại tiếp diễn, quá khứ đơn, tương lai đơn nhưng con cần chú ý hơn khi làm bài tập với động từ to be.
Con cần rèn luyện thêm về từ vựng và ngữ pháp với chương trình : GTPX Level 3.</t>
  </si>
  <si>
    <t xml:space="preserve">10/7: Hẹn test 14h30 chiều 10/7
11/7: Bố nói học phí cao quá nên đăng kí khoá khác cho bé rồi </t>
  </si>
  <si>
    <t>Nguyenthithuhuyen</t>
  </si>
  <si>
    <t>979758944</t>
  </si>
  <si>
    <t>15 tuổi</t>
  </si>
  <si>
    <t>10/7: KNM
11/7: KNM</t>
  </si>
  <si>
    <t>Nguyễn Thị Hoa</t>
  </si>
  <si>
    <t>Võ Thị Yến Vy</t>
  </si>
  <si>
    <t>397537709</t>
  </si>
  <si>
    <t>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dùng được câu hoàn chỉnh tuy nhiên cấu trúc câu chưa được chính xác.
Con có thể nắm được số từ 1-100.
Con thuộc bảng chữ cái. Đánh vần với tốc độ vừa phải.
Con có vốn từ cơ bản về các chủ đề: con vật, đồ vật, thể thao, vị trí,..
Con sử dụng được ngữ pháp khi nói.
 Con mới nắm được ngữ pháp của thì hiện tại đơn, hiện tại tiếp diễn, quá khứ đơn,  tương lai đơn.
Con cần rèn luyện thêm về từ vựng và ngữ pháp với chương trình : GTPX Level 3.</t>
  </si>
  <si>
    <t>10/7: Hẹn test 16h30 ngày 10/7
11/7: Trả test
12/7: Mẹ chốt khoá GTPX up3 kèm  1-2 học 50 buổi 
14/7: Mẹ chốt khoá</t>
  </si>
  <si>
    <t>Chinh Trần</t>
  </si>
  <si>
    <t>911535922</t>
  </si>
  <si>
    <t>Tran Thi Thuy Trang</t>
  </si>
  <si>
    <t>979012879</t>
  </si>
  <si>
    <t>nhắn zalo. 10 tuổi. Học trung tâm rồi. Mục tiêu 4 kĩ năng</t>
  </si>
  <si>
    <t>10/7 Đã nhắn tư vấn, đợi hẹn test</t>
  </si>
  <si>
    <t>Thuỷ Nguyễn</t>
  </si>
  <si>
    <t>984880893</t>
  </si>
  <si>
    <t>10 tuổi. Học TA 3 năm r</t>
  </si>
  <si>
    <t>10/7: Chị đang bận, tối gọi lại
12/7: Gọi k nghe máy</t>
  </si>
  <si>
    <t>Điệp Viên Rau</t>
  </si>
  <si>
    <t>976863818</t>
  </si>
  <si>
    <t>12 tuổi. Đã học trung tâm. Mục tiêu nghe nói</t>
  </si>
  <si>
    <t>10/7: Cúp ngang, Zalo chưa kết bạn</t>
  </si>
  <si>
    <t>Dương Thị Thuyên</t>
  </si>
  <si>
    <t>368134099</t>
  </si>
  <si>
    <t>10/7: knm
11/7: Chị không có nhu cầu</t>
  </si>
  <si>
    <t>Nguyen The</t>
  </si>
  <si>
    <t>385433841</t>
  </si>
  <si>
    <t>10 tuổi.</t>
  </si>
  <si>
    <t>10/7: Anh đang bận, k hẹn được lịch liên lạc lại</t>
  </si>
  <si>
    <t>Diệu Lê</t>
  </si>
  <si>
    <t>345132068</t>
  </si>
  <si>
    <t xml:space="preserve">Bé nhà chị 10 tuổi, năm nay học lớp 5
</t>
  </si>
  <si>
    <t>10/7: Mẹ bận, tối gọi lại
11/7: KNM
14/7; Nhắn tin, mẹ thả tym
29/7: ,Nhắn mẹ k rep
2/8: Nhắn lại mẹ k rep</t>
  </si>
  <si>
    <t>Văn Mỹ Linh</t>
  </si>
  <si>
    <t>975084989</t>
  </si>
  <si>
    <t>Nguyễn Thị Minh Phước</t>
  </si>
  <si>
    <t>377768976</t>
  </si>
  <si>
    <t>Phạm Nguyễn Khánh Linh</t>
  </si>
  <si>
    <t>962986799</t>
  </si>
  <si>
    <t>10/7: goi ko nghe máy
11/7: gọi knm</t>
  </si>
  <si>
    <t>Phan Thị Mai</t>
  </si>
  <si>
    <t>977114179</t>
  </si>
  <si>
    <t>10/7: gọi nhưng cắt máy ngang, đừng làm phiền nữa</t>
  </si>
  <si>
    <t>334428116</t>
  </si>
  <si>
    <t>10/7: gọi nhưng tắt ngang, ko nhu cầu</t>
  </si>
  <si>
    <t>Ngô Tới</t>
  </si>
  <si>
    <t>984888555</t>
  </si>
  <si>
    <t>10/7:chưa liên lạc dc</t>
  </si>
  <si>
    <t>Nguyễn Phượng</t>
  </si>
  <si>
    <t>967629119</t>
  </si>
  <si>
    <t>10/7: chưa liên lạc được</t>
  </si>
  <si>
    <t>mẹ Mỹ Ly</t>
  </si>
  <si>
    <t>981399852</t>
  </si>
  <si>
    <t>10/7: chưa liên lac dc</t>
  </si>
  <si>
    <t>Hoàng Thị Hải</t>
  </si>
  <si>
    <t>983517724</t>
  </si>
  <si>
    <t>10/7: chưa liên lac được</t>
  </si>
  <si>
    <t>Lê Thị Yến</t>
  </si>
  <si>
    <t>399264969</t>
  </si>
  <si>
    <t>10/7: gọi knm
11/7: từ chối cúp ngang</t>
  </si>
  <si>
    <t>Lê Thị Liên</t>
  </si>
  <si>
    <t>363271748</t>
  </si>
  <si>
    <t>10/7: gọi knm
11/7: gọi nghe học hí cao quá từ chối knc</t>
  </si>
  <si>
    <t>Ngân Hà</t>
  </si>
  <si>
    <t>978329368</t>
  </si>
  <si>
    <t>10/7: gọi knm
11/7: gọi từ chối</t>
  </si>
  <si>
    <t>Song Thư</t>
  </si>
  <si>
    <t>373747973</t>
  </si>
  <si>
    <t>10/7: gọi knm
11/7: gọi knm</t>
  </si>
  <si>
    <t>Hải Yến</t>
  </si>
  <si>
    <t>902249681</t>
  </si>
  <si>
    <t>10/7; gọi knm
11/7: liên lạc từ chối cúp ngang</t>
  </si>
  <si>
    <t>Thanh Yên</t>
  </si>
  <si>
    <t>942235777</t>
  </si>
  <si>
    <t>Trẻ em, tư vấn qua Zalo, KH ở nước ngoài</t>
  </si>
  <si>
    <t>10/7: sdt thuê bao ko liên lạc dc</t>
  </si>
  <si>
    <t>Hoài Thương Nguyễn</t>
  </si>
  <si>
    <t>An Nhiên</t>
  </si>
  <si>
    <t>0934836952</t>
  </si>
  <si>
    <t>Con 4 tuổi tìm lớp Online</t>
  </si>
  <si>
    <t>10/7: liên lạc nhưng mẹ bảo sợ con còn nhỏ quá khó theo học được nên từ chối</t>
  </si>
  <si>
    <t>bảo khuyên</t>
  </si>
  <si>
    <t>Trần Ngọc An Diệp</t>
  </si>
  <si>
    <t>0933034498</t>
  </si>
  <si>
    <t>Con ngoan hiền, lễ phép, tập trung khi tham gia test. Không gian test hơi ồn và bị vọng âm nên chưa nghe được rõ lắm.
Tốc độ phản xạ: Chưa nhanh. Vì con chưa có vốn từ đủ rộng. Con vẫn rất nhanh nhẹn.
 Con có thể trả lời được các câu hỏi cơ bản của cô về thông tin cá nhân, sở thích, tuy nhiên cấu trúc câu của con còn hạn chế.
Con phát âm chưa hay, không có âm cuối và nối âm.
Con dùng được câu hoàn chỉnh và biết sử dụng các cấu trúc cơ bản như "There is...", "There are..." và một số câu đơn khác.
Con có thể nắm được số từ 1-100. 
Con nắm được bảng chữ cái nhưng khi đánh vần còn bị nhầm lẫn 1 số chữ khó như H, G, J.
Con có những vốn từ tương đối về các chủ đề: cá nhân, hoạt động, màu sắc, con vật, đồ vật, thể thao...
Con chưa áp dụng được ngữ pháp.
Con cần rèn luyện thêm về từ vựng và ngữ pháp với chương trình : GTPX Level 2</t>
  </si>
  <si>
    <t>10/7: đã liên lạc học trực tiếp tại Anh Việt, học onl trên Babilala. xếp lịch test tối thứ 4, nhưng gửi lời mời kb ko nhận chặn nhận tin nhắn từ người lạ
11/7 liên lạc xếp lịch test tối thứ 4</t>
  </si>
  <si>
    <t>Hoa Lưu</t>
  </si>
  <si>
    <t>382872153</t>
  </si>
  <si>
    <t>tôi muốn đăng ký cho cháu lớp 10</t>
  </si>
  <si>
    <t>10/7: gọi ko nghe máy</t>
  </si>
  <si>
    <t>Đức Phạm</t>
  </si>
  <si>
    <t>982770569</t>
  </si>
  <si>
    <t>10/4:gọi ko nghe máy</t>
  </si>
  <si>
    <t>Kim Cương</t>
  </si>
  <si>
    <t>Hoàng Giang San</t>
  </si>
  <si>
    <t>913043977</t>
  </si>
  <si>
    <t>15 tuổi. Chưa học trung tâm. Mục tiêu 4 kĩ năng</t>
  </si>
  <si>
    <t>Con ngoan hiền, lễ phép. Con tập trung khi tham gia buổi test.
Tốc độ phản xạ: Chưa nhanh. Vì vốn từ con còn hạn chế. Con vẫn nhanh nhẹn.
Con có thể nghe và trả lời những câu hỏi giao tiếp cơ bản về tên, tuổi, nơi ở,...
Phát âm còn phải điều chỉnh nhiều. Chưa có âm cuối và chưa nối âm. Đang bị giọng địa phương khi nói tiếng Anh.
Con dùng được câu hoàn chỉnh tuy nhiên cấu trúc câu chưa được chính xác. 
Con có thể nắm được số từ 1-10000. Các số lớn hơn 1000 còn chậm.
Con thuộc bảng chữ cái. Đánh vần với tốc độ vừa phải.
Con có vốn từ cơ bản về các chủ đề: con vật, đồ vật, thể thao, vị trí,..
Con nắm được thì hiện tại đơn, tiếp diễn, hiện tại hoàn thành, tương lai đơn. Con chia thì vào bài tập được nhưng con chưa sử dụng được ngữ pháp khi nói.
Con cần rèn luyện thêm về từ vựng và ngữ pháp với chương trình : GTPX Level 4.</t>
  </si>
  <si>
    <t>10/7: xếp lịch test tối thứ 4
12/7: trả kq test, tư vấn tiếp
15/7: mẹ từ chối vì học phí cao ko đủ đê theo học</t>
  </si>
  <si>
    <t>Lang Hồng</t>
  </si>
  <si>
    <t>0396365727</t>
  </si>
  <si>
    <t>10/7: Zalo chặn tin nhắn người lạ, KNM
11/7: KNM</t>
  </si>
  <si>
    <t>Tuyetmuahegmaicom</t>
  </si>
  <si>
    <t>Lê Thị Lâm Tuyền</t>
  </si>
  <si>
    <t>0382102021</t>
  </si>
  <si>
    <t>10/7: KNM
11/7: Hẹn tối gọi + KNM</t>
  </si>
  <si>
    <t>984814815</t>
  </si>
  <si>
    <t>nhắn zalo. Người lớn học</t>
  </si>
  <si>
    <t>10/7: KNM, Zalo k kết bạn được, KNM</t>
  </si>
  <si>
    <t>Mỹ Châu</t>
  </si>
  <si>
    <t>Nguyễn Bảo Khánh</t>
  </si>
  <si>
    <t>933457599</t>
  </si>
  <si>
    <t>Lớp 2, tìm hiểu bản ngữ, đã học IIa, muốn học về giao tiếp, chọn philipp</t>
  </si>
  <si>
    <t>10/7: KNM + KNM
11/7: Hẹn test 20h30 tối 12/7
12/7: Bé không vào test 
20/7: Mẹ k rep tn, gọi k được</t>
  </si>
  <si>
    <t>Trịnh Quốc Nguyên Khoa</t>
  </si>
  <si>
    <t>0977535477</t>
  </si>
  <si>
    <t>10/7: KNM</t>
  </si>
  <si>
    <t>Mỹ Thanh Đặng</t>
  </si>
  <si>
    <t>Phạm Minh Son</t>
  </si>
  <si>
    <t>0905095837</t>
  </si>
  <si>
    <t>Con ngoan hiền, lễ phép, tập trung khi tham gia test. 
Tốc độ phản xạ: Chưa được nhanh
Con trả lời được câu hỏi của cô về tên, màu sắc và yêu thích nhưng chưa trả lời được câu hỏi của cô về tuổi, sức khỏe và một số câu hỏi khác.
Con có xu hướng lặp lại các câu hỏi của cô tuy nhiên con đưa ra câu trả lời chưa được nhanh hoặc chưa trả lời được.
Con nghe hiểu được chưa tốt các câu hỏi của cô.
Phát âm chưa đúng và không có âm cuối. 
Con chưa dùng được nhiều câu hoàn chỉnh, chủ yếu con dùng từ lẻ.
Con mới nắm được số từ 1-100, tuy nhiên con còn nhầm lẫn cách đọc số 59.
Con chưa nắm được số thứ tự.
Con nắm được bảng chữ cái. Tuy nhiên con chưa đánh vần được vì con nghe hiểu chưa tốt yêu cầu của cô mặc dù cô có gợi ý.
Con nắm được từ vựng cơ bản về con vật, đồ vật, tuy nhiên con có vốn từ chưa nhiều về vị trí, môn thể thao, thời tiết,..
Con cần rèn luyện thêm về từ vựng và cấu trúc câu với chương trình : GTPX Level 1,</t>
  </si>
  <si>
    <t>các chiều trong tuần từ 15-16h. sáng thứ 3-5-7</t>
  </si>
  <si>
    <t>10/7: xếp lịch test chiều thứ 2
11/7: trả kết quả test, thứ 6 mẹ trả lời</t>
  </si>
  <si>
    <t>Nữ Nữ</t>
  </si>
  <si>
    <t>0766503041</t>
  </si>
  <si>
    <t>Giao tiếp cho người mất gốc</t>
  </si>
  <si>
    <t>10/7: Đã liên lạc và đợi hẹn test
12/7: Bé chưa sắp xếp lịch, khi nào cần bé sẽ liên lạc</t>
  </si>
  <si>
    <t>Hồng Doanh</t>
  </si>
  <si>
    <t>0914510531</t>
  </si>
  <si>
    <t>Khoá toeic bên mình lộ trình và học phí như nào vậy ạ
Mục tiêu 600+</t>
  </si>
  <si>
    <t>10/7: Đã tư vấn và hẹn test
12/7: Hẹn test chưa được, nhắn tin Zalo k trả lời</t>
  </si>
  <si>
    <t>mẹ Thu Hiền</t>
  </si>
  <si>
    <t>Đỗ Quỳnh Nhi</t>
  </si>
  <si>
    <t>0934877922</t>
  </si>
  <si>
    <t>cũng từng học trung tâm, đã đi test khá nhiều kết quả tương đương bậc Mover</t>
  </si>
  <si>
    <t>Quỳnh Nhi
Con ngoan hiền, lễ phép.
Con có thể trả lời những câu hỏi cơ bản của cô về tên, tuổi, và sở thích,..
Con rất tập trung khi tham gia test.
Tốc độ phản xạ: Khá tốt 
Con dùng được các câu hoàn chỉnh và sử dụng được cấu trúc câu khi nói.
Con phát âm đúng các từ cơ bản, con có chú ý âm cuối nhưng vài từ vẫn bị sót âm cuối và chưa nối âm nhiều khi nói.
Con nắm được đến chữ số hàng triệu.
Con nắm được số thứ tự. 
Con nắm được bảng chữ cái và đánh vần được tốt các từ.
Con có vốn từ vựng phong phú về con vật, đồ vật, vị trí, thời tiết, môn thể thao, thời gian,..
Con áp dụng được ngữ pháp khi nói tuy nhiên đôi câu còn nhầm lẫn cấu trúc câu.
Con có kĩ năng nghe tốt và trả lời được các câu hỏi liên quan đến bài nghe.
Kiến thức ngữ pháp về các thì của con chưa chắc.
Con cần cải thiện thêm kiến thức ngữ pháp của con về các thì.
Con cần rèn luyện thêm về từ vựng và cấu trúc với chương trình: VUI level 1</t>
  </si>
  <si>
    <t>11/7: đã liên lạc, kb zalo và gửi thông tin, đang trao đồi khung thời gian tham gia test, hẹn lịch test sáng thứ 7
15/7: trả kết quả test trao đổi với mẹ
16-17/7: thuyết phục gửi các thông tin giáo trình về bài học 
19/7: mẹ từ chối muốn cn quay lại khi đủ kĩ năng học lv 4 vì hiện tại lv 3 con đã nắm 80%</t>
  </si>
  <si>
    <t>Bố Hưng</t>
  </si>
  <si>
    <t>Nguyễn Tường Chi</t>
  </si>
  <si>
    <t>(mẹ Phuong Duong Ngọc Sang VUI4 gioi thieu)</t>
  </si>
  <si>
    <t>Con ngoan hiền, lễ phép, tập trung khi tham gia test. 
Tốc độ phản xạ: Còn hơi chậm
 Con có thể trả lời được các câu hỏi cơ bản của cô về thông tin cá nhân, sở thích, tuy nhiên cấu trúc câu của con còn hạn chế.
Con phát âm các từ cơ bản, nhưng con cần chú ý hơn khi phát âm các từ có âm cuối và nối âm.
Con dùng được câu hoàn chỉnh và biết sử dụng các cấu trúc cơ bản như "There is...", "There are..." và một số câu đơn khác.
Con có thể nắm được số từ 1-100. 
Con nắm được bảng chữ cái và đánh vần được với tốc độ tốt.
Con có những vốn từ tương đối về các chủ đề: cá nhân, hoạt động, màu sắc, con vật, đồ vật, thể thao...
Con chưa có kiến thức về các thì.
Con cần rèn luyện thêm về từ vựng và ngữ pháp với chương trình : 1/2 GTPX Level 2</t>
  </si>
  <si>
    <t>11/7: Đã gửi các thông tin, hẹn test 15h30 chiều 11/7
11/7: Trả test
12/7: Bố muốn cho bé học thử 3 buổi, hẹn học thử từ ngày 13/7
14/7: Bố nộp 525,000 tiền học thử 3 buổi rồi sẽ quyết định cho bé học sau</t>
  </si>
  <si>
    <t>19/7: Bố đóng học phí 25 buổi cho bé là 4.375.000</t>
  </si>
  <si>
    <t>29/7: Bố hẹn đóng học phí 22 buổi còn lại trong khoá 50 buổi</t>
  </si>
  <si>
    <t>Phong Phú Phạm</t>
  </si>
  <si>
    <t>Phạm Đăng Hải Yến</t>
  </si>
  <si>
    <t>bố Phong:0905629379
mẹ Trang: 0915911943</t>
  </si>
  <si>
    <t>chỉ mới học kèm cô giáo trên trường.  (mẹ Ngọc Sang VUI04 giới thiệu)</t>
  </si>
  <si>
    <t>Hải Yến
Con ngoan hiền, lễ phép.
Con có thể trả lời những câu hỏi cơ bản của cô về tên, tuổi, và sở thích,..
Con rất tập trung khi tham gia test.
Con vui tươi khi tham gia buổi test.
Tốc độ phản xạ: Khá ổn. 
Con dùng được các câu hoàn chỉnh và sử dụng được cấu trúc câu đúng.
Con phát âm được các từ cơ bản, con có chú ý âm cuối nhưng vài từ vẫn bị sót âm cuối và chưa có nối âm khi nói.
Con nắm được đến chữ số hàng trăm.
Con nhầm cách đọc số 59.
Con chưa được số thứ tự. 
Con nắm được bảng chữ cái và đánh vần được tốt các từ.
Con có vốn từ vựng cơ bản về con vật, đồ vật, vị trí, thời tiết, môn thể thao, thời gian,..
Con áp dụng được ngữ pháp khi nói tuy nhiên đôi câu còn nhầm lẫn cấu trúc câu.
Con cần cải thiện thêm kiến thức ngữ pháp của con về các thì.
Con cần rèn luyện thêm về từ vựng và cấu trúc với chương trình GTPX Level 3 hoặc VUI level 1</t>
  </si>
  <si>
    <t>11/7: gọi trao đổi hẹn lịch test tối thứ 5</t>
  </si>
  <si>
    <t>Phạm Đăng Gia Hân</t>
  </si>
  <si>
    <t>con đang học ielts 6.5 muốn cải thiện thêm và phát triển thêm</t>
  </si>
  <si>
    <t xml:space="preserve">Con ngoan hiền, lễ phép và tập trung cao khi tham gia buổi test 
Con có thể nghe hiểu tốt và trả lời tốt các câu hỏi trong một lần.
Con viết cách mở rộng câu trả lời của con và cung cấp được nhiều thông tin khi trả lời các câu hỏi của cô.
Khả năng phản xạ: Khá nhanh 
Con có vốn từ khá rộng về các chủ đề như sức khỏe, môi trường, công nghệ, sở thích,.. và con có thể dùng được các từ vựng với độ khó khá cao.
Con có khá nhiều ý tưởng khi cô hỏi các chủ đề liên quan đến các vấn đề xã hội và có thể đưa ra được quan điểm của mình. Cần luyện thêm để cách trình bày một vấn đề được logic và chặt chẽ hơn.
Phát âm hay và tự nhiên.
Sử dụng được ngữ pháp khi nói. Vẫn còn cần luyện tập để được chính xác hơn nữa. </t>
  </si>
  <si>
    <t>Nguyễn Thái</t>
  </si>
  <si>
    <t>944272777</t>
  </si>
  <si>
    <t>11/7: Hẹn lịch test 12/7 lúc 9h sáng
12/7: Gọi KNM, K TEST</t>
  </si>
  <si>
    <t>Quynh Theu Vu</t>
  </si>
  <si>
    <t>0937766406</t>
  </si>
  <si>
    <t>data check</t>
  </si>
  <si>
    <t>12/7: từ chối con đâng theo học của gv chủ nhiệm</t>
  </si>
  <si>
    <t>Mẹ Tình</t>
  </si>
  <si>
    <t>Hà Quân - Henry</t>
  </si>
  <si>
    <t>935880857</t>
  </si>
  <si>
    <t>DĐang học GTPX up 5, muốn học thêm VUI</t>
  </si>
  <si>
    <t xml:space="preserve">12/7: trao đổi học phí và lịch học </t>
  </si>
  <si>
    <t>Mẹ Thúy Hằng</t>
  </si>
  <si>
    <t>Fifa- Minh QUân</t>
  </si>
  <si>
    <t>Lop 5</t>
  </si>
  <si>
    <t>0932438239</t>
  </si>
  <si>
    <t>Quân 10 years old
Con ngoan hiền, lễ phép, tập trung khi tham gia test. 
Tốc độ phản xạ: Chưa nhanh. Vì vốn từ của con còn hạn chế nên con nghe không hiểu câu hỏi. Con vẫn hoạt bát. 
Con có vốn từ hẹp về các chủ đề: cá nhân, hoạt động, màu sắc, con vật, đồ vật, thể thao...
Phát âm còn phải điều chỉnh nhiều. Con thiếu độ lưu loát, ngữ điệu và nối âm khi nói.
Con dùng được một số câu hoàn chỉnh. Tuy nhiên còn chưa nhân biệt được số ít số nhiều. Cấu trúc câu chưa đa dạng. Đa số con dùng it's và I'm...
Con chưa nắm được chắc số đếm. Mắc lỗi với số 7,20, 25, hundred,... 
Con chưa nắm được 70% bảng chữ cái. Tốc độ đánh vần chậm và nhầm lẫn nhiều chữ cái.
Kỹ năng đọc hiểu chưa tốt. 
Con cần rèn luyện thêm về từ vựng và ngữ pháp với chương trình : GTPX Level 1.</t>
  </si>
  <si>
    <t>12/7: gọi trao đổi thông tin hẹn lịch test</t>
  </si>
  <si>
    <t>Mẹ Cà Rốt</t>
  </si>
  <si>
    <t>Carrot
Võ Phạm Thảo Ngân (Mina)</t>
  </si>
  <si>
    <t>9 tuỏi</t>
  </si>
  <si>
    <t>0983 099 895</t>
  </si>
  <si>
    <t>Con ngoan hiền, lễ phép, tập trung khi tham gia test. 
Tốc độ phản xạ: Chậm. Vì vốn từ của con còn hạn chế.
Con có vốn từ hạn chế về các chủ đề: cá nhân, hoạt động, màu sắc, con vật, đồ vật, thể thao...
Phát âm còn phải điều chỉnh nhiều. Con thiếu độ lưu loát, ngữ điệu và nối âm khi nói.
Con chưa dùng được câu hoàn chỉnh.
Con chưa nắm được số đếm nhiều. 
Con chưa nắm được 80% bảng chữ cái. Tốc độ đánh vần chậm.
Con cần rèn luyện thêm về từ vựng và ngữ pháp với chương trình : GTPX Level 1.</t>
  </si>
  <si>
    <t>chiều 3-5-7:
sáng: trừ sáng 2.3.4</t>
  </si>
  <si>
    <t>Phước An</t>
  </si>
  <si>
    <t>0969718196</t>
  </si>
  <si>
    <t>12/7: Mẹ bận nên hẹn nhắn Zalo nhưng mẹ vẫn chưa đồng ý kb</t>
  </si>
  <si>
    <t>Thu Sa</t>
  </si>
  <si>
    <t>0905890959</t>
  </si>
  <si>
    <t>Bé chưa từng học trung tâm, mẹ không rõ năng lực tập trung của bé</t>
  </si>
  <si>
    <t xml:space="preserve">Bé sẽ học khoá Starter </t>
  </si>
  <si>
    <t>12/7: Hẹn lịch test 18h30 ngày 12/7
12/7: Đã test và bé sẽ học lớp Starter</t>
  </si>
  <si>
    <t>Huong Duong</t>
  </si>
  <si>
    <t>0977522245</t>
  </si>
  <si>
    <t>12/7: KNM, K ĐỔ CHUÔNG</t>
  </si>
  <si>
    <t>0902138054</t>
  </si>
  <si>
    <t>12/7: Số máy quý khách vừa gọi không có</t>
  </si>
  <si>
    <t>Mẹ Yên An</t>
  </si>
  <si>
    <t xml:space="preserve">Nguyễn Trí Nam </t>
  </si>
  <si>
    <t>Số mẹ: 0989886221
Số bố: 0937067612</t>
  </si>
  <si>
    <t>Yên An</t>
  </si>
  <si>
    <t>Bé học chương trình cơ bản. Nghe tốt nhưng k có môi trường để nói và tương tác</t>
  </si>
  <si>
    <t>Trí Nam
Con ngoan hiền, lễ phép.
Con có thể trả lời những câu hỏi cơ bản của cô về tên, tuổi, và sở thích,..
Con rất tập trung khi tham gia test.
Tốc độ phản xạ: Khá ổn. 
Con dùng được các câu hoàn chỉnh và sử dụng được cấu trúc câu đúng.
Con phát âm được các từ cơ bản, con có chú ý âm cuối nhưng vài từ vẫn bị sót âm cuối và chưa có nối âm khi nói.
Con nắm được đến chữ số hàng trăm.
Con nắm được số thứ tự. 
Con nắm được bảng chữ cái và đánh vần được tốt các từ.
Con có vốn từ vựng cơ bản về con vật, đồ vật, vị trí, thời tiết, môn thể thao, thời gian,..
Con áp dụng được ngữ pháp khi nói tuy nhiên đôi câu còn nhầm lẫn cấu trúc câu.
Con cần cải thiện thêm kiến thức ngữ pháp của con về các thì.
Con cần rèn luyện thêm về từ vựng và cấu trúc với chương trình GTPX Level 3</t>
  </si>
  <si>
    <t>12/7:  Đã nhắn tin tư vấn toàn bộ các lộ trình, hẹn test lúc 18h-18h30 ngày 13/7
14/7: Trả test, mẹ chốt khoá GTPX up 3 học kèm 1-2 học 50 buổi</t>
  </si>
  <si>
    <t>Tran Pham Nam Tran</t>
  </si>
  <si>
    <t>0914138274</t>
  </si>
  <si>
    <t>12/7: gọi kb zalo, tối gọi lại</t>
  </si>
  <si>
    <t>Nguyễn Thương</t>
  </si>
  <si>
    <t>0972388153</t>
  </si>
  <si>
    <t>12/7: con đang học ở trung tâm, chưa có nhu cầu thay đổi</t>
  </si>
  <si>
    <t>Duy Chinh Vu</t>
  </si>
  <si>
    <t xml:space="preserve"> 0981433436</t>
  </si>
  <si>
    <t>12/7: KNM</t>
  </si>
  <si>
    <t>Tiên Lê</t>
  </si>
  <si>
    <t>0934910984</t>
  </si>
  <si>
    <t>Dương Bích Vui</t>
  </si>
  <si>
    <t>0934854531</t>
  </si>
  <si>
    <t>12/7: gọi knm
21/7: gọi lại mẹ chưa có nhu cầu cho con học vì con còn nhỏ mới dc 3 tuổi rưỡi</t>
  </si>
  <si>
    <t>Giáng My nguyễn</t>
  </si>
  <si>
    <t>0986114935</t>
  </si>
  <si>
    <t>13/7: gọi knm
21/7: gọi lại bảo không có nhu cầu đừng làm phiền</t>
  </si>
  <si>
    <t>Hoàng Giang</t>
  </si>
  <si>
    <t>Nguyễn Hoàng Minh Thư</t>
  </si>
  <si>
    <t>0914049048</t>
  </si>
  <si>
    <t>(Mẹ bé Trí Nam giới thiệu)</t>
  </si>
  <si>
    <t>Minh Thư
Con ngoan hiền, lễ phép.
Con tập trung khi tham gia test.
Tốc độ phản xạ: Khá ổn
Con có thể trả lời những câu hỏi cơ bản về thông tin cá nhân, sở thích, thành viên gia đình,..
 Con cần luyện thêm về cách phát triển chủ đề khi giao tiếp và đặt câu hỏi.
Con có thể phát âm cơ bản nhưng cần cải thiện thêm phát âm âm cuối và nối âm.
Con có thể nắm được đến các số hàng trăm.
Con nắm được bảng chữ cái và đánh vần được tốt các từ.
Con có vốn từ vựng cơ bản về con vật, đồ vật, so sánh, vị trí, thời gian, thời tiết,...
Con có thể đọc hiểu và trả lời được đúng các câu hỏi liên quan đến bài đọc hiểu.
Con nắm chưa được nhiều kiến thức ngữ pháp về các thì.
Con cần rèn luyện thêm về từ vựng và cấu trúc với chương trình: 1/2 GTPX UP2</t>
  </si>
  <si>
    <t>13/7: Hẹn lịch test 15/7 lúc 14h30
15/7: Trả test
17/7: Mẹ cân nhắc 
4/8: Từ chối</t>
  </si>
  <si>
    <t>Truyền Nguyễn</t>
  </si>
  <si>
    <t>0975419069</t>
  </si>
  <si>
    <t>13/7: đã nt zalo trao đổi chưa thấy phản hồi ạ
20/7: gọi knm
21/7: gọi bảo bận bảo gọi lại sau</t>
  </si>
  <si>
    <t>Quyên Lê</t>
  </si>
  <si>
    <t>Phạm Tú Linh</t>
  </si>
  <si>
    <t>0985544003</t>
  </si>
  <si>
    <t>Bé  mới học tiếng Anh gần đây</t>
  </si>
  <si>
    <t>Con ngoan hiền, lễ phép. 
Con tập trung khi tham gia buổi test.
Tốc độ phản xạ: Con nhanh nhẹn, tiếp thu nhanh. Trí nhớ ngắn hạn khá tốt.
Con có thể phát âm khá tự nhiên, có âm cuối. Vẫn cần luyện tập thêm.
Con có thể nghe và trả lời những câu hỏi giao tiếp cơ bản về tên, tuổi, màu sắc,...
Con chưa dùng được câu hoàn chỉnh nhiều.
Con có thể nắm được số từ 1-10.
Con chưa thuộc bảng chữ cái.
Con có vốn từ tương đối so với độ tuổi về các chủ đề: con vật, đồ vật, màu sắc,...
Con cần rèn luyện thêm về từ vựng và ngữ pháp với chương trình: GTPX Level 1.</t>
  </si>
  <si>
    <t xml:space="preserve">13/7: Đã tư vấn và chờ hẹn lịch 
18/7; Hẹn lịch test 19h30 ngày 20/7
21/7: Mẹ chốt khoá GTPX up1 kèm 1-1 học 50b
</t>
  </si>
  <si>
    <t>Ngoc Huynh</t>
  </si>
  <si>
    <t>Hà Mai Phương</t>
  </si>
  <si>
    <t xml:space="preserve">13/7: Đã kết bạn Zalo tư vấn
1/8: Đã gọi mẹ rồi nhưng bé chưa về, bé còn ở quê </t>
  </si>
  <si>
    <t>trần Phương HIền</t>
  </si>
  <si>
    <t>thái trần trí việt</t>
  </si>
  <si>
    <t>0989079169</t>
  </si>
  <si>
    <t>Trí Việt
Con ngoan hiền, lễ phép.
Con có thể trả lời những câu hỏi cơ bản của cô về tên, tuổi, và sở thích,..
Con rất tập trung khi tham gia test.
Tốc độ phản xạ: Khá ổn. 
Con dùng được các câu hoàn chỉnh và sử dụng được cấu trúc câu đúng.
Con phát âm được các từ cơ bản, con có chú ý âm cuối nhưng vài từ vẫn bị sót âm cuối và chưa có nối âm khi nói.
Con nắm được đến chữ số hàng trăm.
Con nắm được số thứ tự. 
Con nắm được bảng chữ cái và đánh vần được tốt các từ.
Con có vốn từ vựng cơ bản về con vật, đồ vật, vị trí, thời tiết, môn thể thao, thời gian,..
Con áp dụng được ngữ pháp khi nói tuy nhiên đôi câu còn nhầm lẫn cấu trúc câu.
Có có kiến thức cơ bản về các thì tuy nhiên con nắm kiến thức chưa chắc
Con cần rèn luyện thêm về từ vựng và cấu trúc với chương trình GTPX Level 3 hoặc Vườn Ươm level 1.</t>
  </si>
  <si>
    <t>14/7: đã nt trao đổi với phụ huynh
15/7: đã xếp lịch test
17/7: trả kết quả test, mẹ cần cân nhắc
19/7: mẹ từ chối mẹ cảm thấy con phù hợp với trung tâm khác</t>
  </si>
  <si>
    <t>Lê Tân</t>
  </si>
  <si>
    <t>Lê Đoàn Bảo Châu</t>
  </si>
  <si>
    <t>0905799363</t>
  </si>
  <si>
    <t>Bé từng học trung tâm mình rồi, bố có nhu cầu muốn học giao tiếp</t>
  </si>
  <si>
    <t>Bảo Châu
Con ngoan hiền, lễ phép.
Con có thể trả lời những câu hỏi cơ bản của cô về tên, tuổi, và sở thích,..
Con rất tập trung khi tham gia test.
Tốc độ phản xạ: Khá tốt 
Con dùng được các câu hoàn chỉnh và sử dụng được cấu trúc câu khi nói.
Con phát âm đúng các từ cơ bản, con có chú ý âm cuối nhưng vài từ vẫn bị sót âm cuối và chưa nối âm nhiều khi nói.
Con nắm được đến chữ số hàng triệu.
Con nắm được số thứ tự. 
Con nắm được bảng chữ cái và đánh vần được tốt các từ.
Con có vốn từ vựng phong phú về con vật, đồ vật, vị trí, thời tiết, môn thể thao, thời gian,..
Con áp dụng được ngữ pháp khi nói tuy nhiên đôi câu còn nhầm lẫn cấu trúc câu.
Con có kĩ năng nghe tốt và trả lời được các câu hỏi liên quan đến bài nghe.
Kiến thức ngữ pháp về các thì của con chưa chắc.
Con cần cải thiện thêm kiến thức ngữ pháp của con về các thì.
Con cần rèn luyện thêm về từ vựng và cấu trúc với chương trình: GTPX level 4</t>
  </si>
  <si>
    <t xml:space="preserve">15/7: Hẹn lịch test 10h30 sáng 15/7
15/7: Trả test
18/7: Bé từ chối học vì lịch bận </t>
  </si>
  <si>
    <t>Vân Huỳnh</t>
  </si>
  <si>
    <t>0914.35.44.78</t>
  </si>
  <si>
    <t>15/7: KNM</t>
  </si>
  <si>
    <t>Huỳnh Hồng</t>
  </si>
  <si>
    <t>0901131355</t>
  </si>
  <si>
    <t>Tiếng anh cho bé 10 tuổi</t>
  </si>
  <si>
    <t>14/7: ,muốn lịch học linh động theo tuần, ko xêp dc lịch cố định. ko phù hợp</t>
  </si>
  <si>
    <t>Huyền Thương</t>
  </si>
  <si>
    <t>0379068627</t>
  </si>
  <si>
    <t>Lớp 8 chỉ muốn luyện khả năng nghe, nói nhiều tăng khả năng tự tin. Như là kiểu mất gốc.</t>
  </si>
  <si>
    <t>15/7: gọi ko nghe máy, ko kb zalo dc
17/7: gọi bận bảo trao đổi sau</t>
  </si>
  <si>
    <t>Huương Lee</t>
  </si>
  <si>
    <t>0818168899</t>
  </si>
  <si>
    <t>15/7: Mẹ đang bận, tối gọi lại</t>
  </si>
  <si>
    <t>Thiện Võ</t>
  </si>
  <si>
    <t>0936000335</t>
  </si>
  <si>
    <t>Bé 6 tuổi, chỉ học tiếng Anh ở trường mầm non, chưa học đâu cả</t>
  </si>
  <si>
    <t>17/7: Học phí cao, mẹ k có điều kiện
20/7: KNM + Mẹ bảo mẹ có nhiều sự lựa chọn hơn nên mẹ k học</t>
  </si>
  <si>
    <t>0888288699</t>
  </si>
  <si>
    <t>17/7: Mẹ bận k nghe máy, đã gửi thông tin cho mẹ</t>
  </si>
  <si>
    <t>Trương Quỳnh Châu</t>
  </si>
  <si>
    <t>Huỳnh Nhật Minh</t>
  </si>
  <si>
    <t>Lên lớp 2</t>
  </si>
  <si>
    <t>0914922319</t>
  </si>
  <si>
    <t>Bé từng học trung tâm rồi, nhưng mẹ nói trung tâm dạy chậm nên cho bé nghỉ. Mẹ làm ở nước ngoài nhiều năm nên có thể dạy bé một chút</t>
  </si>
  <si>
    <t>17/7: Gửi thông tin cho mẹ, đợi mẹ phản hồi</t>
  </si>
  <si>
    <t>Mẹ Thúy</t>
  </si>
  <si>
    <r>
      <rPr>
        <rFont val="Cambria"/>
        <color rgb="FFFF0000"/>
        <sz val="11.0"/>
      </rPr>
      <t xml:space="preserve">Học viên đã từng tham gia học Phonics Fun - đã học xong chăm sóc lại để chốt khóa mới
</t>
    </r>
    <r>
      <rPr>
        <rFont val="Cambria"/>
        <b/>
        <color rgb="FFFF0000"/>
        <sz val="11.0"/>
      </rPr>
      <t>Tùng học tốt nhất lớp.</t>
    </r>
  </si>
  <si>
    <t xml:space="preserve">Tùng UP1  </t>
  </si>
  <si>
    <t>17/7: Tư vấn khoá GTPX
17/7: Mẹ chốt khoá GTPX up1 kèm 1-1 học 50b, đã ck</t>
  </si>
  <si>
    <t>Học viên đã từng tham gia học Phonics Fun - đã học xong chăm sóc lại để chốt khóa mới</t>
  </si>
  <si>
    <t>Con ngoan hiền, lễ phép. 
Con tập trung khi tham gia buổi test.
Tốc độ phản xạ: Khá ổn
 Đoạn đầu khi tham gia test thì mạng và mic của con không được ổn định nên cô không nghe được rõ con nói. 
Con có thể phát âm những từ cơ bản, con cần chú ý hơn về âm cuối và nối âm.
Con có thể nghe và trả lời những câu hỏi giao tiếp cơ bản về tên, tuổi, màu sắc,...
Con nói được câu hoàn chỉnh tuy nhiên còn cần đa dạng thêm cấu trúc.
Con có thể nắm được số từ 1-20.
Con thuộc bảng chữ cái. Đánh vần với tốc độ chưa nhanh.
Con còn phải nhẩm lại bảng chữ cái thì mới đánh vần được.
Con có vốn từ tương đối so với độ tuổi về các chủ đề: con vật, đồ vật, thể thao, các thứ trong tuần...
Con cần rèn luyện thêm về từ vựng và ngữ pháp với chương trình : GTPX Level 1.</t>
  </si>
  <si>
    <t>17/7:trưa gọi lại
18/7: hẹn lịch test tối thứ 4</t>
  </si>
  <si>
    <t xml:space="preserve">Trần Thị An </t>
  </si>
  <si>
    <t>Thanh Trúc</t>
  </si>
  <si>
    <t>Thanh Trúc UP1</t>
  </si>
  <si>
    <t>17/7: trưa gọi lại
con đang đk học khóa GTPX ơ trung tâm khác con hơn 20b. kết thúc khóa học mẹ se liên lạc lại</t>
  </si>
  <si>
    <t>Mẹ Thảo Trang</t>
  </si>
  <si>
    <t>Đầu Mạnh Khang</t>
  </si>
  <si>
    <t>0935259745</t>
  </si>
  <si>
    <t>Bé từng học trung tâm rồi, mẹ muốn bé vào VUI</t>
  </si>
  <si>
    <t>Mạnh Khang
Con ngoan hiền, lễ phép.
Con có thể trả lời những câu hỏi cơ bản của cô về tên, tuổi, và sở thích,..
Con biết cách mở rộng câu trả lời của mình.
Con rất tập trung khi tham gia test.
Tốc độ phản xạ: Khá tốt.
Con dùng được các câu hoàn chỉnh và sử dụng được cấu trúc câu đúng.
Con phát âm được các từ cơ bản, con có chú ý âm cuối nhưng chưa có nối âm khi nói.
Con nắm được đến chữ số hàng nghìn.
Con nắm được số thứ tự. 
Con nắm được bảng chữ cái và đánh vần được tốt các từ.
Con có vốn từ vựng phong phú về con vật, đồ vật, vị trí, thời tiết, môn thể thao, thời gian,..
Con áp dụng được ngữ pháp khi nói.
Con có kĩ năng nói tốt hơn nghe.
Con nghe được nhưng chưa ghi nhớ được tốt thông tin nên chưa trả lời được đúng hết các câu hỏi liên quan đến bài nghe.
Kiến thức về thì của con chưa được chắc.
Con cần rèn luyện thêm về từ vựng và cấu trúc với chương trình:  Vườn Ươm level 1.</t>
  </si>
  <si>
    <t>17/7: Hẹn test 19h ngày 17/7
20/7: Mẹ chốt khoá VUI08 học 20 buổi + đã ck</t>
  </si>
  <si>
    <t>Mơ Nguyễn</t>
  </si>
  <si>
    <t>Mong muốn 1 môi trường để học giao tiếp chuẩn bị đi nước ngoài</t>
  </si>
  <si>
    <t>17/7: Chị đến trung tâm, đã báo học phí 30 buổi
2/8: Chị đã tìm được trung tâm</t>
  </si>
  <si>
    <t>Yến Nguyễn</t>
  </si>
  <si>
    <t>0909102993</t>
  </si>
  <si>
    <t>17/7: MẸ CHƯA ĐỒNG Ý KB</t>
  </si>
  <si>
    <t>Phạm Thị Thúy</t>
  </si>
  <si>
    <t>0977723290</t>
  </si>
  <si>
    <t>Khánh Thơ</t>
  </si>
  <si>
    <t>0348 752 629</t>
  </si>
  <si>
    <t xml:space="preserve">Tìm lớp Online cho bé 5 tuổi </t>
  </si>
  <si>
    <t>17/7: KNM
17/7: Mẹ đã tìm được trung tâm cho bé r</t>
  </si>
  <si>
    <t>Nong Thi Hoai</t>
  </si>
  <si>
    <t>Chúc Đình Nghĩa</t>
  </si>
  <si>
    <t>0389934002</t>
  </si>
  <si>
    <t>17/7: Đợi mẹ kết bạn
17/7: Mẹ đồng ý kết bạn.
18/7: Hẹn test 15h ngày 18/7
18/7: Trả test
20/7: Mẹ bảo bé có nhiều lịch quá nên mẹ không đăng kí được, khi nào có nhu cầu mẹ sẽ liên lạc</t>
  </si>
  <si>
    <t>mẹ tên Hằng (mẹ Tuyền giới thiệu) ko thuộc LTKM</t>
  </si>
  <si>
    <t xml:space="preserve"> Nguyễn Hoàng Quân</t>
  </si>
  <si>
    <t>Huế</t>
  </si>
  <si>
    <t>0931931323</t>
  </si>
  <si>
    <t>Con ngoan hiền, lễ phép. 
Con tập trung khi tham gia buổi test.
Tốc độ phản xạ: Còn khá chậm
Con có thể trả lời câu hỏi của cô về tên, màu sắc yêu thích, thành viên trong gia đình nhưng con chưa trả lời câu hỏi cô về tuổi, sức khỏe, sở thích,...
Con cần cải thiện thêm phát âm, đặc biệt là âm cuối.
Con ít dùng câu hoàn chỉnh khi trả lời, đa phần con dùng từ lẻ để trả lời.
Con có thể nắm được số từ 1-20.
Con nhớ chưa tốt cách đọc số 12 và con còn nhầm lẫn cách đọc số 20.
Con thuộc bảng chữ cái. Đánh vần với tốc độ vừa phải.
Con có vốn từ chưa được nhiều về các chủ đề: con vật, đồ vật, thể thao, vị trí,..
Khả năng đọc hiểu của con còn khá yếu, con chưa trả lời được các câu hỏi liên quan đến đoạn văn.
Con cần rèn luyện thêm về từ vựng và ngữ pháp với chương trình : GTPX Level 1.</t>
  </si>
  <si>
    <t>18/7: gọi knm, gửi thông tin khóa học
19/7: liên lạc xếp lịch test cho con vào chiều thứ 5
20/7: đã trả kết quả test. mẹ chọn lớp 1-2. nhắc đóng học phí</t>
  </si>
  <si>
    <t>Vũ Ngọc Hà</t>
  </si>
  <si>
    <t>0932649697</t>
  </si>
  <si>
    <t>18/7: Số điện thoại k tồn tại</t>
  </si>
  <si>
    <t>Tran Thuy</t>
  </si>
  <si>
    <t>0986357009</t>
  </si>
  <si>
    <t>18/7: KNM
20/7: KNM</t>
  </si>
  <si>
    <t>Bùi Hương Giang</t>
  </si>
  <si>
    <t>0989055780</t>
  </si>
  <si>
    <t>18/7: Không có nhu cầu</t>
  </si>
  <si>
    <t>Phuong Hong</t>
  </si>
  <si>
    <t>0988559086</t>
  </si>
  <si>
    <t>18/7: gọi ko có nhu cầu tìm lớp online</t>
  </si>
  <si>
    <t>Nguyet Nguyen</t>
  </si>
  <si>
    <t>0332673214</t>
  </si>
  <si>
    <t>18/7: gọi tắt máy ngang, ko nghe máy
20/7: gọi không nghe máy
21/7: gọi nhưng bận tắt máy ngang</t>
  </si>
  <si>
    <t>Lien Tran</t>
  </si>
  <si>
    <t>0988176819</t>
  </si>
  <si>
    <t>18/7: nt zalo trao đổi thông tin
20/7: gọi nhưng từ chối nghe trao đổi, bận gọi lại sau
21/7: nhắn tin zalo không phản hồi</t>
  </si>
  <si>
    <t>Thanh Vân - Mẹ Minh Hiếu giới thiệu</t>
  </si>
  <si>
    <t>Tạ Đức Nam</t>
  </si>
  <si>
    <t>0905 499 930</t>
  </si>
  <si>
    <t>Con ngoan hiền, lễ phép. 
Con tập trung khi tham gia buổi test. Tuy nhiên còn được nhận sự hỗ trợ từ bố/mẹ khá nhiều. 
Tốc độ phản xạ: Chưa nhanh.
Con có thể trả lời câu hỏi của cô về tên, màu sắc yêu thích, thành viên trong gia đình. Tuy nhiên chưa mở rộng được chủ đề giao tiếp.
Con phát âm khá tự nhiên nhưng còn xót âm cuối nhiều.
Con ít dùng câu hoàn chỉnh khi trả lời, đa phần con dùng từ lẻ để trả lời.
Con có thể nắm được số từ 1-100. Còn nhầm một vài số như 50,...
Con thuộc hết bảng chữ cái. Đánh vần với tốc độ khá nhanh.
Con có vốn từ chưa được nhiều về các chủ đề: con vật, đồ vật, thể thao, vị trí,..
Con chưa đọc hiểu được tốt bài đọc.
Con cần rèn luyện thêm về từ vựng và ngữ pháp với chương trình : GTPX Level 2.</t>
  </si>
  <si>
    <t>19/7: gọi trao đổi, hẹn lịch test vào tối thứ 5</t>
  </si>
  <si>
    <t>Mẹ Vân Sally</t>
  </si>
  <si>
    <t>Nguyễn Hồng Phúc</t>
  </si>
  <si>
    <t>0905682899</t>
  </si>
  <si>
    <t>(mẹ Harey giới thiệu, gửi thông tin qua thầy)</t>
  </si>
  <si>
    <t>Con ngoan hiền, lễ phép. 
Con tập trung khi tham gia buổi test. Tuy nhiên còn được nhận sự hỗ trợ từ mẹ khá nhiều. 
Tốc độ phản xạ: Chưa nhanh.
Con có thể trả lời câu hỏi của cô về tên, màu sắc yêu thích, thành viên trong gia đình nhưng các chủ đề khó hơn con chưa đáp được.
Con phát âm khá tự nhiên nhưng còn xót âm cuối nhiều.
Con ít dùng câu hoàn chỉnh khi trả lời, đa phần con dùng từ lẻ để trả lời.
Con có thể nắm được số từ 1-11.
Con nhớ chưa tốt cách đọc số 12 và con còn nhầm lẫn cách đọc số 20.
Con chưa thuộc hết bảng chữ cái. Đánh vần với tốc độ chậm.
Con có vốn từ chưa được nhiều về các chủ đề: con vật, đồ vật, thể thao, vị trí,..
Con chưa đọc được chữ nhiều.
Con cần rèn luyện thêm về từ vựng và ngữ pháp với chương trình : GTPX Level 1.</t>
  </si>
  <si>
    <t>16/6: đã liên hệ và chia sẻ nhưng do không để ý tắt điện thoại làm phụ huynh khó chịu nen chưa hẹn được lịch test cho bé
19/7: Mẹ hẹn test 9h sáng 20/7 test
20/7: Mẹ bảo học phí cao, mẹ tự dạy cho bé cũng được
11/8: Mẹ chốt khoá GTPX Up1 kèm 1-2 học 25b, CHỜ MẸ CK
14/8: LINH CHUYỂN QUA C. ÁNH</t>
  </si>
  <si>
    <t>Hà Hello</t>
  </si>
  <si>
    <t xml:space="preserve"> 0396908639</t>
  </si>
  <si>
    <t>Tranha</t>
  </si>
  <si>
    <r>
      <rPr>
        <rFont val="Cambria"/>
        <color theme="1"/>
        <sz val="11.0"/>
      </rPr>
      <t xml:space="preserve">Cmt bài viết
</t>
    </r>
    <r>
      <rPr>
        <rFont val="Cambria"/>
        <color rgb="FFFF0000"/>
        <sz val="11.0"/>
      </rPr>
      <t>Mẹ lại nhắn tin trên FP, chăm sóc lại nhé</t>
    </r>
  </si>
  <si>
    <t xml:space="preserve">17/7: Mẹ nói nhắn tin Zalo gửi học phí để mẹ tham khảo, mẹ nói học phí cao, mẹ từ chối
20/7: Mẹ không nghe máy+ Thuê bao
21/7: Mẹ bảo học phí cao quá, mẹ k theo được 
21/7: Đã giới thiệu khoá Phonics cho mẹ nhưng mẹ vẫn thấy đắt </t>
  </si>
  <si>
    <t xml:space="preserve">Nguyễn Huệ </t>
  </si>
  <si>
    <t>Trần Nguyễn Tuệ Lâm</t>
  </si>
  <si>
    <t>0819051289</t>
  </si>
  <si>
    <t>Mẹ điền form GTPX</t>
  </si>
  <si>
    <t>20/7: gọi ko nghe máy
21/7: gọi nhưng mẹ bận ko trao đổi được</t>
  </si>
  <si>
    <t>Quỳnh Nuy</t>
  </si>
  <si>
    <t>Nguyễn Minh Khoa</t>
  </si>
  <si>
    <t xml:space="preserve">906468428 </t>
  </si>
  <si>
    <t>VUI08 chuyển sang tư vấn GTPX, lý do: con k theo kịp chương trình</t>
  </si>
  <si>
    <t>GTPX UP4</t>
  </si>
  <si>
    <t>20/7: Đã gọi và trao đổi
20/7: Mẹ đồng ý kết bạn và nói mai trả lời, mẹ đang cân nhắc khoá GTPX UP4 học 1-4
21/7: Mẹ để bé học thử 1 buổi tối 21/7 ạ 
21/7: Mẹ chốt khoá GTPX up4 học 50b kèm 1-4</t>
  </si>
  <si>
    <t>0971868416</t>
  </si>
  <si>
    <t>25/5: Đã gọi cho mẹ. Đang tư vấn từ mẹ có cuộc gọi khác. Gọi lại sau.
14/6: gọi nhưng ko nghe máy
16/6: KNM
21/7: gọi lại nhưng mẹ từ chối ko muốn nghe chia sẻ và tư vấn</t>
  </si>
  <si>
    <t>Vân Trần</t>
  </si>
  <si>
    <t>Anh Thuý</t>
  </si>
  <si>
    <t>0888052738</t>
  </si>
  <si>
    <t>Tư vấn Phonics Fun cho 2 bạn lớp 1 và lớp 4</t>
  </si>
  <si>
    <t>Anh Thúy - 5 tuổi
Con ngoan hiền và tập trung khi tham gia buổi test.
Tốc độ phản xạ: Còn chậm. Con còn phụ thuộc vào mẹ. Con chưa phản xạ với tiếng Anh mà phải dịch ra tiếng Việt và chuyển qua tiếng Anh. 
Con chưa nắm được bảng chữ cái.
Con nắm được từ số 1-10. 
Con cần rèn luyện thêm về từ vựng và cấu trúc câu với chương trình GTPX Level: UP Starter</t>
  </si>
  <si>
    <t>05/06: Không nghe máy
05/06: Mẹ quan tâm đến học blending âm cho con như Suri. Hỏi kỹ học bao lâu mới được vậy. Em nói đại là 3 khoá 150 buổi =))) 
Bé lớp 4 thì không thích học tiếng Anh lắm nên mẹ sẽ thuyết phục bạn thủ tham gia test 
Hẹn test bé Lớp 1 Anh Thuý lúc 15h00 ngày 07/06 thứ 4
08/06: 11h gọi lại
10/06: Không liên lạc đc. Nt Zalo không đáp
14/6: Con không tập trung vào việc học onl, ưu tien tư vấn kèm 1-1 thời lượng 30p
22/6: Bé Anh Thuý đã tìm thấy gia sư riêng rồi, Bé lớp 4 thì đang đi trại hè
30/6: Mẹ nghe xong cúp ngang máy
5/7: Nhắn tin cho mẹ nhưng mẹ không rep
20/7: Mẹ cúp máy ngang</t>
  </si>
  <si>
    <t>Hà Thị Thu Hà</t>
  </si>
  <si>
    <t>lê thế trí</t>
  </si>
  <si>
    <t>0935302686</t>
  </si>
  <si>
    <t xml:space="preserve">Quan tâm khóa Phonics và Vườn ươm. Đã tư vấn xong giá khóa phonics, dự kiến đăng ký sáng 246 nếu còn khuyến mại. Muốn tìm hiểu kỹ về giáo viên dạy khóa này. </t>
  </si>
  <si>
    <t>Con ngoan hiền, lễ phép.
 Tập trung khi tham gia test.
Tốc độ phản xạ: Chưa nhanh
Con có thể nghe và trả lời những câu hỏi giao tiếp cơ bản. Tuy nhiên vốn từ con hạn chế nên con chưa giao tiếp được nhiều, chưa mở rộng được chủ đề khi giao tiếp.
Con cần cải thiện phát âm, về cả độ chính xác, ngữ điệu, lưu loát và đặc biệt là các âm cuối, nối âm.
Con nắm được bảng chữ cái. Tốc độ đánh vần khá nhanh, vẫn còn nhầm chữ J và G.
Con có thể nắm được số từ 1-10 000. 
Con chưa nắm hết được số thứ tự.
Con có những vốn từ cơ bản về các chủ đề: con vật, đồ vật vị trí, so sánh, thời tiết.
Con có thể trả lời các câu hỏi đọc hiểu nhưng con chưa áp dụng được ngữ pháp khi giao tiếp.
Con nắm được khái niệm một số thì trong tiếng Anh như Hiện tại đơn, Hiện tại tiếp diễn, Hiện tại hoàn thành và Quá khứ đơn, Tương lai đơn. Chưa thực sự chắc.
Con cần rèn luyện thêm về từ vựng và ngữ pháp với chương trình VUI level 1.</t>
  </si>
  <si>
    <t>16/6: gọi tư vấn và hẹn lịch test vào 16h 19/6
19/6: đổi lịch test sang sáng thứ 3 20/6
22/6: đã trả kq test, mẹ cân nhắc học phí, và sắp xếp lại lịch học của con do đang cấn lịch
25/6: có trao đổi nếu mẹ sắp xếp được thời gian mẹ sẽ tham gia lớp vườn ươm khai giảng cuối tháng 7
12/7: có liên lạc lại nhưng hiện tại con vẫn đang cấn lịch không tham gia được lớp vườn ươm</t>
  </si>
  <si>
    <t xml:space="preserve">Mẹ Dung </t>
  </si>
  <si>
    <t>0915768958</t>
  </si>
  <si>
    <t>20/7: gọi ko nghe máy
21/7: gọi lại mẹ bảo hiện tại không thể tham gia bất kì khóa học nào con đang rất bận lịch học và đang theo học 1 lớp tiếng anh</t>
  </si>
  <si>
    <t>Cao Bá Thái</t>
  </si>
  <si>
    <t>Cao Tuệ Minh Nhật</t>
  </si>
  <si>
    <t>988825768</t>
  </si>
  <si>
    <t>Đăng ký cho bé thứ 2 học giao tiếp</t>
  </si>
  <si>
    <t>Con ngoan hiền, lễ phép. 
Con tập trung khi tham gia buổi test. Chủ động trong xuốt quá trình test.
Tốc độ phản xạ: Khá tốt.
Con có thể trả lời câu hỏi của cô về tên, màu sắc yêu thích, thành viên trong gia đình,...
Con phát âm khá tự nhiên, có âm cuối. 
Con dùng được một số cấu trúc cơ bản.
Con có thể nắm được số từ 1-12.
Con chưa thuộc hết bảng chữ cái. Nắm được khoảng 65%. Chưa đánh vần được.
Con có vốn từ cơ bản về các chủ đề: con vật, đồ vật, thể thao, vị trí,..
Con chưa đọc được chữ nhiều.
Con cần rèn luyện thêm về từ vựng và ngữ pháp với chương trình : GTPX Level 1.</t>
  </si>
  <si>
    <t>21/7: Đã tư vấn và hẹn test 16h15 ngày 22/7
22/7: Trả test học GTPX up1
23/7: Bố chuyển khoản khoá GTPX up1 kèm 1-2 học 50b</t>
  </si>
  <si>
    <t>Bá Tùng</t>
  </si>
  <si>
    <t>Hàng xóm của bố Thái - bé Minh Nhật</t>
  </si>
  <si>
    <t>21/7: Hẹn test 22/7 lúc 18h30
22/7: Trả test bé học khoá Starter
24/7: Bố từ chối để 1 năm nữa r học vì bé chưa chuẩn bị sẵn sàng tinh thần để tham gia khoá học</t>
  </si>
  <si>
    <t>Bs Ha Trang Le</t>
  </si>
  <si>
    <t>0985970884</t>
  </si>
  <si>
    <t>Cmt trên FP</t>
  </si>
  <si>
    <t>21/7: gọi chưa nghe máy
25/7: gọi lại vẫn knm</t>
  </si>
  <si>
    <t>Nguyễn Thị Thu Tuyết</t>
  </si>
  <si>
    <t>Phạm Thị Như Quỳnh</t>
  </si>
  <si>
    <t>0938213735</t>
  </si>
  <si>
    <t>Đăng ký cho bé học lớp 6</t>
  </si>
  <si>
    <t xml:space="preserve">Con ngoan hiền, lễ phép. Con tập trung tốt khi tham gia buổi test.
Tốc độ phản xạ: Khá nhanh. Tuy nhiên vốn từ chưa nhiều nên con nghe không được nhạy. 
Con có thể nghe và trả lời những câu hỏi giao tiếp cơ bản về tên, tuổi, nơi ở, sở thích,..
Phát âm của con khá tự nhiên tuy nhiên con cần chú ý về ngữ điệu, lưu loát và nối âm.
Con có thể nắm được số từ 1-1000
Con chưa nắm được số thứ tự.
Con thuộc bảng chữ cái và có thể đánh vần tốt.
Con chưa áp dụng được thì vào giao tiếp. Sử dụng câu đáp ngắn và từ đơn.
Con cần rèn luyện thêm về từ vựng và ngữ pháp với chương trình : 1/2 GTPX Level 4 hoặc Vườn Ươm Ielst Test thêm về ngữ pháp. </t>
  </si>
  <si>
    <t>21/7: đã nt trao đổi và xếp lịch test cho bạn vào tối thứ 2
24/7: trao đổi sắp xếp lại lịch test vào tối thứ 5</t>
  </si>
  <si>
    <t>Minh Hoàng</t>
  </si>
  <si>
    <t>0905769643</t>
  </si>
  <si>
    <t>21/7: KNM, zalo chặn người lạ
21/7: Chưa hẹn được lịch, mẹ bảo có gì mẹ liên hệ sau</t>
  </si>
  <si>
    <t>Bích Thủy</t>
  </si>
  <si>
    <t>0865014858</t>
  </si>
  <si>
    <t>Cho mình hỏi về khoá online 1:1 cho bé 5,5 tuổi ạ</t>
  </si>
  <si>
    <t>21/7: Bé đang học 1 trung tâm khác 1-1 rồi, khi nào hết rồi mẹ liên hệ sau</t>
  </si>
  <si>
    <t>Kim Truc Ngo</t>
  </si>
  <si>
    <t>0978363659</t>
  </si>
  <si>
    <t>21/7: gọi nhưng em trai mới 2 tuổi kích nhầm</t>
  </si>
  <si>
    <t>Hiền Trần</t>
  </si>
  <si>
    <t>0919000845</t>
  </si>
  <si>
    <t>Chuẩn bị vào lớp 1</t>
  </si>
  <si>
    <t>21/7: mẹ từ chối vì học phí cao quá vượt sức của mẹ</t>
  </si>
  <si>
    <t>Thuy Thuy</t>
  </si>
  <si>
    <t>0905567217</t>
  </si>
  <si>
    <t>5t</t>
  </si>
  <si>
    <t>21/7: Chưa hẹn được lịch</t>
  </si>
  <si>
    <t>Trần Loan</t>
  </si>
  <si>
    <t>21/7: đã gọi trao đổi thông tin, hẹn lịch test tối thứ 2</t>
  </si>
  <si>
    <t>Thanh Phước</t>
  </si>
  <si>
    <t>0347866626</t>
  </si>
  <si>
    <t>9t học lớp 4</t>
  </si>
  <si>
    <t>Con ngoan hiền, lễ phép, tập trung khi tham gia test. 
Tốc độ phản xạ: Chưa được nhanh. 
Con có thể trả lời được các câu hỏi các câu hỏi về các thông tin cá nhân cơ bản, sở thích, tuy nhiên khi cô hỏi "How are you?" thì con lại chưa hiểu câu hỏi và chưa biết cách trả lời.
Phát âm còn phải điều chỉnh. Chưa có âm cuối và chưa nối âm.
Con dùng được câu hoàn chỉnh nhiều nhưng nhiều cấu trúc câu con dùng chưa đúng.
Con có thể nắm được đến các chữ số hàng chục trong phạm vi 40 số đầu.
Con nắm được tốt bảng chữ cái và có thể đánh vần tốt.
Con có những vốn từ tương đối về các chủ đề: hoạt động, màu sắc, con vật, đồ vật, thể thao...
Con cần rèn luyện thêm về từ vựng và cấu trúc câu với chương trình : GTPX Level 2</t>
  </si>
  <si>
    <t>21/7: đã gọi trao đổi thông tin, hẹn lịch test tối thứ 2
22/7: đã trả kết quả test, mẹ đang cân nhắc, do con còn đang lở dơ học ở trung tâm cũ. 
25/7: mẹ từ chối vì chờ con học xong trung tâm cũ sẽ quay lại ạ</t>
  </si>
  <si>
    <t>Mi Do</t>
  </si>
  <si>
    <t>0935655987</t>
  </si>
  <si>
    <t>5,5 tuổi</t>
  </si>
  <si>
    <t>21/7: Đã tư vấn
Mẹ muốn tìm 1 trung tâm để bé tương tác trực tiếp</t>
  </si>
  <si>
    <t>Van Nguyen</t>
  </si>
  <si>
    <t>Gia Hưng</t>
  </si>
  <si>
    <t>0917141255</t>
  </si>
  <si>
    <t>Liên hệ ngay cũng được</t>
  </si>
  <si>
    <t>22/7: gọi nt zalo gửi thông tin và sắp xếp lịch test
28/7: nhắn tin hẹn lịch test chưa thấy phản hồi</t>
  </si>
  <si>
    <t>Ut Ty</t>
  </si>
  <si>
    <t xml:space="preserve">
0775067952</t>
  </si>
  <si>
    <t>21/7: Đợi mẹ tham khảo
22/7: Bố bảo đợi tham khảo</t>
  </si>
  <si>
    <t xml:space="preserve">Chị Vân </t>
  </si>
  <si>
    <t>Phan Khánh Vy</t>
  </si>
  <si>
    <t>Lâm Đồng</t>
  </si>
  <si>
    <t>978179762</t>
  </si>
  <si>
    <t>Chuyển từ VUI sang GTPX</t>
  </si>
  <si>
    <t>GTPX up 4</t>
  </si>
  <si>
    <t>22/7: gửi bảng học phí cho mẹ
23/7: mẹ chốt lịch học cho con</t>
  </si>
  <si>
    <t>chị Vy</t>
  </si>
  <si>
    <t>Trương Hà Mộc Miên</t>
  </si>
  <si>
    <t>0905964228</t>
  </si>
  <si>
    <t>Con ngoan hiền và có độ tập trung khi tham gia buổi test.
Con chưa mạnh dạn lắm trong giao tiếp. Còn hơi phụ thuộc vào mẹ. 
Tốc độ phản xạ: Chưa được nhanh vì tuổi con còn nhỏ nên vốn từ còn hạn chế.
Con có thể nghe và trả lời những câu hỏi giao tiếp cơ bản về tên, tuổi, thành viên gia đình... 
Con có những vốn từ cơ bản về các chủ đề: con vật, đồ vật,...
Con chưa nói được câu hoàn chỉnh mà chỉ dùng từ lẻ để đáp.
Con cần luyện thêm về phát âm: độ chính xác, ngữ điệu và lưu loát
Con có thể nhận diện 80% bảng chữ cái và có thể đánh vần tên nhưng chưa nhanh.
Con có thể nắm được số từ 1-12. 
Con chưa hoàn thành được hết bài kiểm tra UP Starter.
Con cần rèn luyện thêm về từ vựng và ngữ pháp với chương trình GTPX Level: Nửa khoá sau của Starter.</t>
  </si>
  <si>
    <r>
      <rPr>
        <rFont val="Cambria"/>
        <color rgb="FFFF0000"/>
        <sz val="11.0"/>
      </rPr>
      <t xml:space="preserve">21/7: Hẹn lịch test 19h ngày 25/7
26/7: Trả test
27/7: Mẹ chốt khoá GTPX 1/2 Starter kèm 1-2 học 50b
</t>
    </r>
    <r>
      <rPr>
        <rFont val="Cambria"/>
        <b/>
        <color rgb="FFFF0000"/>
        <sz val="11.0"/>
      </rPr>
      <t>28/7: Nâng level của bé từ Starter lên up1 để ghép với bé UP1</t>
    </r>
  </si>
  <si>
    <t>Nguyễn Thị Ánh Thi</t>
  </si>
  <si>
    <t>Nguyễn Khánh Gia Linh</t>
  </si>
  <si>
    <t>0983277822</t>
  </si>
  <si>
    <t>Con ngoan hiền, lễ phép. Con tập trung tốt khi tham gia buổi test.
Tốc độ phản xạ: Khá nhanh. Con nói khá tự nhiên và có thể hiểu tốt được những câu hỏi và trả lời ổn.
Con có thể nghe và trả lời những câu hỏi giao tiếp cơ bản về tên, tuổi, nơi ở, sở thích,..
Phát âm của con khá ổn tuy nhiên con cần chú ý các âm cuối và nối âm.
Con có thể nắm được số từ 1-10 000
Con nắm được  số thứ tự.
Con thuộc bảng chữ cái và có thể đánh vần tốt.
Con có vốn từ cơ bản về con vật, đồ vật, môn thể thao, so sánh, thể thao, thời tiết,...
Con nắm được thì hiện tại đơn, thì thiện tại tiếp diễn, thì tương lại đơn nhưng chưa nắm chắc được kiến thức về những thì khác.
Con thêm chữ "did" vào trước động từ của những câu về thì quá khứ đơn.
Có có khả năng đọc hiểu tốt và trả lời được các câu hỏi bằng câu đầy đủ. 
Con cần cải thiện thêm kĩ năng nghe hiểu.
Con cần rèn luyện thêm về từ vựng và ngữ pháp với chương trình : 1/2 GTPX Level 3 hoặc Vườn Ươm Ielst Level 1</t>
  </si>
  <si>
    <t>23/7: gọi trao đổi xếp lịch test cho con vào chiều thứ 2
25/7: trả kết quả test nhưng mẹ cần cân nhắc thêm vì mẹ muốn chương trình học bám sát với chương trình trên lớp
21/8: gửi lại chương trình và tư vấn lại khóa học cho mẹ</t>
  </si>
  <si>
    <t>Ai Xuan Truong</t>
  </si>
  <si>
    <t>0933048834</t>
  </si>
  <si>
    <t>24/7: đã liên lạc, bé chưa biết mặt chữ mẹ muốn tìm lớp offine cho con</t>
  </si>
  <si>
    <t>Mẹ Thu (Natalie Nguyen - tên FB)</t>
  </si>
  <si>
    <t>0905 169 913</t>
  </si>
  <si>
    <t>data từ thầy</t>
  </si>
  <si>
    <t>16/6: gọi thuê bao. kiểm tra lại sdt 
Đã kiểm tra số - Zalo đúng tên. 
20/6 gọi vẫn thuê bao,
MKT đã nhờ thầy hỏi lại mẹ .
 23/6 gọi vẫn KNM
30/6: gọi lại đang đi công tác ở Úc kb zalo để trao đổi thông tin
6/7: hẹn sau khi đi công tác về sẽ trao đổi cho thuận tiện
20/7: gọi trao đổi lại thông tin về khóa học
24/7: xếp lịch test tối thứ 3</t>
  </si>
  <si>
    <t>Nguyễn Minh Thông</t>
  </si>
  <si>
    <t>Ruby Nhung</t>
  </si>
  <si>
    <t>0983314269</t>
  </si>
  <si>
    <t>24/7: gọi knm</t>
  </si>
  <si>
    <t>Trần Quyên</t>
  </si>
  <si>
    <t>Hồ Thanh Quân</t>
  </si>
  <si>
    <t>0988080939</t>
  </si>
  <si>
    <t>Lớp 5 lên 6. Bé thi Movers được 15 khiên (tương đương xuất sắc), 12/8 bé sẽ thi tiếp lấy chứng chỉ Flyer</t>
  </si>
  <si>
    <r>
      <rPr>
        <rFont val="Cambria"/>
        <color rgb="FFFF0000"/>
        <sz val="11.0"/>
      </rPr>
      <t xml:space="preserve">Con ngoan hiền, lễ phép. Con tập trung tốt khi tham gia buổi test.
Tốc độ phản xạ: Khá nhanh. 
Con nói khá tự nhiên và có thể hiểu tốt được những câu hỏi và trả lời tốt.
Con có thể nghe và trả lời những câu hỏi giao tiếp cơ bản về tên, tuổi, nơi ở, sở thích,...
Phát âm của con khá ổn tuy nhiên con cần chú ý các âm cuối và nối âm.
Con nắm được các kiến thức cơ bản về thì hiện tạo đơn, tuy nhiên con cần cải thiện thêm kiên thức về các thì khác. 
Con có thể nắm được số từ 1-1 000 000.
Con thuộc bảng chữ cái và có thể đánh vần tốt.
Vốn từ của con khá phong phú về con vật, đồ vật môn thể thao, hoạt động,...
Con có kĩ năng đọc hiểu tốt.
Con có thể nghe và trả lời được đúng hầu hết các câu hỏi liên quan đến bài nghe.
Con cần rèn luyện thêm về từ vựng và ngữ pháp với chương trình : GTPX Level 4
</t>
    </r>
    <r>
      <rPr>
        <rFont val="Cambria"/>
        <b/>
        <color rgb="FFFF0000"/>
        <sz val="11.0"/>
      </rPr>
      <t>Về bài test Listening và Writing:</t>
    </r>
    <r>
      <rPr>
        <rFont val="Cambria"/>
        <color rgb="FFFF0000"/>
        <sz val="11.0"/>
      </rPr>
      <t xml:space="preserve">
Nghe: 58%
Đọc: 48%
=&gt; GTPX UP5
</t>
    </r>
  </si>
  <si>
    <t>25/7: Hẹn test 13h30 chiều 25/7
25/7: Đã test speaking lần 1, 26/7 test ngữ pháp 
9/8: Mẹ hẹn sau 15/8 rồi nhắn vì để bé thi xong đã
14/8: LINH CHUYỂN QUA C. ÁNH
15/8: đã nt trao đổi với phụ huynh, đang cân nhắc thêm</t>
  </si>
  <si>
    <t>Son Nguyen</t>
  </si>
  <si>
    <t>nguyễn ngọc kiều my</t>
  </si>
  <si>
    <t>0906599499</t>
  </si>
  <si>
    <t xml:space="preserve">9H SÁNG 25/7 </t>
  </si>
  <si>
    <t xml:space="preserve">25/7: gọi nhưng bận họp hẹn trưa gọi lại sau
gọi lần 3: trao đổi thông tin kb zalo và xếp lịch test vào sáng thứ 4
tối gọi lại nhưng bận tiếp khách vẫn chưa kết bạn để xếp lịch test cho con
</t>
  </si>
  <si>
    <t>Nguyễn Xuân Phương</t>
  </si>
  <si>
    <t>Nguyễn Hồng An Khôi</t>
  </si>
  <si>
    <t>0982120815</t>
  </si>
  <si>
    <t>Con ngoan hiền, lễ phép, tự tin trong giao tiếp. 
Con rất tập trung khi tham gia test. Thông minh và tiếp thu rất nhanh.
Con nghe hiểu tốt các câu hỏi của cô và câu trả lời khá phong phú.
Tốc độ phản xạ: Nhanh. 
Con phát âm tốt, tự nhiên, con có âm cuối.
Con nắm được số đếm từ 1 -100 và con nắm được 90% số thứ tự.
Con nắm được bảng chữ cái. Tốc độ đánh vần nhanh.
Có vốn từ khá rộng về các chủ đề: thông tin cá nhân, đồ dùng, màu sắc, hoạt động, động vật, so sánh, thể thao.... 
Con nói được câu đầy đủ. Con áp dụng được ngữ pháp cơ bản, cấu trúc khi giao tiếp.
Con cần rèn luyện thêm về từ vựng và cấu trúc với chương trình GTPX Level 4.</t>
  </si>
  <si>
    <t>21/6 đã gọi dt, kb zalo và  sắp xếp lịch test cho bé. 23/6 gọi nt mẹ trả kq test nhưng mẹ bận chưa liên lạc dc.
30/6: nhắn tin chưa thấy mẹ phản hồi
23/7: mẹ nt trao đổi lại thông tin về khóa học
28/7: nhắn tin để nhắc mẹ xếp lịch học cho con</t>
  </si>
  <si>
    <t>Võ Hoàng Trang Ngọc</t>
  </si>
  <si>
    <t xml:space="preserve"> 0868216305</t>
  </si>
  <si>
    <t>Mẹ Phuong Nga VUI giới thiệu</t>
  </si>
  <si>
    <t>thứ 2- thứ 6: 19h30-20h30</t>
  </si>
  <si>
    <t>24/7: đã trao đổi cụ thể hẹn tối chuyển khoản</t>
  </si>
  <si>
    <t>Thường Tán</t>
  </si>
  <si>
    <t>Nguyễn Văn Hoàng Vương</t>
  </si>
  <si>
    <t>0932577360</t>
  </si>
  <si>
    <t xml:space="preserve"> (Mẹ Thu Sa của bé Gia Hân VUI08 giới thiệu)</t>
  </si>
  <si>
    <t>Con ngoan hiền, lễ phép. Con tập trung tốt khi tham gia buổi test.
Tốc độ phản xạ: Chưa nhanh lắm vì vốn từ còn hạn chế nên con nghe chưa tốt. 
Con có thể nghe và trả lời những câu hỏi giao tiếp cơ bản về tên, tuổi, nơi ở, sở thích,... Câu trả lời của con còn đơn giản và chưa mở rộng chủ đề giao tiếp được. 
Phát âm của con cần được luyện thêm nhiều.
Con nắm được các kiến thức cơ bản về thì hiện tại đơn, tuy nhiên con cần cải thiện thêm kiên thức về các thì khác. 
Con có thể nắm được số từ 1-10 000.
Con thuộc bảng chữ cái và có thể đánh vần tốt.
Con có kĩ năng đọc hiểu khá.
Con làm được 50% bài kiểm tra của level UP4. 
Con cần rèn luyện thêm về từ vựng và ngữ pháp với chương trình: GTPX 1/2 Level 4</t>
  </si>
  <si>
    <t>25/7: Hẹn test 19h ngày 26/7
26/7: Trả test
27/7: Mẹ chốt khoá GTPX 1/2 up4 kèm 1-2 học 50 buổi</t>
  </si>
  <si>
    <t>Mẹ Ngân Trúc VUI07</t>
  </si>
  <si>
    <t>Hồ Ngọc Phúc An</t>
  </si>
  <si>
    <t>0901129779
 sdt mẹ:0901120779</t>
  </si>
  <si>
    <t>Tư vấn khoá GTPX cho em trai của Ngân Trúc (Mẹ có trao đổi với Thầy)</t>
  </si>
  <si>
    <t>Ruby - 9t
Con ngoan hiền và có độ tập trung khi tham gia buổi test.
Con chưa mạnh dạn trong giao tiếp.
Tốc độ phản xạ: Chưa được nhanh vì vốn từ còn hạn chế.
Con có thể nghe và trả lời những câu hỏi giao tiếp cơ bản về tên, tuổi,... 
Con có những vốn từ cơ bản về các chủ đề: con vật, đồ vật,...
Con chưa nói được câu hoàn chỉnh mà chỉ dùng từ lẻ để đáp.
Con cần luyện thêm về phát âm: độ chính xác, ngữ điệu và lưu loát
Con có thể nhận diện 80% bảng chữ cái và có thể đánh vần tên nhưng chưa nhanh.
Con có thể nắm được số từ 1-100. Còn nhầm các số như: 12, 20, 50,...
Con cần rèn luyện thêm về từ vựng và ngữ pháp với chương trình GTPX Level: UP 1</t>
  </si>
  <si>
    <t xml:space="preserve">19/6: gọi KNM
19/6: gọi lại đã chia sẻ khóa học GTPX, hẹn lịch test cho bé vào lúc 15h thứ 3 20/6
21/6;đã trả kq test, bố đang cân nhắc, đang cấn khá nhiều lịch học của con. đang cân nhắc vào năm học
22/6: gọi bố bận. KNM
30/6: đã gọi liên lạc lại với bố, bố bảo cân nhắc và sắp xếp
4/7: đã liên lạc lại với bố nhưng hiện tại bố chưa sắp xếp được thời gian để con tham gia lớp học
</t>
  </si>
  <si>
    <t>Thao Thai</t>
  </si>
  <si>
    <t>0989281164</t>
  </si>
  <si>
    <t>26/7: Bố cho bé học ngoài r</t>
  </si>
  <si>
    <t>Lai Khanh</t>
  </si>
  <si>
    <t>0398211855</t>
  </si>
  <si>
    <t>26/7: gọi ko nghe máy, zalo chặn tìm kiếm ko kb được</t>
  </si>
  <si>
    <t>26/7: gọi ko nghe máy, zalo chặn tìm kiếm ko kb được
27/7: gọi thuê bao</t>
  </si>
  <si>
    <t>Thuỷ Giang</t>
  </si>
  <si>
    <t>Đức An</t>
  </si>
  <si>
    <t>0976096905</t>
  </si>
  <si>
    <t xml:space="preserve">Con ngoan hiền, lễ phép.
 Tập trung khi tham gia test.
Tốc độ phản xạ: Nhanh
Con phát âm tự nhiên, có ngữ điệu và nhấn nhá tốt.
Con có vốn từ khá rộng. Giao tiếp tốt với giáo viên về hầu hết tất cả các chủ đề được đề cập: bạn bè, màu sắc, đồ ăn, thành phố đang sống,...
Con giải thích được lý do chọn câu trả lời khi làm bài nghe, nói. 
Tuy nhiên, con chưa có khái niệm về thì và cấu trúc câu chưa chắc.
Con nên rèn luyện thêm ngữ pháp và từ vựng chương trình GTPX UP5. Trong quá trình học, chú trọng phần cấu trúc và ngữ pháp để hình thành thói quen áp dụng đúng ngữ pháp khi giao tiếp và viết câu. 
</t>
  </si>
  <si>
    <t>27/7: Nhắn tin tư vấn, hẹn lịch 15h ngày 28/7 test
3/8: Mẹ báo bé k thích học on, ngừng</t>
  </si>
  <si>
    <t>Nhung Nguyễn</t>
  </si>
  <si>
    <t>0905417281</t>
  </si>
  <si>
    <t>27/7: gọi bận hẹn sau 11h gọi lại
28/7; đã nt trao đổi hẹn lịch test nhưng chưa thấy mẹ phản hồi</t>
  </si>
  <si>
    <t xml:space="preserve">Bạch Đặng Thiên Kim </t>
  </si>
  <si>
    <t>0326257856</t>
  </si>
  <si>
    <r>
      <rPr>
        <rFont val="Cambria"/>
        <color theme="1"/>
        <sz val="11.0"/>
      </rPr>
      <t xml:space="preserve">Đăng ký khóa GTPX (học 100% với giáo viên nước ngoài)
</t>
    </r>
    <r>
      <rPr>
        <rFont val="Cambria"/>
        <b/>
        <color theme="1"/>
        <sz val="11.0"/>
      </rPr>
      <t>Bé học lớp 4 nhưng đã học ngữ pháp lớp 6 r</t>
    </r>
  </si>
  <si>
    <t>27/7: Đã gửi thông tin cho mẹ, đợi mẹ kb Zallo
27/7: KNM + Thuê bao</t>
  </si>
  <si>
    <t>Ngọc nguyễn</t>
  </si>
  <si>
    <t>8 tuổi lớp 3</t>
  </si>
  <si>
    <t>27/7: đã gọi và hẹn gọi lại vào buổi tối
28/7: hẹn trao đổi lịch test, đang sắp xếp lịch
3/8: nhắn tin trao đổi nhưng hiện tại mẹ chưa cho con tham gia lớp học vì còn khóa học cũ chưa xong
7/8: mẹ từ chối vì hiện tại con chưa học xong ở tt cũ</t>
  </si>
  <si>
    <t>Phạm Thái</t>
  </si>
  <si>
    <t>0973800527</t>
  </si>
  <si>
    <t>27/7: Mẹ muốn bé học off</t>
  </si>
  <si>
    <t>Thắm Đô Thành</t>
  </si>
  <si>
    <t>Hoàng Tuệ Lâm</t>
  </si>
  <si>
    <t>0973999018</t>
  </si>
  <si>
    <t>- Mẹ Khánh Hà giới thiệu</t>
  </si>
  <si>
    <t>Con ngoan hiền, lễ phép, tự tin trong giao tiếp. 
Con rất tập trung khi tham gia test. Thông minh và tiếp thu nhanh.
Con nghe hiểu khá tốt các câu hỏi của cô.
Tốc độ phản xạ: Nhanh. 
Con phát âm khá tốt, tự nhiên, con có âm cuối. Tuy nhiên vẫn cần điều chỉnh thêm các âm khó như /th/ /dg/...
Con nắm được số đếm từ 1 -900.
Con nắm được 95% bảng chữ cái. Tốc độ đánh vần nhanh. Còn nhầm J và G. 
Có vốn từ tương đối về các chủ đề: thông tin cá nhân, đồ dùng, màu sắc, hoạt động, động vật, so sánh, thể thao.... 
Con nói được câu đầy đủ. Con áp dụng được ngữ pháp cơ bản. Cần luyện thêm về cách áp dụng ngữ pháp vào giao tiếp.
Con cần rèn luyện thêm về từ vựng và cấu trúc với chương trình GTPX 1/2 Level 3. Bắt đầu từ nửa sau khoá UP3</t>
  </si>
  <si>
    <t>28/07: Mẹ đang bận, hẹn trưa gọi
28/7: Đã liên hệ và hẹn lịch test
29/7: Hẹn test 20h ngày 1/8
1/8: Mẹ báo bận, hẹn ngày khác
8/8: Mẹ báo là bé bận chưa học thời gian này (Bé nâng từ 1/2 up3 lên up4)
14/8: LINH CHUYỂN QUA C. ÁNH</t>
  </si>
  <si>
    <t>Lam Yên</t>
  </si>
  <si>
    <t>0913713373</t>
  </si>
  <si>
    <t xml:space="preserve">Bạn có nền tảng cơ bản về từ vựng. 
Khả năng nghe tốt hơn nói. 
Khá dạn dĩ và tập trung.
Phát âm cần luyện thêm về độ chính xác, ngữ điệu và lưu loát. 
Nắm được bảng chữ cái, số đếm, thứ tự,... 
Trả lời được cơ bản về chủ đề gia đình, bạn bè, thông tin cá nhân. Tuy nhiên, ý tưởng nói chưa đa dạng và còn gặp khó khăn để diễn đạt ý của mình bằng tiếng Anh. 
Cần luyện thêm về giao tiếp cơ bản. 
Bạn chỉ cần đáp ứng như cầu giao tiếp nên học 1 khoá cơ bản, 1 khoá nâng cao. Mỗi khoá 30 buổi 1h. </t>
  </si>
  <si>
    <t>Như Ngọc Make Up</t>
  </si>
  <si>
    <t>0935363099</t>
  </si>
  <si>
    <t>quan tâm lớp 1 kèm 2 GTPX
học super kid 5 năm học ngữ pháp 1,5 năm</t>
  </si>
  <si>
    <t>28/7: đã gọi điện trao đổi và gửi thông tin
1/8: trao đổi mẹ bảo đang sở hp đến cuối tháng 10 ở trung tâm cũ sau khi kết thúc liên lạc lại</t>
  </si>
  <si>
    <t>Thuy Trang Nguyen Thi</t>
  </si>
  <si>
    <t>Thảo Nhi</t>
  </si>
  <si>
    <t>0941308542</t>
  </si>
  <si>
    <t>quan tâm lớp online</t>
  </si>
  <si>
    <t>29/7: KNM + KNM</t>
  </si>
  <si>
    <t>Hiếu Nhi</t>
  </si>
  <si>
    <t>29/7: KNM + KNM
1/8: Gọi điện và mẹ nói nhắn tin cho mẹ</t>
  </si>
  <si>
    <t>mẹ tên Nga</t>
  </si>
  <si>
    <t>Bùi Bảo Bảo</t>
  </si>
  <si>
    <t>Vẫn chưa biết từ phụ huynh nào giới thiệu</t>
  </si>
  <si>
    <t>Con ngoan hiền, lễ phép. Con tập trung khi tham gia buổi test.
Tốc độ phản xạ: Khá ổn. 
Con có thể nghe và trả lời những câu hỏi giao tiếp cơ bản về tên, tuổi, màu sắc, sở thích,,...
Con nói được câu hoàn chỉnh tuy nhiên còn cần đa dạng thêm cấu trúc.
Con có thể nắm được số từ 1-20
Con thuộc bảng chữ cái. Đánh vần với tốc độ chưa nhanh.
Một số chữ cái con nắm chưa chắc như H, R, Y
Con có vốn từ cơ bản về đồ vật, con vật, nhưng con chưa xác định được các từ vựng chỉ vị trí, môn thể thao,...
Con có thể trả lời câu hỏi của cô về so sánh các con vật.
Đôi lúc con chưa hiểu rõ câu hỏi của cô nên trả lời chưa đúng trọng tâm.
Con cần rèn luyện thêm về từ vựng và ngữ pháp với chương trình : GTPX Level 1.</t>
  </si>
  <si>
    <t>29/7: Hẹn test 16h30 ngày 29/7
31/7: Mẹ bảo học phí cao, mẹ theo k nổi</t>
  </si>
  <si>
    <t>Diệu Hưng</t>
  </si>
  <si>
    <t>nguyễn ngọc bảo trân</t>
  </si>
  <si>
    <t>con đang học trung tâm muốn rèn luyện thêm</t>
  </si>
  <si>
    <t>29/7: gọi ko nghe máy
1/8: gọi đã trao đổi kb zalo
7/8: bố ko cho học thêm vì học o trung tâm cũ ổn</t>
  </si>
  <si>
    <t>Bui Thuy Binh</t>
  </si>
  <si>
    <t>0904696690</t>
  </si>
  <si>
    <t>Mẹ muốn phát triển giao tiếp</t>
  </si>
  <si>
    <t>31/7: Tư vấn cho mẹ, mẹ bảo 2 bé đang ở quê, mẹ hỏi trước khoá học, khi nào 2 bé rồi mẹ liên hệ sau</t>
  </si>
  <si>
    <t>Thanh Le</t>
  </si>
  <si>
    <t>0905545653</t>
  </si>
  <si>
    <t>30/7: gọi trao đổi thông tin nt zalo chưa phản hồi
3/8 mkt nhắn fanpage nói mẹ add zalo
8/8: từ chối, hp cao</t>
  </si>
  <si>
    <t>Ly Trần</t>
  </si>
  <si>
    <t>0949733895</t>
  </si>
  <si>
    <t>28/7: gọi trao đổi thông tin nt zalo chưa phản hồi
3/8 mkt nhắn fanpage nói mẹ add zalo
7/8: nt hẹn lịch test ko phản hồi</t>
  </si>
  <si>
    <t>Anh Hang Nguyen</t>
  </si>
  <si>
    <t>0907716116
(Đây k phải số Zalo của mẹ, là mẹ chủ động add Zalo. Đây chỉ là số để gọi cho mẹ)</t>
  </si>
  <si>
    <t>Bé lười học, mẹ cũng có mua app học cho bé nhưng bé cũng k học nhiều</t>
  </si>
  <si>
    <t>1/8: Đã liên hệ đợi mẹ kết bạn Zalo
3/8: Mẹ đã tìm được trung tâm cho bé ạ</t>
  </si>
  <si>
    <t>Kiều Hương</t>
  </si>
  <si>
    <t>0935676333</t>
  </si>
  <si>
    <t>1/8: knm
2/8: KNM</t>
  </si>
  <si>
    <t>Thuy Nguyen</t>
  </si>
  <si>
    <t>0357579394</t>
  </si>
  <si>
    <t>"</t>
  </si>
  <si>
    <t>1/8: chưa liên lạc được gọi lại không nghe máy, thuê bao
4/8: gọi ko nghe máy
7/8: nt ko trả lời</t>
  </si>
  <si>
    <t>k loan</t>
  </si>
  <si>
    <t>long Quân</t>
  </si>
  <si>
    <t>0914067788</t>
  </si>
  <si>
    <t>Con ngoan hiền, lễ phép. Con tập trung tốt khi tham gia buổi test.
Tốc độ phản xạ: Khá ổn
Con có thể nghe và trả lời những câu hỏi giao tiếp cơ bản về tên, tuổi, nơi ở, sở thích,..
Con phát âm được các từ cơ bản nhưng vẫn có một số từ phát âm chưa đúng như "uncle", "cousin", "aunt"...
Con cần chú ý thêm âm cuối và nối âm khi nói.
Con có thể sử dụng câu hoàn chỉnh với cấu trúc câu cơ bản.
Con có thể nắm được số từ 1-100.
Con nắm chưa được tốt về số thứ tự.
Con thuộc bảng chữ cái và có thể đánh vần tốt.
Con có vốn từ cơ bản về các chủ đề như đồ ăn, các thành viên trong gia đình, hoa quả,...
Có có khả năng đọc hiểu khá ổn và trả lời được đúng hầu hết các câu của các dạng bài tập cơ bản.
Con cần rèn luyện thêm về từ vựng và ngữ pháp với chương trình : 1/2 GTPX Level 3</t>
  </si>
  <si>
    <t>2-4-6: 20h</t>
  </si>
  <si>
    <t>2/8: xếp lịch test vào tối thứ 4
3/8: trả kết quả test, mẹ chốt khóa học hẹn 4/8 đóng hp</t>
  </si>
  <si>
    <t>Minh Hiếu (FB Ly Ly)</t>
  </si>
  <si>
    <t>Trần Gia Huy</t>
  </si>
  <si>
    <t>0935026357</t>
  </si>
  <si>
    <t>Bé đã từng học trung tâm rồi, mẹ muốn tư vấn 1-1</t>
  </si>
  <si>
    <t>Con ngoan hiền, lễ phép. 
Con tập trung khi tham gia test.
Con nghe hiểu các câu hỏi cơ bản của giáo viên.
Tốc độ phản xạ: Chưa nhanh. Do vốn từ của con chưa tốt. 
Con cần luyện thêm về phát âm, cả về độ chính xác, âm cuối, ngữ điệu và lưu loát. 
Con nắm được số đếm từ 1 - 10. Các số lớn hơn 10 con biết qua nhưng chưa chính xác và chưa phản xạ nhanh được.
Con nắm được 95% bảng chữ cái. Tốc độ đánh vần khá nhanh. Còn nhầm J và G. 
Có vốn từ còn hẹp về các chủ đề: thông tin cá nhân, đồ dùng, màu sắc, hoạt động, động vật, so sánh, thể thao.... 
Con chưa nói được câu đầy đủ nhiều. Cấu trúc cầu chưa được đa dạng.
Con cần rèn luyện thêm về từ vựng và cấu trúc với chương trình GTPX UP1.</t>
  </si>
  <si>
    <t>3/8: Đã liên hệ mẹ đang đi hỏi han bạn mẹ xem chất lượng trung tâm
5/8: Mẹ chốt lịch test 8/8 lúc 19h
9/8: Trả test
14/8: Bé còn 2 khoá ở trung tâm, mẹ khá phối hợp và khá thích trung tâm, có tiềm năng, tuy nhiên vì trung tâm kia bé còn nhiều tiền nên mẹ chưa chuyển qua được</t>
  </si>
  <si>
    <t>Nguyễn Thị Nhung</t>
  </si>
  <si>
    <t>hoàng nguyễn thanh trúc</t>
  </si>
  <si>
    <t>0988836068</t>
  </si>
  <si>
    <t>Con ngoan hiền, lễ phép. Con tập trung tốt khi tham gia buổi test.
Tốc độ phản xạ: Khá ổn
Con có thể nghe và trả lời những câu hỏi giao tiếp cơ bản về tên, tuổi, nơi ở, sở thích,..
Con phát âm được các từ cơ bản, con có chú ý âm cuối khi nói tuy nhiên con chưa có nối âm và ngữ điệu khi nói.
Con có thể sử dụng câu hoàn chỉnh với cấu trúc câu cơ bản.
Tuy nhiên có một số câu con sử dụng cấu trúc câu chưa đúng.
Con có thể nắm được đến số hàng trăm.
Con nắm chưa được số thứ tự.
Con thuộc bảng chữ cái và có thể đánh vần tốt.
Con có vốn từ cơ bản về các chủ đề như đồ ăn, các thành viên trong gia đình, hoa quả,...
Có có khả năng đọc hiểu khá ổn và trả lời được đúng hầu hết các câu của các dạng bài tập cơ bản.
Con cần rèn luyện thêm về từ vựng và ngữ pháp với chương trình : 1/2 GTPX Level 3</t>
  </si>
  <si>
    <t>3/8: đã nt trao đổi chưa thấy phản hồi
4/8; nt ko phản hồi, gọi ko nghe máy
8/8: hẹn lịch test lúc 10h
8/8: trả kết quả test nhưng bạn đang học ở trung tâm khác chưa có nhu cầu đổi trung tâm. bạn thích học offline hơn
17/8: mẹ liên lạc lại hỏi về khóa học lại đang thu xếp thời gian
23/8: có gọi trao đổi lại và nt chờ kết thúc ở trung tâm cũ sẽ bắt đầu</t>
  </si>
  <si>
    <t>hoàng minh Quân</t>
  </si>
  <si>
    <t>3/8: đã nt trao đổi chưa thấy phản hồi
4/8; nt ko phản hồi, gọi ko nghe máy
8/8: hẹn lịch test lúc 10h</t>
  </si>
  <si>
    <t>Thanh Nga</t>
  </si>
  <si>
    <t>Lê Giáng My</t>
  </si>
  <si>
    <t>0905806339</t>
  </si>
  <si>
    <t>Con ngoan hiền, lễ phép. Con tập trung khi tham gia test.
Tốc độ phản xạ: Khá ổn, tuy nhiên có môt số câu hỏi con cần thời gian suy nghĩ hơi lâu mới trả lời được
Con nghe hiểu tốt các câu hỏi của cô và trả lời được ở mức căn bản. Con có ý thức sử dụng câu đầy đủ khi nói và biết cách áp dụng đúng thì khi nói.
Con chưa mở rộng được ý trong khi giao tiếp.
Có vốn từ tốt về các chủ đề: thông tin cá nhân, đồ dùng, màu sắc, hoạt động, động vật, so sánh, thể thao.... 
Con phát âm khá, tuy nhiên con cần cải thiện thêm âm cuối và nối âm. 
Con cần cải thiện thêm độ lưu loát và ngữ điệu.
Con nắm được đến chữ số hàng triệu và nắm được số thứ tự.
Con nắm được kiến thức về thì tuy nhiên con cần xem lại kiến thức về thì quá khứ đơn.
Con có khả năng đọc hiểu khá ổn tuy nhiên con hơi mất thời gian để suy nghĩ và cân nhắc các câu trả lời.
Con cần rèn luyện thêm về từ vựng và cấu trúc với chương trình GTPX Level 6</t>
  </si>
  <si>
    <t>4/8: Gửi thông tin cho mẹ
5/8: Hẹn test 16h ngày 5/8
5/8: Đã trả test, mẹ bảo để mẹ hỏi bé lại đã 
14/8: LINH CHUYỂN QUA</t>
  </si>
  <si>
    <t>Trần Nguyễn Ngọc Vũ</t>
  </si>
  <si>
    <t>0984523281</t>
  </si>
  <si>
    <t>5/8: zalo ko liên lạc, ko kb dc, thuê bao</t>
  </si>
  <si>
    <t>Trần Xoa</t>
  </si>
  <si>
    <t xml:space="preserve">Trần Gia Long </t>
  </si>
  <si>
    <t>0346431289</t>
  </si>
  <si>
    <t>Quan tâm VUI (Điền form)</t>
  </si>
  <si>
    <r>
      <rPr>
        <rFont val="Cambria"/>
        <color theme="1"/>
        <sz val="11.0"/>
      </rPr>
      <t xml:space="preserve">5/8: Gọi thì máy báo thuê bao
</t>
    </r>
    <r>
      <rPr>
        <rFont val="Cambria"/>
        <b/>
        <color rgb="FFFF0000"/>
        <sz val="11.0"/>
      </rPr>
      <t xml:space="preserve">Nhắn qua ZALO </t>
    </r>
  </si>
  <si>
    <t>0989167082</t>
  </si>
  <si>
    <t>5/8 KNM</t>
  </si>
  <si>
    <t>Thanh Út</t>
  </si>
  <si>
    <t>399446095</t>
  </si>
  <si>
    <t>Hồng Điệp Lữ (Zalo Ngọc Tiến)</t>
  </si>
  <si>
    <t>0908601336</t>
  </si>
  <si>
    <t>5/8 Chị bận rồi em</t>
  </si>
  <si>
    <t>Nguyễn Hậu</t>
  </si>
  <si>
    <t>0349735459</t>
  </si>
  <si>
    <t>5/8: KNM</t>
  </si>
  <si>
    <t>Trang Cherry</t>
  </si>
  <si>
    <t>0973358693</t>
  </si>
  <si>
    <t>5/8: từ chối knc</t>
  </si>
  <si>
    <t>Thùy Chi</t>
  </si>
  <si>
    <t>0962177043</t>
  </si>
  <si>
    <t>5/8: gọi kb zalo ko xác nhận</t>
  </si>
  <si>
    <t>Sơn Tây Thu Giang</t>
  </si>
  <si>
    <t>0979886014</t>
  </si>
  <si>
    <t>5/8; gọi bận, gọi lại sau</t>
  </si>
  <si>
    <t>Nguyễn Tiến Chung</t>
  </si>
  <si>
    <t>0966524193</t>
  </si>
  <si>
    <t>5/8: gọi con học ở tt r, ko nc</t>
  </si>
  <si>
    <t>Võ Thị Hồng Dung</t>
  </si>
  <si>
    <t>Duy Long</t>
  </si>
  <si>
    <t>Con ngoan hiền, lễ phép. Con tập trung khá tốt khi tham gia buổi test.
Tốc độ phản xạ: Chưa nhanh. Vì vốn từ chưa rộng.
Con có thể nghe và trả lời những câu hỏi giao tiếp cơ bản về tên, tuổi, nơi ở, sở thích,.. 
Con cần luyện thêm nhiều về phát âm: cả ngữ điệu, lưu loát và độ chính xác.
Con chưa sử dụng câu hoàn chỉnh nhiều. Cấu trúc câu đơn giản.
Con có thể nắm được số dưới 50. 
Con nắm được 50% số thứ tự.
Con thuộc 95% bảng chữ cái và có thể đánh vần tương đối tốt Còn nhầm J và G.
Con có vốn từ cơ bản về các chủ đề như đồ ăn, các thành viên trong gia đình, đồ vật,...
Con cần rèn luyện thêm về từ vựng và cấu trúc với chương trình: GTPX Level 2</t>
  </si>
  <si>
    <t>7/8: xếp lịch test tối thứ 3.
8/8: đã trả kết quả test, chăm sóc tiếp</t>
  </si>
  <si>
    <t>Bích Ngân</t>
  </si>
  <si>
    <t>0933316274</t>
  </si>
  <si>
    <t>Chưa gửi thông tin chương trình lan tỏa</t>
  </si>
  <si>
    <t>Con ngoan hiền, lễ phép. Con tập trung khá tốt khi tham gia buổi test.
Tốc độ phản xạ: Chưa nhanh. Con chưa tập được thói quen suy nghĩ và trả lời bằng tiếng Anh.
Con có thể nghe và trả lời những câu hỏi giao tiếp cơ bản về tên, tuổi, nơi ở, sở thích,.. 
Con cần luyện thêm nhiều về phát âm: cả ngữ điệu, lưu loát và độ chính xác.
Con chưa sử dụng câu hoàn chỉnh nhiều. Cấu trúc câu đơn giản.
Con có thể nắm được số từ 1-100. Còn nhầm lẫn một vài số như 12, 20,...
Con chưa nắm được số thứ tự.
Con thuộc 95% bảng chữ cái và có thể đánh vần tương đối nhanh. Còn nhầm J và G. 
Con có vốn từ cơ bản về các chủ đề như đồ ăn, các thành viên trong gia đình, đồ vật,...
Có có khả năng đọc hiểu khá và trả lời được đúng khoảng 50-60% các câu của các dạng bài tập cơ bản.
Con cần rèn luyện thêm về từ vựng và cấu trúc với chương trình: 1/2 GTPX Level 2</t>
  </si>
  <si>
    <t>7/8: trao dổi hẹn lịch test tối thứ 3.9/8: trả kq test
11/8: nhắc đóng học phí.</t>
  </si>
  <si>
    <t>Tố Uyên</t>
  </si>
  <si>
    <t>Dương Hoàng Ân</t>
  </si>
  <si>
    <t>0822608456</t>
  </si>
  <si>
    <t>Mẹ muốn bé học cả giao tiếp + ngữ pháp</t>
  </si>
  <si>
    <t>Con ngoan hiền, lễ phép. Con tập trung khá tốt khi tham gia buổi test.
Tốc độ phản xạ: Chưa nhanh. Con còn khá lúng túng khi sử dụng đúng các cấu trúc câu để trả lời câu hỏi.
Con có thể nghe và trả lời những câu hỏi giao tiếp cơ bản về tên, màu sắc và con vật yêu thích nhưng khi cô hỏi về tuổi thì con chưa trả lời được ngay.
Con cần luyện thêm nhiều về phát âm: cả ngữ điệu, lưu loát và độ chính xác.
Con có thể nắm được đến chữ số hàng trăm. Còn nhầm lẫn một vài số như 12, 59,...
Con chưa nắm được số thứ tự.
Con thuộc 70% bảng chữ cái nhưng đánh vần chưa được nhanh. 
Con còn phải nhẩm lại nhiều lần bảng chữ cái thì mới trả lời được câu hỏi của cô.
Con có vốn từ cơ bản về các chủ đề như đồ ăn, đồ vật, nhưng con còn nhầm lẫn giữa các từ vựng chủ đề trang phục.
Có có khả năng đọc hiểu cơ bản và trả lời được đúng khoảng 50-60% các câu của các dạng bài tập cơ bản.
Con chưa nắm chắc kiến thức về các thì.
Con cần rèn luyện thêm về từ vựng và cấu trúc với chương trình: GTPX Level 2</t>
  </si>
  <si>
    <t>2-4-6, 19H30</t>
  </si>
  <si>
    <t>8/8: Hẹn 19h tối ngày 9/8 test
10/8: Đã trả test</t>
  </si>
  <si>
    <t>Kim Thuý</t>
  </si>
  <si>
    <t>Huyền Anh</t>
  </si>
  <si>
    <t>0988083226</t>
  </si>
  <si>
    <t>Mẹ muốn tư vấn khoá GTPX</t>
  </si>
  <si>
    <t>Con ngoan hiền, lễ phép. Con tập trung tốt khi tham gia buổi test.
Tốc độ phản xạ: Khá ổn
Con có thể nghe và trả lời những câu hỏi giao tiếp cơ bản về tên, tuổi, nơi ở, sở thích, thành viên trong gia đình,..
Nhưng khi cô hỏi con miêu tả về mẹ thì con cần những câu hỏi nhỏ của cô liên quan đến chủ đề thì con mới trả lời được.
Con cần cố gắng mở rộng thêm chủ đề khi nói.
Con phát âm được các từ cơ bản, con có chú ý phát âm âm cuối nhưng chưa có nối âm khi nói.
Con có thể giao tiếp bằng các câu hoàn chỉnh với các cấu trúc câu cơ bản.
Con có thể nắm được đến chữ số hàng trăm.
Con nắm được tốt về số thứ tự.
Con thuộc bảng chữ cái và có thể đánh vần tốt.
Con có vốn từ cơ bản về các chủ đề như con vật, vị trí, đồ vật, so sánh nhưng con cần cải thiện thêm vốn từ về môn thể thao và thời tiết.
Có có khả năng đọc hiểu khá ổn và trả lời được đúng hầu hết các câu của các dạng bài tập cơ bản.
Con cần rèn luyện thêm về từ vựng và ngữ pháp với chương trình : 1/2 GTPX Level 3</t>
  </si>
  <si>
    <t>9/8: Hẹn test 10/8, lúc 18h tối
10/8: đã trả kq test, mẹ chốt khóa học</t>
  </si>
  <si>
    <t>Hien Duc</t>
  </si>
  <si>
    <t>Nguyễn Ngọc Bảo Trâm</t>
  </si>
  <si>
    <t>0917669084</t>
  </si>
  <si>
    <t>10/8: gọi ko nghe máy nhưng có  nt zalo để  trao đổi, mẹ đồng ý nhưng chưa trả lời
11/8: gọi chưa nghe máy, mẹ nt đã tìm được lớp học cho con</t>
  </si>
  <si>
    <t>Nhã Uyên</t>
  </si>
  <si>
    <t>đinh phạm minh ngọc</t>
  </si>
  <si>
    <t>84 911393533</t>
  </si>
  <si>
    <t>Mẹ Nhật Vy giới thiệu - Mẹ quan tâm lớp phát âm xịn sò</t>
  </si>
  <si>
    <t>10/8: gọi trao đổi đang hẹn xếp lịch test vào cuối tuần thứ 7
14/8: nt trao đổi hẹn lịch test
15/8: nt lại trao đổi lịch test hướng con qua lớp GTPX</t>
  </si>
  <si>
    <t xml:space="preserve">Lê Thị Hòa </t>
  </si>
  <si>
    <t xml:space="preserve">Nguyễn Ngọc Thiện Tâm </t>
  </si>
  <si>
    <t>0349576787</t>
  </si>
  <si>
    <t>Phụ huynh điền form khóa GTPX (điền ngày 1/6)</t>
  </si>
  <si>
    <t>2/6: Mẹ không nghe máy lần 1
14/6: mẹ không nghe máy lần 2. 24/6 gọi knm
11/8: gọi knm</t>
  </si>
  <si>
    <t>Giang Le</t>
  </si>
  <si>
    <t>0918511260</t>
  </si>
  <si>
    <t>Tư vấn khóa 1:1 cho con học lớp 6</t>
  </si>
  <si>
    <t>11/8 đã gửi thông tin Zalo
15/8: nt lại nhưng ko phản hồi
16/8: gọi đt ko nghe máy, cúp máy ngang</t>
  </si>
  <si>
    <t>anh Khiển</t>
  </si>
  <si>
    <t>Tiến Minh</t>
  </si>
  <si>
    <t>0984929372</t>
  </si>
  <si>
    <t>Con ngoan hiền, lễ phép. Con tập trung khi tham gia test.
Tốc độ phản xạ: Khá nhanh. 
Con nghe hiểu tốt các câu hỏi của cô và trả lời được ở mức căn bản. Con có ý thức sử dụng câu đầy đủ và áp dụng được tốt ngữ pháp, cấu trúc câu vào giao tiếp.
Con cần cố gắng mở rộng ý tưởng khi giao tiếp.
Có vốn từ khá tốt về các chủ đề: thông tin cá nhân, đồ dùng, màu sắc, hoạt động, động vật, đồ dùng học tập, vị trí,...
Con phát âm khá, tuy nhiên con cần cải thiện thêm âm cuối và nối âm. 
Con nắm được đến chữ số hàng trăm, con nắm được số thứ tự.
Con nắm được bảng chữ cái. Tốc độ đánh vần khá  nhanh.
Khả năng nghe hiểu và độc hiểu của con khá tốt.
Con có thể trả lời được đúng hầu hết các câu hỏi liên quan đến các bài đọc và bài nghe tương đương trình độ Movers.
Con cần rèn luyện thêm về từ vựng và cấu trúc với chương trình GTPX Level 5</t>
  </si>
  <si>
    <t>12/8: đã liên hệ và nt zalo
13/8: hẹn lịch test tối thứ 2
15/8: đã trả kq test, bạn còn 2 tuần ở trung tâm cũ hẹn lại sau khi kết thúc đăng kí cho con học 1 kèm 2
3/9: bố từ chối mẹ chọn lớp off cho con</t>
  </si>
  <si>
    <t>Tuấn Thu</t>
  </si>
  <si>
    <t>Nguyễn Ngọc Ánh</t>
  </si>
  <si>
    <t>0386893602</t>
  </si>
  <si>
    <t>Con ngoan hiền, lễ phép. Con tập trung khi tham gia test.
Tốc độ phản xạ: Khá nhanh. 
Con nghe hiểu tốt các câu hỏi của cô và trả lời được ở mức căn bản. Con có ý thức sử dụng câu đầy đủ và áp dụng được tốt ngữ pháp, cấu trúc câu vào giao tiếp.
Con cần cố gắng mở rộng ý tưởng khi giao tiếp.
Có vốn từ khá tốt về các chủ đề: thông tin cá nhân, đồ dùng, màu sắc, hoạt động, động vật, đồ dùng học tập, vị trí,...
Con phát âm khá, tuy nhiên con cần cải thiện thêm âm cuối và nối âm. 
Con nắm được từ số 1 -1000, con nắm được số thứ tự.
Con nắm được bảng chữ cái. Tốc độ đánh vần khá  nhanh.
Con có thể làm được cái bài nghe hiểu ở mức độ cơ bản tuy nhiên đối với những bài có độ khó cao hơn thì con làm chưa được tốt lắm.
Con có kĩ năng đọc hiểu khá tốt và có thể trả lời đúng gần hết những câu hỏi cô cho.
Con cần rèn luyện thêm về từ vựng và cấu trúc với chương trình GTPX Level 5</t>
  </si>
  <si>
    <t>13/8: nt kb zalo trao đôi thông tin, hẹn lịch test chiều thứ 2
14/8: dời lịch test sang chiều thứ 3</t>
  </si>
  <si>
    <t>Thái Cường</t>
  </si>
  <si>
    <t>0984344661</t>
  </si>
  <si>
    <t>Mất gốc, mục tiêu 550 TOEIC, muốn tìm khóa cho người mới bắt đầu</t>
  </si>
  <si>
    <t>13/8: học phí quá cao bạn bảo ko phù hợp với bạn</t>
  </si>
  <si>
    <t>mẹ Teresa Nguyen</t>
  </si>
  <si>
    <t>Thanh Quỳnh</t>
  </si>
  <si>
    <t>đồng nai</t>
  </si>
  <si>
    <t>0834183866</t>
  </si>
  <si>
    <t>Con ngoan hiền, lễ phép. Con tập trung khi tham gia test.
Tốc độ phản xạ: Khá nhanh. 
Con nghe hiểu tốt các câu hỏi của cô và trả lời được ở mức căn bản. Con có ý thức sử dụng câu đầy đủ và áp dụng cấu trúc câu vào giao tiếp.
Con cần cố gắng mở rộng ý tưởng khi giao tiếp.
Có vốn từ khá tốt về các chủ đề: thông tin cá nhân, đồ dùng, màu sắc, hoạt động, động vật, đồ dùng học tập, vị trí, con vật...
Con phát âm khá, tuy nhiên con cần cải thiện thêm âm cuối, nối âm và độ lưu loát.
Con nắm được từ số 1 -100 000, con nắm được số thứ tự.
Con nắm được bảng chữ cái. Tốc độ đánh vần khá  nhanh.
Con có thể làm được cái bài nghe hiểu ở mức độ cơ bản tuy nhiên đối với những bài có độ khó cao hơn thì con làm chưa được tốt lắm.
Con có kĩ năng đọc hiểu khá tốt và có thể trả lời đúng gần hết những câu hỏi cô cho.
Con cần rèn luyện thêm về từ vựng và cấu trúc với chương trình GTPX Level 5</t>
  </si>
  <si>
    <t>14/8: gọi mẹ bận hẹn gọi lại lúc trưa, đã gọi lại mẹ quan tâm lớp GTPX cho cả 2 bạn và xếp lịch  test vào tối thứ 2 tuần sau
16/8: xếp lại lịch test vào khung giờ 14h30 thứ 2 ạ
21/8: trả kq test, chốt khóa học</t>
  </si>
  <si>
    <t xml:space="preserve">
Con ngoan hiền, lễ phép.
Con có thể trả lời những câu hỏi cơ bản của cô về tên, tuổi, và sở thích,.. tuy nhiên con chưa hiểu được một số câu hỏi của cô nên trả lời chưa được tốt.
Con rất tập trung khi tham gia test.
Tốc độ phản xạ: Khá ổn. 
Con dùng được câu hoàn chỉnh khi nói nhưng có một vài câu trả lời con có xu hướng dùng từ lẻ để trả lời.
Con phát âm được các từ cơ bản, nhưng con còn bị sót âm cuối và chưa có nối âm khi nói.
Con nắm được từ 1-100,
Con chưa nắm được số thứ tự. 
Con nắm được bảng chữ cái và đánh vần được tốt các từ.
Con cần cố gắng cải thiện thêm kĩ năng nghe hiểu và đọc hiểu của con. 
Con cần rèn luyện thêm về từ vựng và cấu trúc với chương trình GTPX Level 3</t>
  </si>
  <si>
    <t>14/8: gọi mẹ bận hẹn gọi lại lúc trưa, đã gọi lại mẹ quan tâm lớp GTPX cho cả 2 bạn và xếp lịch  test vào tối thứ 2 tuần sau
16/8: xếp lại lịch test vào khung giờ 14h30 ạ
trả kq test và chốt khóa học</t>
  </si>
  <si>
    <t>Kim Hương</t>
  </si>
  <si>
    <t>0937455393</t>
  </si>
  <si>
    <t>14/8: nt hẹn tối gọi trao ddooirr nhưng tối nt và gọi dt ko nghe máy
15/8: gọi ko nghe máy
22/8; nt ko phản hồi</t>
  </si>
  <si>
    <t>lê minh ngọc</t>
  </si>
  <si>
    <t>Nguyễn Ngọc Minh Thùy</t>
  </si>
  <si>
    <t xml:space="preserve">0945081087 </t>
  </si>
  <si>
    <t>Con ngoan hiền, lễ phép, tự tin trong giao tiếp. 
Con rất tập trung khi tham gia test. 
Con vui vẻ, hoạt bát và có tinh thần tham gia test khá tốt.
Con nghe hiểu khá tốt các câu hỏi của cô.
Tốc độ phản xạ: Nhanh. 
Con phát âm khá tốt, tự nhiên, con có âm cuối. Tuy nhiên vẫn cần điều chỉnh thêm nối âm và ngữ điệu.
Con nắm được khá tốt các cấu trúc câu cơ bản. Con sử dụng đúng động từ to be khi trả lời các câu hỏi.
Con nắm được từ số 1 -1000 tuy nhiên con nắm chưa tốt số thứ tự.
Con nắm được tốt bảng chữ cái. Tốc độ đánh vần nhanh. Còn nhầm J và G. 
Có vốn từ tương đối về các chủ đề: thông tin cá nhân, đồ dùng, màu sắc, hoạt động, động vật, đồ dùng học tập,...
Con nói được câu đầy đủ.
Kĩ năng đọc hiểu của con khá tốt và con có thể trả lời được đúng gần hết các câu hỏi của cô.
Con cần cố gắng cải thiện thêm kĩ năng nghe hiểu của con.
Con cần rèn luyện thêm về từ vựng và cấu trúc với chương trình GTPX 1/2 Level 3. Bắt đầu từ nửa sau khoá UP3</t>
  </si>
  <si>
    <t>14/8: đã gọi trao đổi hẹn lịch test tối thứ 4
18/8: đã trả kq test, mẹ chọn lớp 1-1, hẹn cuối tháng đăng kí học cho con
30/8: nt cho mẹ nhưng chưa phản hồi lại</t>
  </si>
  <si>
    <t>Lê Dự</t>
  </si>
  <si>
    <t xml:space="preserve">840988645877
</t>
  </si>
  <si>
    <r>
      <rPr>
        <rFont val="Cambria"/>
        <sz val="11.0"/>
      </rPr>
      <t xml:space="preserve">Muốn đăng ký thi thử Mover
Làm việc tại </t>
    </r>
    <r>
      <rPr>
        <rFont val="Cambria"/>
        <color rgb="FF1155CC"/>
        <sz val="11.0"/>
        <u/>
      </rPr>
      <t>Hocmai.vn</t>
    </r>
  </si>
  <si>
    <t>14/8: gọi knm
15/8: nt zalo nhưng chặn tìm kiếm
16/8: gọi vẫn knm</t>
  </si>
  <si>
    <t>Trang Nguyễn</t>
  </si>
  <si>
    <t>0794400185</t>
  </si>
  <si>
    <t>Đã tham gia thi thử Starters</t>
  </si>
  <si>
    <t>Con ngoan hiền, lễ phép. Con tập trung tốt khi tham gia buổi test.
Tốc độ phản xạ: Khá nhanh.
Con nói khá tự nhiên và có thể hiểu tốt được những câu hỏi và trả lời tốt.
Con có thể nghe và trả lời những câu hỏi giao tiếp cơ bản về tên, tuổi, nơi ở, sở thích...
Con biết cách sử dụng các cấu trúc câu cơ ban của con vào giao tiếp tuy nhiên con vẫn còn một số lỗi ngữ pháp nhỏ.
Phát âm của con khá ổn tuy nhiên con cần chú ý các âm cuối và nối âm.
Con có thể nắm được số từ 1-1 000 000 000.
Con thuộc bảng chữ cái và có thể đánh vần tốt.
Vốn từ của con khá phong phú về con vật, đồ vật, đồ dùng học tập, vị trí, thời gian...
Kĩ năng đọc hiểu của con khá tốt và con có thể trả lời được đúng gần hết các câu hỏi của cô.
Con có thể nghe hiểu và trả lời được các câu hỏi ở mức cơ bản.
Con cần rèn luyện thêm về từ vựng và ngữ pháp với chương trình : GTPX Level 4</t>
  </si>
  <si>
    <t>15/8: Xếp lịch test thứ 6 15h
21/8: đã trả kết quả test, mẹ đang cân nhắc vì còn học o trung tâm cũ, học phí bên mình khá cao nen đang cân nhắc
23/8: trả kq test, mẹ chưa tham gia từ chối</t>
  </si>
  <si>
    <t>mẹ huệ</t>
  </si>
  <si>
    <t>Võ Hoàng Nguyên</t>
  </si>
  <si>
    <t>0984676292</t>
  </si>
  <si>
    <t>Con ngoan hiền, lễ phép. 
Con có thể nghe và trả lời những câu hỏi giao tiếp cơ bản về tên, tuổi, sức khoẻ...
Con có thể nắm được số từ 1-10. Chưa đếm nhanh được.
Con chưa thuộc hết bảng chữ cái và đánh vần chưa được.
Vốn từ của con còn hạn chế.
Con cần rèn luyện thêm về từ vựng và ngữ pháp với chương trình : GTPX Level Starter</t>
  </si>
  <si>
    <t>17/8: gọi trao đổi thông tin và hẹn xếp lịch test vào tối thứ 3
22/8: đã gửi lịch test và nhắc lịch
23/8: mẹ chốt khóa học</t>
  </si>
  <si>
    <t>Khải Minh</t>
  </si>
  <si>
    <t>0905096910</t>
  </si>
  <si>
    <t>Sắp lên lớp 4</t>
  </si>
  <si>
    <t>Con ngoan hiền, lễ phép, tự tin trong giao tiếp. 
Con rất tập trung khi tham gia test. 
Con nghe hiểu khá tốt các câu hỏi của cô.
Tốc độ phản xạ: Khá nhanh. 
Con phát âm chưa tốt, cần điều chỉnh thêm độ chính xác, nối âm và ngữ điệu.
Con chưa có thói quen trả lời câu hoàn chỉnh. Đa số trả lời bằng từ lẻ.
Con nắm được từ số 1 -100 tuy nhiên con nắm được số thứ tự.
Con nắm được tốt bảng chữ cái. Tốc độ đánh vần khá nhanh. 
Có vốn từ khá tốt về các chủ đề: thông tin cá nhân, đồ dùng, màu sắc, hoạt động, động vật, đồ dùng học tập,...
Kĩ năng đọc hiểu và nghe hiểu của con khá tốt và con có thể trả lời được đúng gần hết các câu hỏi. Tuy nhiên con đọc thành tiếng chưa tốt do kỹ năng phát âm còn hạn chế.
Con cần rèn luyện thêm về từ vựng và cấu trúc với chương trình GTPX Level 3.</t>
  </si>
  <si>
    <t>17/8: có nt trao đổi và gọi điện, hẹn lịch test chiều thứ 6 15h
21/8: đã trả kết quả test, mẹ bận chưa trao đổi cụ thể hơn
hướng mẹ học 1 kèm 2, mẹ đang cân nhắc chỉ thuận tiện trao đổi buổi tối</t>
  </si>
  <si>
    <t>hán hà phương</t>
  </si>
  <si>
    <t>0984716843</t>
  </si>
  <si>
    <t>Đến từ Hà Tĩnh, điền form ngữ pháp</t>
  </si>
  <si>
    <t>19/8: gọi chưa nghe máy, gọi lại sau
đã liên lạc nghe khóa học miến phí nên điền form sau khi tư vấn học phí quá cao mẹ làm công nhân ko theo được nên ko tham gia test cho con</t>
  </si>
  <si>
    <t>Hoàng Phuong Lien</t>
  </si>
  <si>
    <t>Trịnh Hoàng Minh</t>
  </si>
  <si>
    <t xml:space="preserve">0914083181
 c Loan: 0378420939 </t>
  </si>
  <si>
    <t>Tư vấn lớp 1 kèm 1</t>
  </si>
  <si>
    <t>Con ngoan hiền, lễ phép. Con tập trung tốt khi tham gia buổi test.
Tốc độ phản xạ: Khá ổn
Con có thể nghe và trả lời những câu hỏi giao tiếp cơ bản về tên, tuổi, nơi ở, sở thích...
Con biết cách sử dụng các cấu trúc câu cơ ban của con vào giao tiếp tuy nhiên con vẫn còn một số lỗi ngữ pháp.
Đôi lúc con sử dụng từ lẻ để trả lời thay vì nói cả câu.
Con chưa mở rộng được nhiều ý tưởng khi trả lời các câu hỏi.
Con cần cải thiện thêm phát âm, đặc biệt là trọng âm từ, ngữ điệu, nối âm,...
Con có thể nắm được số từ 1-1 000 000 000.
Con thuộc bảng chữ cái và có thể đánh vần tốt.
Con có vốn từ cơ bản về con vật, đồ vật, đồ dùng học tập, vị trí, thời gian...
Kĩ năng đọc hiểu của con khá ổn và con có thể trả lời được đúng gần hết các câu hỏi của cô.
Con cần cố gắng cải thiện thêm kĩ năng nghe.
Con cần rèn luyện thêm về từ vựng và ngữ pháp với chương trình : GTPX Level 4</t>
  </si>
  <si>
    <t>19/8: đã gọi trao đổi nhưng đây là cô của bạn có tạo gr và chia sẻ thông tin với mẹ, đang chờ xếp lịch test
21/8: đã trả kết quả test, tư vấn khóa ngữ pháp bức tốc và chăm sóc tiếp</t>
  </si>
  <si>
    <t>Nguyễn Diệu</t>
  </si>
  <si>
    <t>lớp 3 và lớp 6</t>
  </si>
  <si>
    <t>0773279535</t>
  </si>
  <si>
    <t>23/8: gọi nhưng sai số phụ huynh già con lớn tuổi</t>
  </si>
  <si>
    <t>Đỗ Chung</t>
  </si>
  <si>
    <t>0966481858</t>
  </si>
  <si>
    <t>23/8: gọi knm</t>
  </si>
  <si>
    <t>Đoàn gia Linh</t>
  </si>
  <si>
    <t>0333511868</t>
  </si>
  <si>
    <t>Quảng Ninh, điền form ngữ pháp</t>
  </si>
  <si>
    <t xml:space="preserve">199/8: có nt trao đổi mẹ quan tâm khóa free nhưng khi trao đổi cách thức nhận mẹ từ chối </t>
  </si>
  <si>
    <t>Gia Tường</t>
  </si>
  <si>
    <t>0987443039</t>
  </si>
  <si>
    <t>Khoá phát âm và GTPX với gv nước ngoài em
Chị cho 2 bé học chung, một bé lớp 5 và 1 bé lớp 8</t>
  </si>
  <si>
    <t>21/8: gọi điện và nt trao đổi quan tâm lớp phonic nhưng báo giá thì cao quá mẹ cân nhắc</t>
  </si>
  <si>
    <t xml:space="preserve">Thanh Đại </t>
  </si>
  <si>
    <t>0968619805</t>
  </si>
  <si>
    <t>Đăng ký thi Movers</t>
  </si>
  <si>
    <t>21/8: gọi chưa nghe máy, zalo chăn tn từ ng lạ</t>
  </si>
  <si>
    <t>Trịnh Thị Loan</t>
  </si>
  <si>
    <t xml:space="preserve">thảo nguyên lơp 10 </t>
  </si>
  <si>
    <t>0905648878</t>
  </si>
  <si>
    <t xml:space="preserve">Mình muốn tìm hiểu về khoá học cho bé  lớp 10
</t>
  </si>
  <si>
    <t xml:space="preserve">21/8: gọi trao đổi kết quả hẹn lịch test ngày thứ 7. bạn học ở fpt </t>
  </si>
  <si>
    <t>bảo lộc lớp 5</t>
  </si>
  <si>
    <t>Mình muốn tìm hiểu về khoá học cho bé lớp 5</t>
  </si>
  <si>
    <t>Con ngoan hiền, lễ phép, tự tin trong giao tiếp. 
Con rất tập trung khi tham gia test. 
Tốc độ phản xạ: Chưa được nhanh
Con trả lời được câu hỏi về tên, nơi ở, tuổi nhưng bị nhầm lẫn một chút giữa câu hỏi "How are you?" và "How old are you?".
Con trả lời được câu hởi về màu sắc và con vật yêu thích tuy nhiên con chưa biết cách mở rộng chủ đề khi nói.
Con phát âm chưa tốt, cần điều chỉnh thêm độ chính xác, nối âm, độ lưu loát và ngữ điệu.
Con chưa có thói quen trả lời câu hoàn chỉnh. Đa số trả lời bằng từ lẻ.
Con nắm được tới chữ số hàng trăm. Tuy nhiên con nắm được số thứ tự.
Con nắm được tốt bảng chữ cái. Tốc độ đánh vần khá nhanh. Tuy nhiên có một số chữ con còn nhầm lẫn cách đọc như chữ A, U, Y.
Vốn từ của con còn hạn chế về các chủ đề: đồ dùng, màu sắc, hoạt động, động vật, đồ dùng học tập,...
Kĩ năng đọc hiểu và nghe hiểu của con khá tốt và con có thể trả lời được đúng gần hết các câu hỏi. Tuy nhiên con đọc thành tiếng chưa tốt do kỹ năng phát âm còn hạn chế.
Con cần rèn luyện thêm về từ vựng và cấu trúc với chương trình GTPX Level 3.</t>
  </si>
  <si>
    <t>21/8: gọi trao đổi và xếp lịch test vào tối thứ 4
24/8: trả kq test mẹ dk khóa học</t>
  </si>
  <si>
    <t>Giang Tran</t>
  </si>
  <si>
    <t>0988510162</t>
  </si>
  <si>
    <t>Khanh Hoang</t>
  </si>
  <si>
    <t>Tom</t>
  </si>
  <si>
    <t>098 252 79 74</t>
  </si>
  <si>
    <t>GTPX (data qc)</t>
  </si>
  <si>
    <t xml:space="preserve">Con ngoan hiền, lễ phép. Con tập trung tốt khi tham gia buổi test.
Tốc độ phản xạ: Nhanh.
Con có khả năng giao tiếp về hầu hết các chủ đề: thông tin cá nhân, sở thích, thành phố, du lịch, bạn bè... Biết cách mở rộng chủ đề giao tiếp rất tốt. 
Luôn dùng câu hoàn chỉnh để đáp. Con biết cách sử dụng các cấu trúc câu vào giao tiếp tuy nhiên con vẫn còn một số lỗi ngữ pháp.
Con phát âm rất tốt về cả độ chính xác, ngữ điệu và trọng âm, lưu loát.
Kĩ năng đọc hiểu của con khá tốt tuy nhiên cần chắc chắc hơn về chính tả.
Một số điểm ngữ pháp như: thì hoàn thành, thì tiếp diễn, câu bị động còn hơi bối rối và chưa chính xác.
Con không cần học thêm khoá GTPX nữa, tư vấn khoá VUI hoặc Ngữ pháp tuỳ theo nguyện vọng của PH =)) </t>
  </si>
  <si>
    <t xml:space="preserve">22/8: trao đổi và gửi lịch test cho con vào sáng thứ 4 </t>
  </si>
  <si>
    <t xml:space="preserve">
Xíu Út Phạm</t>
  </si>
  <si>
    <t>0363760550</t>
  </si>
  <si>
    <t>22/8: gọi chưa nghe máy</t>
  </si>
  <si>
    <t>Thu Ha Tran</t>
  </si>
  <si>
    <t>0345540248</t>
  </si>
  <si>
    <t>Lanthj Vo</t>
  </si>
  <si>
    <t>0336329225</t>
  </si>
  <si>
    <t>Quan tâm khóa phát âm</t>
  </si>
  <si>
    <t>22/8: gọi chưa nghe máy, 
gọi lần 2 mẹ bận hẹn gọi lại sau</t>
  </si>
  <si>
    <t>Oanh Nguyen Thi Hoang</t>
  </si>
  <si>
    <t>0372782199</t>
  </si>
  <si>
    <t>22/8: gọi knm
24/8: nt zalo ko phản hồi, gọi lajic ko nghe máy</t>
  </si>
  <si>
    <t>chị Phương</t>
  </si>
  <si>
    <t>Bảo Nhi</t>
  </si>
  <si>
    <t>0905023777</t>
  </si>
  <si>
    <t>Con ngoan hiền, lễ phép. Con tập trung khi tham gia test.
Tốc độ phản xạ: Khá nhanh. 
Con nghe hiểu tốt các câu hỏi của cô và trả lời được ở mức căn bản. Con có ý thức sử dụng câu đầy đủ và áp dụng được các cấu trúc câu cơ bản vào giao tiếp.
Con cần cố gắng mở rộng ý tưởng khi giao tiếp.
Có vốn từ khá tốt về các chủ đề: thông tin cá nhân, đồ dùng, màu sắc, hoạt động, động vật, đồ dùng học tập, vị trí,...
Con phát âm khá, tuy nhiên con cần cải thiện thêm âm cuối và nối âm. 
Con nắm được đến chữ số hàng triệu, con nắm được số thứ tự.
Con nắm được bảng chữ cái. Tốc độ đánh vần khá  nhanh.
Khả năng đọc hiểu của con khá tốt.
Con có thể trả lời được đúng hầu hết các câu hỏi liên quan đến các bài đọc.
Con có thể làm đúng được các bài nghe hiểu ở mức cơ bản tuy nhiên con cần cố gắng cải thiện kĩ năng nghe hơn nữa.
Con cần rèn luyện thêm về từ vựng và cấu trúc với chương trình GTPX Level 5</t>
  </si>
  <si>
    <t>22/8: me gọi dt quan tâm đến lớp phản xạ để bạn rèn luyện hỗ trợ thêm vì bạn cũng đang theo hoc lớp ielts , kb zalo để mẹ xem chương trình và xếp lịch vào chiều thứ 3</t>
  </si>
  <si>
    <t>Hồ Thoa</t>
  </si>
  <si>
    <t>0947 858 853</t>
  </si>
  <si>
    <t>23/8: gọi chưa nghe máy,</t>
  </si>
  <si>
    <t>0935542215</t>
  </si>
  <si>
    <t>Trịnh Thị Hà</t>
  </si>
  <si>
    <t>0374573539</t>
  </si>
  <si>
    <t>Võ Văn Bảo</t>
  </si>
  <si>
    <t>Võ Khôi Nguyên</t>
  </si>
  <si>
    <t>Bố Bảo: 0935839880
Mẹ Lương: 0935030598</t>
  </si>
  <si>
    <t>Tham gia dki test Cam</t>
  </si>
  <si>
    <t>Con ngoan hiền, lễ phép, tự tin trong giao tiếp. 
Con rất tập trung khi tham gia test. 
Tốc độ phản xạ: Con có thể phản xạ nhanh với những câu hỏi cơ bản nhưng với những câu hỏi khó hơn một chút thì con cần thời gian suy nghĩ.
Con phát âm được các từ cơ bản, tuy nhiên con cần điều chỉnh thêm độ chính xác, nối âm, độ lưu loát và ngữ điệu.
Con có thể dùng câu hoàn chỉnh để trả lời các câu hỏi cơ bản, tuy nhiên đôi lúc con còn dùng từ lẻ để trả lời.
Con nắm được tới chữ số hàng trăm. Con nắm được số thứ tự.
Con nắm được tốt bảng chữ cái. Tốc độ đánh vần khá nhanh. 
Con có vốn từ cơ bản về: đồ dùng, màu sắc, hoạt động, động vật, đồ dùng học tập,...
Con có thể nghe - đọc và trả lời các câu hỏi ở mức cơ bản. Tuy nhiên con đôi khi không chắc lắm về câu trả lời của mình khi làm các bài nghe và bài đọc. 
Con cần rèn luyện thêm về từ vựng và cấu trúc với chương trình GTPX Level 3.</t>
  </si>
  <si>
    <t>23/8: đã trao đỏi gửi chương trình và hẹn lịch test
25/8: trả kết quả test nhưng con không chịu học online muốn học trung tâm cho có bạn</t>
  </si>
  <si>
    <t>Nguyen Lanh</t>
  </si>
  <si>
    <t>0828395599</t>
  </si>
  <si>
    <t>Muốn đăng ký Flyers</t>
  </si>
  <si>
    <t>Viên An</t>
  </si>
  <si>
    <t>0905977032</t>
  </si>
  <si>
    <t xml:space="preserve"> Con ngoan hiền, lễ phép. Con khá tập trung khi tham gia buổi test.
Tốc độ phản xạ: Chưa nhanh. Vì vốn từ hạn chế nên con không nghe được. Còn phụ thuộc vào mẹ dịch lại tiếng Việt.
Con cần luyện thêm nhiều về phát âm: cả ngữ điệu, lưu loát và độ chính xác.
Con chưa sử dụng câu hoàn chỉnh.
Con có thể nắm được số dưới 10 
Con thuộc bảng chữ cái theo bài hát nhung chưa đánh vần được.
Có vốn từ cơ bản về màu sắc, động vật, đồ vật,...
Con cần rèn luyện thêm về từ vựng và cấu trúc với chương trình: GTPX 1/2 Starter (hoặc Starter)</t>
  </si>
  <si>
    <t>24/8: gọi trao đổi và nt trao đổi về thông tin khóa học để mẹ tham khảo thông tin trước. sau đó mới xếp lịch test cho con. con chưa biết mặt chữ
29/8: nt hẹn sắp xếp lại lịch test. 5/9 xếp lịch test tối thứ 5</t>
  </si>
  <si>
    <t xml:space="preserve"> 0773415408</t>
  </si>
  <si>
    <t xml:space="preserve">Mục tiêu 6.0 </t>
  </si>
  <si>
    <t>27/8: gọi trao đổi từ chối test</t>
  </si>
  <si>
    <t>Nguyễn Thị Hoan</t>
  </si>
  <si>
    <t>Nguyễn Thành Đạt</t>
  </si>
  <si>
    <t>0865688583</t>
  </si>
  <si>
    <t xml:space="preserve">Con ngoan hiền, lễ phép, khá tự tin trong giao tiếp. Thông minh và áp dụng được ngay kiến thức mới.
Con rất tập trung khi tham gia test. 
Tốc độ phản xạ: Con có thể phản xạ nhanh với những câu hỏi cơ bản nhưng với những câu hỏi khó hơn một chút thì con cần thời gian suy nghĩ.
Con phát âm chưa hay, cần điều chỉnh thêm độ chính xác, nối âm, độ lưu loát và ngữ điệu.
Con có thể dùng câu hoàn chỉnh để trả lời các câu hỏi cơ bản, sử dụng được ngữ pháp cơ bản khi nói.
Con nắm được tới chữ số tới 1 tỷ. Con nắm được số thứ tự.
Con nắm được bảng chữ cái. Nhưng tốc độ đánh vần chưa nhanh. 
Con có vốn từ chưa rộng về: đồ dùng, màu sắc, hoạt động, động vật, đồ dùng học tập,... 
Khả năng nghe và đọc-hiểu nhanh. 
Con cần rèn luyện thêm về từ vựng và cấu trúc với chương trình GTPX Level 5. </t>
  </si>
  <si>
    <t>24/8: trả kq thi movers bà trao đổi về khóa học hẹn lịch test sáng thứ 6
29/8: trả kết quả test mẹ chưa phản hồi</t>
  </si>
  <si>
    <t>Thái Thị Anh</t>
  </si>
  <si>
    <t>Lê Bảo Ngọc</t>
  </si>
  <si>
    <t>0365244068</t>
  </si>
  <si>
    <t xml:space="preserve"> Con ngoan hiền, lễ phép. Con tập trung khá tốt khi tham gia buổi test.
Tốc độ phản xạ: Chưa nhanh. Vì vốn từ chưa rộng.
Con có thể nghe và trả lời những câu hỏi giao tiếp cơ bản về tên, tuổi, nơi ở, sở thích,.. 
Con cần luyện thêm nhiều về phát âm: cả ngữ điệu, lưu loát và độ chính xác.
Con chưa sử dụng câu hoàn chỉnh nhiều. Cấu trúc câu đơn giản.
Con có thể nắm được số dưới 100. 
Con nắm được 50% số thứ tự.
Con thuộc bảng chữ cái nhưng đánh vần chưa tốt.
Con có vốn từ cơ bản về các chủ đề như đồ ăn, các thành viên trong gia đình, đồ vật,...
Con cần rèn luyện thêm về từ vựng và cấu trúc với chương trình: GTPX Level 2</t>
  </si>
  <si>
    <t>24/8: trả kq thi movers bà trao đổi về khóa học hẹn lịch test sáng thứ 6</t>
  </si>
  <si>
    <t>Phượng Thị Emap</t>
  </si>
  <si>
    <t>Trần Đức Duy</t>
  </si>
  <si>
    <t>0966 766 186</t>
  </si>
  <si>
    <t xml:space="preserve"> Con ngoan hiền, lễ phép. Con tập trung khá tốt khi tham gia buổi test.
Tốc độ phản xạ: Chưa nhanh. Vì vốn từ hạn chế nên con không nghe được.
Con có thể nghe và trả lời những câu hỏi giao tiếp cơ bản về tên, tuổi, nơi ở, sở thích, gia đình... 
Con cần luyện thêm nhiều về phát âm: cả ngữ điệu, lưu loát và độ chính xác.
Con chưa sử dụng câu hoàn chỉnh nhiều. Cấu trúc câu đơn giản.
Con có thể nắm được số dưới 100. 
Con không nắm được số thứ tự.
Con chưa nắm hết toàn bộ bảng chữ cái nên chưa đánh vần được.
Con cần rèn luyện thêm về từ vựng và cấu trúc với chương trình: GTPX UP1</t>
  </si>
  <si>
    <t>25/8: gọi trao đổi hẹn tối gọi lại
28/8: hẹn lịch test tối thứ 3</t>
  </si>
  <si>
    <t>Trần Đức Dũng</t>
  </si>
  <si>
    <t xml:space="preserve"> Con ngoan hiền, lễ phép. Con tập trung khá tốt khi tham gia buổi test.
Tốc độ phản xạ: Chưa nhanh. Vì vốn từ hạn chế nên con không nghe được.
Con có thể nghe và trả lời những câu hỏi giao tiếp cơ bản về tên, tuổi, nơi ở,... 
Con cần luyện thêm nhiều về phát âm: cả ngữ điệu, lưu loát và độ chính xác.
Con chưa sử dụng câu hoàn chỉnh. Đa phần dùng từ lẻ.
Con có thể nắm được số dưới 30. Chưa đếm được nhanh. 
Con không nắm được số thứ tự.
Con chưa thuộc bảng chữ cái và chưa đánh vần được.
Con cần rèn luyện thêm về từ vựng và cấu trúc với chương trình: GTPX Starter</t>
  </si>
  <si>
    <t>Phạm Linh</t>
  </si>
  <si>
    <t xml:space="preserve">25/8: gọi đến hỏi quan tâm về lớp GTPX nhưng tưởng học trực tiếp học online mẹ cần suy nghĩ sẽ liên lạc lại </t>
  </si>
  <si>
    <t>Nguyen Phuong Thao</t>
  </si>
  <si>
    <t>Hà Nguyễn Minh Thư</t>
  </si>
  <si>
    <t>0986711777</t>
  </si>
  <si>
    <t>Lớp VUI khi nào có lại em</t>
  </si>
  <si>
    <t>Con ngoan hiền, lễ phép. Con tập trung tốt khi tham gia buổi test.
Tốc độ phản xạ: Khá nhanh. 
Nghe hiểu và giao tiếp được khá tốt với các chủ đề gần gũi. Có ý thức sử dụng câu đầy đủ. Áp dụng được một số cấu trúc câu cơ bản. 
Phát âm của con hay, có âm cuối, ngữ điệu tự nhiên và tốc độ nói khá tốt. 
Con có thể nắm được số từ 1-100. 
Con thuộc bảng chữ cái và có thể đánh vần khá nhanh. Còn nhầm chữ J và G. 
Vốn từ của con tương đối rộng về con vật, đồ vật, bạn bè, màu sắc,...
Kỹ năng nghe, đọc để lấy thông tin, từ khóa khá tốt. 
Chưa nắm được khái niệm về thì.
Con cần rèn luyện thêm về từ vựng và cấu trúc câu với chương trình: GTPX LEVEL UP5 hoặc Vườn Ươm 2023_VUI_K1_18_01</t>
  </si>
  <si>
    <t>26/8: hẹn lịch test lúc 19h thứ 3
30/8: trả kết quả test và tư vân tiếp</t>
  </si>
  <si>
    <t>Uyên</t>
  </si>
  <si>
    <t>Kiệt</t>
  </si>
  <si>
    <t>0774513445</t>
  </si>
  <si>
    <t>ở Đà Nẵng, đki thi Movers, hỏi khóa học online lộ trình và học phí ntn</t>
  </si>
  <si>
    <t>29/8: Ánh gọi tư vấn về lịch test trực tiếp với GV nhưng PH chưa đồng ý
29/8: Cúc gửi thông tin bài test Cambridge qua Fanpage</t>
  </si>
  <si>
    <t xml:space="preserve">Daisy Daisy </t>
  </si>
  <si>
    <t>0329553939</t>
  </si>
  <si>
    <t>TOEIC LR 550, muốn học thêm SW</t>
  </si>
  <si>
    <t>26/8: gọi lại sau
27/8: có nhăn tin trao đổi nhưng bạn đã từ chối test</t>
  </si>
  <si>
    <t>Nguyễn Binh</t>
  </si>
  <si>
    <t>Tiến Đức</t>
  </si>
  <si>
    <t>0382899325</t>
  </si>
  <si>
    <t>Con ngoan hiền, lễ phép. Con tập trung tốt khi tham gia buổi test.
Tốc độ phản xạ: Khá nhanh. Tuy nhiên khả năng nghe giao tiếp của con chưa tốt lắm. 
Con giao tiếp được cơ bản với các chủ đề quen thuộc. Có ý thức sử dụng câu đầy đủ. 
Phát âm của con cần phải được luyện thêm về độ chính xác, ngữ điệu và lưu loát.
Con có thể nắm được số từ 1-100. Còn nhầm 1 số chỗ như 50,...
Con thuộc bảng chữ cái và có thể đánh vần khá nhanh.
Vốn từ của con khá phong phú về con vật, đồ vật,...
Kỹ năng nghe, đọc để lấy thông tin, từ khóa khá tốt. 
Con cần rèn luyện thêm về từ vựng và cấu trúc câu với chương trình: GTPX LEVEL 1/2 cuối UP3</t>
  </si>
  <si>
    <t>25/8; xếp lịch test, trao đổi khóa học
29/8: đã trả kq test, mẹ cân nhắc nghiên cứu thêm</t>
  </si>
  <si>
    <t>Trần Khương</t>
  </si>
  <si>
    <t>Thái An Phú</t>
  </si>
  <si>
    <t>0975762324</t>
  </si>
  <si>
    <t>Đến từ Hà Tĩnh, ngữ pháp bé lớp 5</t>
  </si>
  <si>
    <t>26/8: gọi knm</t>
  </si>
  <si>
    <t>mẹ Thúy Vy</t>
  </si>
  <si>
    <t>Phạm khả minh</t>
  </si>
  <si>
    <t>7</t>
  </si>
  <si>
    <t>0982020212</t>
  </si>
  <si>
    <t>Con ngoan hiền, lễ phép.
Độ tập trung của con khi tham gia test chưa được cao, đôi khi con còn bị phân tâm khi tham gia test.
Con nghe hiểu và trả lời được các câu hỏi của cô về thông tin cá nhân, sở thích tuy nhiên con chưa biết cách diễn đạt ý khi được hỏi về các chủ đề như miêu tả về bạn bè của con.
Tốc độ phản xạ: Con phản xạ được nhanh với những câu hỏi cơ bản tuy nhiên với những câu hỏi có độ khó cao hơn thì con cần mất một lúc mới trả lời được.
Con phát âm khá tốt, nhưng con cần điều chỉnh thêm độ chính xác, nối âm và ngữ điệu.
Con biết cách sử dụng các mẫu câu hoàn chỉnh để trả lời cô nhưng đôi lúc sử dụng cấu trúc câu chưa được đúng.
Con nắm được từ số 1 -100 tuy nhiên con chưa nắm được số thứ tự.
Con nắm được tốt bảng chữ cái. Tốc độ đánh vần khá nhanh. 
Có vốn từ cơ bản về các chủ đề: thông tin cá nhân, đồ dùng, màu sắc, hoạt động, động vật, đồ dùng học tập,... tuy nhiên con nhầm lẫn đôi lúc giữa các từ vựng chỉ vị trí.
Kĩ năng đọc hiểu của con khá tốt và con có thể trả lời được đúng gần hết các câu hỏi.
Tuy nhiên do độ một phần thiếu tập trung nên con khả năng nghe và trả lời câu hỏi của con chưa được tốt.
Con cần rèn luyện thêm về từ vựng và cấu trúc với chương trình GTPX Level 3.</t>
  </si>
  <si>
    <t>26/8: gọi trao đổi hẹn lịch test vào chiều thứ 7</t>
  </si>
  <si>
    <t>Nguyen Hanh</t>
  </si>
  <si>
    <t>0382785208</t>
  </si>
  <si>
    <t>GTPX gv nước ngoài</t>
  </si>
  <si>
    <t>29/8: gọi tắt máy từ chối ngang</t>
  </si>
  <si>
    <t>Nguyen Nhi</t>
  </si>
  <si>
    <t>Khánh Ngọc</t>
  </si>
  <si>
    <t>0974742483</t>
  </si>
  <si>
    <t xml:space="preserve"> Con ngoan hiền, lễ phép. Con đang đi xe khi test nên chất lượng đường truyền không được tốt.
Tốc độ phản xạ: Chưa nhanh. Vì vốn từ hạn chế nên con không nghe được.
Con có thể nghe và trả lời những câu hỏi giao tiếp cơ bản về tên, tuổi, nơi ở, sở thích, gia đình... 
Con cần luyện thêm nhiều về phát âm: cả ngữ điệu, lưu loát và độ chính xác.
Con chưa sử dụng câu hoàn chỉnh nhiều. Cấu trúc câu đơn giản.
Con có thể nắm được số dưới 10. Các số cao hơn con quên cách đọc. 
Con chưa nắm hết toàn bộ bảng chữ cái nên đánh vần chưa nhanh.
Con cần rèn luyện thêm về từ vựng và cấu trúc với chương trình: GTPX UP1</t>
  </si>
  <si>
    <t>28/8: gọi mẹ hẹn tối trao đổi gọi lại sau
Tối 28/8 ko nghe máy
9/9: hẹn lịch test sáng chủ nhật</t>
  </si>
  <si>
    <t>Lê Thanh Trí Đông</t>
  </si>
  <si>
    <t>Điền form nhận học bổng Ngữ pháp bứt tốc</t>
  </si>
  <si>
    <t>28/8: gọi knm, tối gọi lại thid sdt của bà, cháu bấm nhầm</t>
  </si>
  <si>
    <t>Tiên Dương</t>
  </si>
  <si>
    <t>84982080779</t>
  </si>
  <si>
    <t>Ngữ pháp bứt tốc, liên hệ qua Zalo vì mẹ nhiều khi không cầm máy</t>
  </si>
  <si>
    <t>28/8: đã nt zalo và trao đổi nhưng mẹ ko phản hồi</t>
  </si>
  <si>
    <t>Tran Tuyet Mai</t>
  </si>
  <si>
    <t>0385431810</t>
  </si>
  <si>
    <t>28/8: đã gọi dt nhưng ng quan tâm khóa học là e gái nhưng ko cho sdt, chỉ tag trên fb để e gaias vào xem</t>
  </si>
  <si>
    <t>Lan Anh Pham</t>
  </si>
  <si>
    <t xml:space="preserve">
lê Quang khánh</t>
  </si>
  <si>
    <t>0942700229</t>
  </si>
  <si>
    <t>Zalo số bố</t>
  </si>
  <si>
    <t>29/8: đã nt trao đổi khóa học mẹ chưa phản hồi</t>
  </si>
  <si>
    <t>Lê Kim Thị</t>
  </si>
  <si>
    <t>0349825437</t>
  </si>
  <si>
    <t>sdt check</t>
  </si>
  <si>
    <t>29/8: gọi ko nghe máy</t>
  </si>
  <si>
    <t>Yenvy Doan</t>
  </si>
  <si>
    <t>0934968993</t>
  </si>
  <si>
    <t>Liệu Nhi</t>
  </si>
  <si>
    <t>Trần Hoàng Triết</t>
  </si>
  <si>
    <t>0917733554</t>
  </si>
  <si>
    <t>Con ngoan hiền, lễ phép. Con tập trung khi tham gia test.
Tốc độ phản xạ: Nhanh
Con nghe hiểu tốt các câu hỏi của cô và trả lời được ở mức căn bản. Con có ý thức sử dụng câu đầy đủ khi nói và biết cách áp dụng đúng thì khi nói.
Con tự tin và chủ động giao tiếp với cô.
Con biết cách mở rộng chủ đề và ý tưởng khi giao tiếp. 
Có vốn từ phong phú về các chủ đề: thông tin cá nhân, đồ dùng, màu sắc, hoạt động, động vật,.. tuy nhiên đôi lúc con chưa chắc lắm khi trả lời các từ vựng chỉ vị trí.
Con phát âm tốt, con có ngữ điệu và biết cách nhấn nhá khi giao tiếp.
Con nắm được từ số 1 - 1 000 000 000 và nắm được tốt số thứ tự.
Con có kĩ năng nghe hiểu và đọc hiểu khá tốt. Con có thể trả lời đúng gần hết các câu hỏi của cô. Tuy nhiên có một số câu hỏi con trả lời chưa được chắc chắn và cần thêm thời gian suy nghĩ để trả lời lại.
Con cần rèn luyện thêm về từ vựng và cấu trúc với chương trình GTPX Level 6</t>
  </si>
  <si>
    <t>29/8: hẹn lịch test sáng thứ 4</t>
  </si>
  <si>
    <t>Trần Hoàng Lịch</t>
  </si>
  <si>
    <t>Con ngoan hiền, lễ phép. Con tập trung khi tham gia test.
Tốc độ phản xạ: Khá ổn. 
Con nghe hiểu tốt các câu hỏi của cô và trả lời được ở mức căn bản. Con có ý thức sử dụng câu đầy đủ và áp dụng được ngữ pháp, cấu trúc câu vào giao tiếp.
Tuy nhiên, con còn mắc một số lỗi khi sử dụng cấu trúc câu với từ "like" khi nói về sở thích.
Con cần cố gắng mở rộng ý tưởng hơn nữa khi giao tiếp.
Con phát âm rõ ràng tuy nhiên con cần cố gắng cải thiện thêm ngữ điệu và nối âm khi giao tiếp.
Có vốn từ khá tốt về các chủ đề: thông tin cá nhân, đồ dùng, màu sắc, hoạt động, động vật, ... tuy nhiên con chưa nắm chắc được từ vựng chỉ vị trí.
Con xác định được thời gian bằng tiếng Anh nhưng cách diễn đạt của con chưa được đúng.
Con nắm được số từ 1 - 1 000 000 000 tuy nhiên chưa nắm chắc được về số thứ tự.
Con nắm được bảng chữ cái. Tốc độ đánh vần khá  nhanh.
Khả năng đọc hiểu, nghe hiểu của con khá tốt và con có thể làm được đúng gần hết các câu hỏi trong bài test.
Con cần rèn luyện thêm về từ vựng và cấu trúc với chương trình GTPX Level 5</t>
  </si>
  <si>
    <t>Nguyễn thị phương thảo</t>
  </si>
  <si>
    <t>0935176942</t>
  </si>
  <si>
    <t>5/9: đã gửi thông tin và đang xếp lịch test cho con</t>
  </si>
  <si>
    <t>Nguyễn Thị Thanh Hải</t>
  </si>
  <si>
    <t>Nguyễn Ngọc Hải Dương</t>
  </si>
  <si>
    <t>0905780368</t>
  </si>
  <si>
    <t>Con ngoan hiền, lễ phép. Con tích cực tham gia và buổi test tuy nhiên đôi lúc con hơi mất tập trung khi tham gia.
Tốc độ phản xạ: Khá ổn
Con có thể nghe và trả lời những câu hỏi giao tiếp cơ bản về tên, tuổi, nơi ở, sở thích...
Con biết cách sử dụng các cấu trúc câu cơ ban của con vào giao tiếp tuy nhiên con vẫn còn một số lỗi ngữ pháp.
Đôi lúc con sử dụng từ lẻ để trả lời thay vì nói cả câu.
Con chưa mở rộng được nhiều ý tưởng khi trả lời các câu hỏi.
Con cần cải thiện thêm phát âm, đặc biệt là trọng âm từ, ngữ điệu, nối âm,...
Con có thể nắm được số từ 1-100.
Con chưa nắm được số thứ tự.
Con thuộc bảng chữ cái và có thể đánh vần tốt.
Con có vốn từ cơ bản về con vật, đồ vật, đồ dùng học tập, con vật, màu sắc,...Tuy nhiên con còn hơi nhầm lẫn một chút từ vựng chỉ vị trí.
Kĩ năng đọc hiểu của con khá ổn và con có thể trả lời được đúng gần hết các câu hỏi của cô.
Con có kĩ năng nghe ở mức cơ bản nhưng với mức độ nghe ở mức cao hơn thì con làm bài chưa được tốt.
Con cần rèn luyện thêm về từ vựng và ngữ pháp với chương trình : GTPX Level 4</t>
  </si>
  <si>
    <t xml:space="preserve">5/9: gửi thông tin và xếp lịch test cho con, ngày 7/9 xếp lịch test 17h30 thứ 5 cho con </t>
  </si>
  <si>
    <t>Quyen</t>
  </si>
  <si>
    <t>0389914652</t>
  </si>
  <si>
    <t>4/9: gọi thuê bao</t>
  </si>
  <si>
    <t>Thanh Ngọc (thầy Tuấn đưa về)</t>
  </si>
  <si>
    <t>Nguyễn Thị Thanh Thảo</t>
  </si>
  <si>
    <t>0799492152</t>
  </si>
  <si>
    <t>Tư vấn 1:1 cho hs lớp 3</t>
  </si>
  <si>
    <t>"Con ngoan hiền, lễ phép. Con tập trung khá tốt khi tham gia buổi test.
Tốc độ phản xạ: Khá nhanh. Tuy nhiên vốn từ còn hơi hạn chế.
Con có thể nghe và trả lời những câu hỏi giao tiếp cơ bản về tên, tuổi, nơi ở, sở thích, bạn bè, đồ vật,... 
Con phát âm hay và ngữ điệu tự nhiên.
Con sử dụng được câu hoàn chỉnh. Cấu trúc câu còn đơn giản. Và chưa áp dụng được ngữ pháp.
Con có thể nắm được số dưới 100. 
Con chưa nắm được số thứ tự.
Con thuộc bảng chữ cái. Còn nhầm lẫn một số chỗ như J và G khi đánh vần. 
Con cần rèn luyện thêm về từ vựng và cấu trúc với chương trình: GTPX Level 2"</t>
  </si>
  <si>
    <t>5/9: xếp lịch test tối thứ 5. 9/9 đã trả kết quả test mẹ chốt khóa học nhưng chưa đóng học phí</t>
  </si>
  <si>
    <t>Mẹ tên Quyên</t>
  </si>
  <si>
    <t>Phan Minh Quân</t>
  </si>
  <si>
    <t>0793555777</t>
  </si>
  <si>
    <t>Tư vấn lớp VUI</t>
  </si>
  <si>
    <t>Con ngoan hiền, lễ phép. Con tập trung khi tham gia test. Tuy nhiên khi test thì không mở camera được.
Tốc độ phản xạ: Nhanh
Con nghe hiểu khá tốt các câu hỏi của cô và trả lời khá nhanh. Con có ý thức sử dụng câu đầy đủ khi nói và biết cách áp dụng một số điểm ngữ pháp, mở rộng được chủ đề giao tiếp ở mức cơ bản.
Có vốn từ khá tốt về các chủ đề: thông tin cá nhân, đồ dùng, màu sắc, hoạt động, động vật,.. 
Con phát âm hay, con có ngữ điệu tự nhiên. Cần luyện thêm về lưu loát và nhấn trọng âm.  
Con nắm được từ số 1 - 100 000 và nắm được số thứ tự.
Con chưa có nhiều khái niệm về ngữ pháp.
Con cần rèn luyện thêm về từ vựng và cấu trúc với chương trình VUI 1/2 cuối Level 1. Lớp VUI_K1_18_01</t>
  </si>
  <si>
    <t xml:space="preserve"> 5/9: xếp lịch test tối thứ 5, 8/9 trả kq test chốt khóa học</t>
  </si>
  <si>
    <t>Thái Hải Duyên</t>
  </si>
  <si>
    <t>Trương Tuệ Nhi</t>
  </si>
  <si>
    <t>0905011617</t>
  </si>
  <si>
    <t>Con ngoan hiền, lễ phép. Con tập trung khi tham gia test.
Tốc độ phản xạ: Khá nhanh
Con nghe hiểu khá tốt các câu hỏi của cô và trả lời được ở mức căn bản. Con có ý thức sử dụng câu đầy đủ khi nói và biết cách áp dụng một số điểm ngữ pháp. Tuy nhiên vẫn còn cần luyện tập thêm nhiều để đa dạng được cấu trúc câu và mở rộng được chủ đề giao tiếp.
Có vốn từ khá tốt về các chủ đề: thông tin cá nhân, đồ dùng, màu sắc, hoạt động, động vật,.. tuy nhiên đôi lúc con chưa chắc lắm khi trả lời các từ vựng chỉ vị trí.
Con phát âm hay, con có ngữ điệu tự nhiên. Cần luyện thêm về lưu loát và ấn trọng âm.  
Con nắm được từ số 1 - 100 000 và nắm được số thứ tự.
Con có kĩ năng nghe hiểu và đọc hiểu khá tốt.
con trả lời chưa được chắc chắn và cần thêm thời gian suy nghĩ để trả lời lại.
Con cần rèn luyện thêm về từ vựng và cấu trúc với chương trình GTPX Level UP5</t>
  </si>
  <si>
    <t>Xếp lịch test chiều thứ 3 ngày 5/9/2023, 7/9 trả kết quả test chốt khóa học</t>
  </si>
  <si>
    <t>Lê Hương</t>
  </si>
  <si>
    <t>Đỗ Đình Khoa</t>
  </si>
  <si>
    <t>0982038638</t>
  </si>
  <si>
    <t>Npbtoc</t>
  </si>
  <si>
    <t>6/9: gọi kmm, 7/9: nt zalo trao đổi về thông tin khóa học</t>
  </si>
  <si>
    <t>Võ anh khoa</t>
  </si>
  <si>
    <t>905449440</t>
  </si>
  <si>
    <t>Đa Nang</t>
  </si>
  <si>
    <t>6/9,7/9: gọi ko nghe máy</t>
  </si>
  <si>
    <t>Thầy Tuấn đưa về</t>
  </si>
  <si>
    <t>Hội Nguyễn</t>
  </si>
  <si>
    <t>0929055525</t>
  </si>
  <si>
    <t>Học viên cxu hiện tại là GV tiếng Anh trẻ em,  muốn nâng trình Speaking để thi IELTS sau này. Tư vấn kèm 1:1 với gv Phi</t>
  </si>
  <si>
    <t>6/9: gọi ko nghe máy, trao đổi báo hphi, học phi cao ko theo được</t>
  </si>
  <si>
    <t>Quỳnh Châu</t>
  </si>
  <si>
    <t>Thảo Kim</t>
  </si>
  <si>
    <t>0909218256</t>
  </si>
  <si>
    <t>Quan tâm lớp học online</t>
  </si>
  <si>
    <t>Con ngoan hiền, lễ phép. Con tập trung tốt khi tham gia buổi test.
Tốc độ phản xạ: Khá nhanh. 
Con nói khá tự nhiên và có thể hiểu tốt được những câu hỏi và trả lời tốt.
Con có thể nghe và trả lời những câu hỏi giao tiếp cơ bản về tên, tuổi, thành viên trong gia đình,...
Con biết cách triển khai ý tưởng khi nói về một chủ đề cụ thể.
Phát âm của con khá ổn tuy nhiên con cần chú ý các âm cuối và nối âm.
Con nắm được kiến thức về thì hiện tại đơn, hiện tại tiếp diễn, thì quá khứ đơn nhưng còn nắm chưa được chắc kiến thức về các thì khác.
Con biết cách xác định được thành phần câu và đặt được câu được với phần gạch chân. Tuy nhiên, con chưa cẩn thận khi làm bài ví dụ như viết thiếu từ hoặc viết nhầm từ.
Con có khả năng đọc hiểu tốt và trả lời được đúng hết những câu hỏi của cô.
Con cần rèn luyện thêm về từ vựng và ngữ pháp với chương trình: GTPX: Ngữ pháp 1 kèm 1 level 2</t>
  </si>
  <si>
    <t>6/9: xếp lịch test sáng thứ 5, 8/9 test lại,  chốt khóa học</t>
  </si>
  <si>
    <t>Hong Thao Nguyen</t>
  </si>
  <si>
    <t>Lê Nguyễn Huyền Trâm</t>
  </si>
  <si>
    <t>0932727918</t>
  </si>
  <si>
    <t>Con ngoan hiền, lễ phép. Tuy nhiên con chưa chủ động lắm khi tham gia test, còn phụ thuộc vào mẹ nhiều.
Tốc độ phản xạ: Chưa nhanh. Vì vốn từ của con còn khá hạn chế và bạn hơi rụt rè. 
Con có thể nghe và trả lời những câu hỏi giao tiếp cơ bản về tên, màu sắc, tuổi, cảm xúc nhưng cần giáo viên làm mẫu trước chứ chưa đáp được ngay. 
Đa phần con dùng từ lẻ để trả lời, con hầu như không sử dụng câu hoàn chỉnh khi trả lời cô.
Con có thể nắm được số từ 1-10
Con nắm được ~70% bảng chữ cái và chưa đánh vần được.
Phần đọc hiểu con làm tốt hơn kỹ năng nghe-nói. 
Con cần rèn luyện thêm về từ vựng và ngữ pháp với chương trình : GTPX Level 1.</t>
  </si>
  <si>
    <t>6/9: trao đổi thông tin khóa học và đang sắp xếp lịch test cho con, xếp lịch test vào sáng thứ 7 lúc 10h</t>
  </si>
  <si>
    <t>Nguyễn Hoài Tùng</t>
  </si>
  <si>
    <t>Nguyễn Hoàng Long</t>
  </si>
  <si>
    <t>0908885699</t>
  </si>
  <si>
    <t>Khóa học online</t>
  </si>
  <si>
    <t>6/9: trao đổi thông tin xếp lịch test chiều thứ 5 chờ bố xem lại lịch học sẽ báo sau
12/9: gọi lại cho bố hỏi về lịch test nhưng bố bảo chưa sắp xếp được</t>
  </si>
  <si>
    <t>Tram Pham Ngoc</t>
  </si>
  <si>
    <t>Châu hoàng nam</t>
  </si>
  <si>
    <t>0903518587</t>
  </si>
  <si>
    <t xml:space="preserve"> Con ngoan hiền, lễ phép. Con tập trung khá tốt khi tham gia buổi test.
Tốc độ phản xạ: Con phản xạ khá nhanh với những câu hỏi mức cơ bản
Con có thể nghe và trả lời những câu hỏi giao tiếp cơ bản về tên, tuổi, nơi ở, tuy nhiên con chưa phản xạ được tốt với câu hỏi về hoạt động yêu thích của con.
Con cần cố gắng mở rộng ý tưởng hơn khi trả lời câu hỏi.
Con cần luyện thêm nhiều về phát âm: cả ngữ điệu, lưu loát và độ chính xác.
Con sử dụng được câu hoàn chỉnh khi nói tuy nhiên có một vài cấu trúc câu con sử dụng chưa đúng.
Con có thể nắm được đến số 100.
Con chưa nắm được số thứ tự.
Con thuộc bảng chữ cái và đánh vần với tốc độ nhanh. Tuy nhiên đôi lúc con còn nhầm lẫn cách đọc chữ cái J.
Con có vốn từ cơ bản về các chủ đề như đồ dùng học tập, con vật, màu sắc,... tuy nhiên con còn nhầm lẫn từ vựng chỉ vị trí.
Con có thể nghe và trả lời được đúng 50% bài nghe. Con có kĩ năng đọc hiểu tốt ở mức độ cơ bản.
Con cần rèn luyện thêm về từ vựng và cấu trúc với chương trình: 1/2 GTPX Level 2</t>
  </si>
  <si>
    <t>7/9: gọi không nghe máy
12/9: gọi ko nghe máy</t>
  </si>
  <si>
    <t>Hoồng Thắm</t>
  </si>
  <si>
    <t>Phạm Thị Bảo Trân</t>
  </si>
  <si>
    <t>0793156780</t>
  </si>
  <si>
    <t>Con ngoan hiền, lễ phép. Tuy nhiên đôi lúc con không thực sự tập trung lắm khi tham gia test.
Có những câu hỏi cô cần phải hỏi lại con nhiều lần thì con mới trả lời được
Tốc độ phản xạ: Chưa được nhanh
Con có thể nghe và trả lời những câu hỏi giao tiếp cơ bản về tên, màu sắc yêu thích nhưng con còn nhầm lẫn giữa câu hỏi về tuổi và sức khỏe, con chưa trả lời được câu hỏi về thành viên trong gia đình, con vật và hoạt động yêu thích của con.
Đa phần con dùng từ lẻ để trả lời, con hầu như không sử dụng câu hoàn chỉnh khi trả lời cô.
Con có thể nắm được số từ 1-10
Con nắm được 70% bảng chữ cái và đánh vần với tốc độ chưa được nhanh.
Con có vốn từ  còn hạn chế về  đồ vật, con vật, đồ dùng học tập, vị trí, thời gian,..
Đôi lúc con chưa hiểu rõ câu hỏi của cô nên trả lời chưa đúng trọng tâm.
Con nghe hiểu và đọc hiểu được mức cơ bản.
Con cần rèn luyện thêm về từ vựng và ngữ pháp với chương trình : GTPX Level 1.</t>
  </si>
  <si>
    <t>7/9: hẹn xếp lịch test vào lúc 9h thứ 7</t>
  </si>
  <si>
    <t>Mẹ Thảo My giới thiệu - Chị Oanh</t>
  </si>
  <si>
    <t>Nguyễn Phương Thảo</t>
  </si>
  <si>
    <t>0905662791</t>
  </si>
  <si>
    <t xml:space="preserve"> Con ngoan hiền, lễ phép. Con khá tập trung khi tham gia buổi test.
Tốc độ phản xạ: Chưa nhanh. Vì vốn từ hạn chế nên con không nghe được. Còn phụ thuộc vào mẹ dịch lại tiếng Việt.
Con cần luyện thêm nhiều về phát âm: cả ngữ điệu, lưu loát và độ chính xác.
Con chưa sử dụng câu hoàn chỉnh.
Con có thể nắm được số dưới 10 
Con chưa nắm hết bảng chữ cái.
Có vốn từ cơ bản về màu sắc, động vật,...
Con cần rèn luyện thêm về từ vựng và cấu trúc với chương trình: GTPX Starter</t>
  </si>
  <si>
    <t>7/9: hẹn sang tuâng sx lịch test do mẹ cần chuẩn bị mua laptop cho ckn đủ tbi mẹ dk học cho bạn
12/9: hẹn lịch test sang thứ 5</t>
  </si>
  <si>
    <t>Bùi Minh Hạnh</t>
  </si>
  <si>
    <t>0979 554 764</t>
  </si>
  <si>
    <t>Hi, mình muốn hỏi về lớp học ngữ pháp dành cho bé 10 tuổi, lớp 5 ạ</t>
  </si>
  <si>
    <t>Con ngoan hiền, lễ phép. Con tập trung khi tham gia test.
Tốc độ phản xạ: Nhanh
Con nghe hiểu tốt các câu hỏi của cô và trả lời được ở mức căn bản. Con có ý thức sử dụng câu đầy đủ và áp dụng được ngữ pháp, cấu trúc câu vào giao tiếp.
Tuy nhiên, con còn mắc một số lỗi khi sử dụng đại từ "me" và "I".
Con cần cố gắng mở rộng ý tưởng hơn nữa khi giao tiếp.
Con phát âm rõ ràng, có ngữ tuy nhiên con cần cố gắng cải thiện thêm nối âm khi giao tiếp.
Có vốn từ khá tốt về các chủ đề: thông tin cá nhân, đồ dùng, màu sắc, hoạt động, động vật, ... tuy nhiên có một số từ vựng chỉ vị trí con nắm chưa chắc.
Con xác định được thời gian bằng tiếng Anh nhưng cách diễn đạt của con chưa được đúng.
Con nắm được số từ 1 - 1 000 000 000 và con nắm được số thứ tự.
Con nắm được bảng chữ cái. Tốc độ đánh vần khá nhanh.
Khả năng đọc hiểu, nghe hiểu của con khá tốt và con có thể làm được đúng gần hết các câu hỏi trong bài test.
Con cần rèn luyện thêm về từ vựng và cấu trúc với chương trình GTPX Level 5</t>
  </si>
  <si>
    <t>7/9: gọi trao đổi và hẹn lịch test 10h thứ 7</t>
  </si>
  <si>
    <t>chị Loan</t>
  </si>
  <si>
    <t>Trương Quang Long</t>
  </si>
  <si>
    <t>0828527048</t>
  </si>
  <si>
    <t>Quảng Bình</t>
  </si>
  <si>
    <t>8/9, 9/9: gọi cúp máy ngang ko chịu nghe máy và ko bk zalo được
10/9, 11/9: gọi ko nghe máy</t>
  </si>
  <si>
    <t>Thu Kiet</t>
  </si>
  <si>
    <t>Nguyễn Hoàng Diệu Linh</t>
  </si>
  <si>
    <t>0935041703</t>
  </si>
  <si>
    <t>lỚP IELTS cho bé lớp 8</t>
  </si>
  <si>
    <t>Con ngoan hiền, lễ phép. Con tập trung khi tham gia test. Tuy nhiên con đã khá mệt và đói khi đến giờ test rồi.
Tốc độ phản xạ: Khá nhanh. 
Con nghe hiểu các câu hỏi và trả lời được ở mức căn bản. Con có ý thức sử dụng câu đầy đủ. Tuy nhiên cần học thêm để áp dụng được ngữ pháp, cấu trúc câu phức tạp vào giao tiếp.
Con cần cố gắng mở rộng ý tưởng hơn nữa khi giao tiếp.
Con chưa tự tin về phát âm, cần cố gắng cải thiện thêm về độ chính xác, âm nhấn và lưu loát.
Có vốn từ khá tốt về các chủ đề: thông tin cá nhân, đồ dùng, màu sắc, hoạt động, động vật, ... 
Khả năng đọc hiểu, nghe hiểu của con khá tốt và con có thể làm được đúng gần hết các câu hỏi trong bài test.
Con cần rèn luyện thêm về từ vựng và cấu trúc với chương trình GTPX Level 5
Ngày 9/1/2024: Test lại
Kỹ năng nói của con chưa có sự thay đổi nhiều. 
Con nắm được thì hiện tại đơn, HTTD. Tuy nhiên chưa phân biệt được tốt. 
Về ngữ pháp con cần luyện thêm với Level 2.</t>
  </si>
  <si>
    <t>8/9: gọi trao đổi hẹn lịch test tối tuần sau. sắp xếp lịch sau
10/9: trả kq test nhưng con đang cân nhắc học onl hay học trực tiếp</t>
  </si>
  <si>
    <t>Ánh Dung Sport</t>
  </si>
  <si>
    <t>Ánh Quỳnh</t>
  </si>
  <si>
    <t>0908411737</t>
  </si>
  <si>
    <t>11/9: goi chưa nghe máy
12/9: gọi nghe máy nhưng trao đổi thì cúp ngang
14/9: nt zalo vầ gửi thông tin về lớp npbt 0đ</t>
  </si>
  <si>
    <t>0969997797</t>
  </si>
  <si>
    <t>12/9: đã trao đổi thông tin mẹ từ chối vì bạn chưa tự tin để tham gia lớp online</t>
  </si>
  <si>
    <t>Tiên</t>
  </si>
  <si>
    <t>0926340012</t>
  </si>
  <si>
    <t>Liên lạc qua Fanpage</t>
  </si>
  <si>
    <t>13/9:gọi thuê bao</t>
  </si>
  <si>
    <t>Nhím</t>
  </si>
  <si>
    <t>13/9: gọi thuê bao</t>
  </si>
  <si>
    <t>Trần Văn Minh Hiếu</t>
  </si>
  <si>
    <t>0905433888</t>
  </si>
  <si>
    <t>13/9: gọi trao đổi nhưng bạn nhỏ tuổi nên không phù hợp tham gia</t>
  </si>
  <si>
    <t>Đỗ Giang Đông</t>
  </si>
  <si>
    <t>0335877877</t>
  </si>
  <si>
    <t>14/9: gọi trao đổi va muốn tham gia clb, tuy nhien mẹ đang học ở miss hoa và popodoo, chưa có nhu cầu thay đổi trung tâm</t>
  </si>
  <si>
    <t>Phan Huy Nam</t>
  </si>
  <si>
    <t>0976824696</t>
  </si>
  <si>
    <t>14/9: gọi không nghe máy</t>
  </si>
  <si>
    <t>Nguyễn Nhật nam</t>
  </si>
  <si>
    <t>0366455399</t>
  </si>
  <si>
    <t>14/9: gọi sdt của cậu, chưa có lại sdt cuat bố mẹ, đã kb zalo tham gia clb nhưng chưa muốn test hay tìm hiểu thêm về khoá học</t>
  </si>
  <si>
    <t>Mai Khoa</t>
  </si>
  <si>
    <t>0935334917</t>
  </si>
  <si>
    <t>14/9: chưa nghe máy
14/9: đã kb zalo tham gia clb nhưng chưa muốn test hay tìm hiểu thêm về khoá học</t>
  </si>
  <si>
    <t>Tigon</t>
  </si>
  <si>
    <t>0934313513</t>
  </si>
  <si>
    <t>14/9: nt zalo trao đổi, sắp xếp lịch test tối thứ 7, bạn bị đau mẹ dời lịch test đến khi khoẻ hẳn</t>
  </si>
  <si>
    <t>Trọng sang</t>
  </si>
  <si>
    <t>0962142883</t>
  </si>
  <si>
    <t>14/9: gọi knm</t>
  </si>
  <si>
    <t xml:space="preserve">mẹ Thanh </t>
  </si>
  <si>
    <t>Đỗ Công Tùng</t>
  </si>
  <si>
    <t>Con ngoan hiền, lễ phép. Con khá tập trung khi tham gia test.
Tốc độ phản xạ: Nhanh
Con nghe hiểu câu hỏi và trả lời tốt. Con có ý thức sử dụng câu đầy đủ và áp dụng được ngữ pháp, cấu trúc câu vào giao tiếp.
Con cần cố gắng mở rộng ý tưởng hơn nữa khi giao tiếp.
Con phát âm rõ ràng, hay và có ngữ điệu tự nhiên.
Có vốn từ rộng về các chủ đề: thông tin cá nhân, đồ dùng, màu sắc, hoạt động, động vật, ... tuy nhiên có một số từ vựng chỉ vị trí con nắm chưa chắc.
Con chưa nói được thời gian với giờ lẻ.
Con nắm được số từ 1 - 100 và con nắm được số thứ tự nhỏ hơn 10.
Con nắm được bảng chữ cái. Tốc độ đánh vần khá nhanh.
Khả năng đọc hiểu, nghe hiểu của con rất tốt và con có thể làm được đúng gần hết các câu hỏi trong bài test.
Con cần rèn luyện thêm về từ vựng và cấu trúc với chương trình GTPX 1/2 Level 4</t>
  </si>
  <si>
    <t>14/9: gọi báo thuê bao
14/9:  xếp lịch test
15/9: trả kq test, con đang học dở ở trung tâm cũ, full lịch nên chưa muốn đk thêm</t>
  </si>
  <si>
    <t>chị Sang</t>
  </si>
  <si>
    <t>Nguyễn Thiện Phúc</t>
  </si>
  <si>
    <t>0934938914</t>
  </si>
  <si>
    <t>Con ngoan hiền, lễ phép. Con tập trung tốt khi tham gia test.
Tốc độ phản xạ: Chưa được nhanh
Con có thể nghe và trả lời những câu hỏi giao tiếp cơ bản về tên, tuổi, màu sắc yêu thích, hoạt động yêu thích...
Tuy nhiên con chưa biết cách mở rộng chủ đề khi nói
Đa phần con dùng từ lẻ để trả lời, con có sử dụng câu hoàn chỉnh để trả lời nhưng chưa được nhiều.
Con có thể nắm được số từ 1-30.
Con nắm được 95% bảng chữ cái và đánh vần với tốc độ ổn.
Con có vốn từ còn cơ bản về  đồ vật, con vật, đồ dùng học tập,... tuy nhiên con chưa có nhiều vốn từ về vị trí và thời gian.
Con cần cố gắng cải thiện kĩ năng nghe của con.
Con có thể đọc hiểu và trả lời câu hỏi ở mức độ cơ bản.
Con cần rèn luyện thêm về từ vựng và ngữ pháp với chương trình : 1/2 GTPX Level 1.</t>
  </si>
  <si>
    <t>13/9: nt zalo trao đổi và hẹn lịch test vào trưa thứ 5
15/9: trả kq test nhưng mẹ chưa phản hồi, cân nhắc</t>
  </si>
  <si>
    <t>Võ Xuân An</t>
  </si>
  <si>
    <t>0385950493</t>
  </si>
  <si>
    <t>Đăng ký giao tiếp cho người lớn 1 kèm 2</t>
  </si>
  <si>
    <t>16/9: đã nt kb trao đổi và chờ xếp lịch test</t>
  </si>
  <si>
    <t>phạm thi huyền</t>
  </si>
  <si>
    <t>nguyễn đức hiếu</t>
  </si>
  <si>
    <t>0986463405</t>
  </si>
  <si>
    <t>Đăng ký tham gia lớp NP0đ, từ Email mkt</t>
  </si>
  <si>
    <t>18/9: gọi ko nghe máy</t>
  </si>
  <si>
    <t>Ha Nguyen</t>
  </si>
  <si>
    <t>Trần Nguyễn Khôi Nguyên</t>
  </si>
  <si>
    <t>0934903898</t>
  </si>
  <si>
    <t>Mình cần tìm khóa học nói giao tiếp cho bé 11t và 12t; Có thep giờ giấc linh hoạt ko
Vì bé lớn nhà mình chỉ rãnh thứ 7 và chủ nhật thôi</t>
  </si>
  <si>
    <t>16/9: đã nt trao đổi và sắp xếp lịch test tối thứ 3
19/9: mẹ nt bảo nhà có tang hẹn lịch test sang hôm khác</t>
  </si>
  <si>
    <t>Trần Nguyên Toản</t>
  </si>
  <si>
    <t>Hồ Thị Minh Thư</t>
  </si>
  <si>
    <t>0359512570</t>
  </si>
  <si>
    <t>Data quảng cáo, Hà tĩnh</t>
  </si>
  <si>
    <t>18/9: gọi nhưng chưa nghe máy
19/9: gọi ko nghe máy</t>
  </si>
  <si>
    <t>Chau Trương Kieu...</t>
  </si>
  <si>
    <t>Quốc Thanh</t>
  </si>
  <si>
    <t>Tiếng Anh giao tiếp bé lớp 5</t>
  </si>
  <si>
    <t>Con ngoan hiền, lễ phép. Tuy nhiên con không được camera khi tham gia test.
Dựa trên tốc độ phản xạ và sự tương tác của con thì con tập trung khá tốt khi tham gia 
Tốc độ phản xạ: Nhanh
Con nghe hiểu tốt các câu hỏi của cô và trả lời được ở mức căn bản. Con có ý thức sử dụng câu đầy đủ khi nói và biết cách áp dụng đúng thì khi nói.
Con tự tin và chủ động giao tiếp với cô.
Con biết cách mở rộng chủ đề và ý tưởng khi giao tiếp. 
Có vốn từ phong phú về các chủ đề: thông tin cá nhân, đồ dùng, màu sắc, hoạt động, động vật, vị trí, thời gian,...
Con phát âm tốt, tuy nhiên con cần cố gẳng cải thiện thêm ngữ điệu.
Con nắm được từ số 1 - 1 000 000 000 và nắm được tốt số thứ tự.
Con có kĩ năng nghe hiểu và đọc hiểu khá tốt. Con có thể trả lời đúng gần hết các câu hỏi của cô. Tuy nhiên có một số câu hỏi con trả lời chưa được chắc chắn và cần thêm thời gian suy nghĩ để trả lời lại.
Con cần rèn luyện thêm về từ vựng và cấu trúc với chương trình GTPX Level 6</t>
  </si>
  <si>
    <t>16/9: xếp lịch test lúc 20h tối thứ 2</t>
  </si>
  <si>
    <t xml:space="preserve">Nguyễn Thị Nhàn </t>
  </si>
  <si>
    <t xml:space="preserve">Nguyễn Quỳnh Như </t>
  </si>
  <si>
    <t>0985126337</t>
  </si>
  <si>
    <t>Đà Nẵng; điền NP0đ</t>
  </si>
  <si>
    <t>18/9: đã nt zalo nhưng mẹ chưa phản hồi</t>
  </si>
  <si>
    <t>Phạm thành đô</t>
  </si>
  <si>
    <t>Phạm việt anh</t>
  </si>
  <si>
    <t>0988619486</t>
  </si>
  <si>
    <t>Khánh hoà; Học online ở nhà qua các ứng dụng; Điền data NP0đ</t>
  </si>
  <si>
    <t>18/9: gọi knm
19/9: gọi ko nghe máy</t>
  </si>
  <si>
    <t>Bình Trần</t>
  </si>
  <si>
    <t>0369294722</t>
  </si>
  <si>
    <t>Sinh viên Bách khoa, Học từ cơ bản, mục tiêu 600+, tháng 3 năm sau tốt nghiệp</t>
  </si>
  <si>
    <t xml:space="preserve">Bạn có từ vựng còn hạn chế. Chưa áp dụng được cấu trúc câu trong giao tiếp. Cần cải thiện thêm phần nghe nhiều. Để đạt target 450-600 thì cần ít nhất 60 - 100 buổi học. Mỗi buổi 1h-1h30p. </t>
  </si>
  <si>
    <t>18/9: đã nt zalo trao đổi thông tin, sắp xếp dc lịch test sẽ báo</t>
  </si>
  <si>
    <t>Hong Loan Vo</t>
  </si>
  <si>
    <t>0818729161</t>
  </si>
  <si>
    <t>SDT Check</t>
  </si>
  <si>
    <t>18/9: gọi ko nghe máy
19/9: ko nghe máy</t>
  </si>
  <si>
    <t>My Nhung</t>
  </si>
  <si>
    <t>0857684682 - 0947726700</t>
  </si>
  <si>
    <t>18/9: gọi ko nghe máy
19/9: gọi ko nghe máy</t>
  </si>
  <si>
    <t xml:space="preserve">Thiên Phúc </t>
  </si>
  <si>
    <t>0 90 6046756</t>
  </si>
  <si>
    <t>gọi kb zalo gửi thông tin về clb</t>
  </si>
  <si>
    <t>Nguyễn Thuỳ Liên</t>
  </si>
  <si>
    <t>Phan Gia Huy</t>
  </si>
  <si>
    <t>Con ngoan hiền, lễ phép. Tuy nhiên đôi lúc con không thực sự tập trung lắm khi tham gia test.
Có những câu hỏi cô cần phải hỏi lại con nhiều lần thì con mới trả lời được
Tốc độ phản xạ: Chưa được nhanh
Con có thể nghe và trả lời những câu hỏi giao tiếp cơ bản về tên, màu sắc yêu thích và con vật yêu thích,  
Đa phần con dùng từ lẻ để trả lời, con hầu như không sử dụng câu hoàn chỉnh khi trả lời cô.
Con có thể nắm được số từ 1-12, Lúc đầu con còn đọc nhầm giữa số 12 và 20,
Con nắm được tốt bảng chữ cái và đánh vần với tốc độ chưa được nhanh. 
Còn nhầm lẫn cách đọc chữ J.
Con có vốn từ còn hạn chế về  đồ vật, con vật, đồ dùng học tập, vị trí, thời gian,.. 
Đôi lúc con chưa hiểu rõ câu hỏi của cô nên trả lời chưa đúng trọng tâm.
Con đọc hiểu được mức cơ bản tuy nhiên con cần cố gắng cải thiện kĩ năng nghe.
Con cần rèn luyện thêm về từ vựng và cấu trúc câu với chương trình : GTPX Level 1.</t>
  </si>
  <si>
    <t>18/9: hẹn lịch test chiều thứ 2 khung giờ 18h
20/9:  trả kq test nhưng mẹ chưa phản hồi</t>
  </si>
  <si>
    <t>bs Hồng</t>
  </si>
  <si>
    <t>Ngô Doãn Linh</t>
  </si>
  <si>
    <t xml:space="preserve"> Con ngoan hiền, lễ phép. 
Con có tập trung khi tham gia test nhưng thỉnh thoảng cô lại không thấy con trong camera.
Con còn hơi rụt rè khi tương tác với cô.
Tốc độ phản xạ: Chưa được nhanh
Con có thể nghe và trả lời những câu hỏi giao tiếp cơ bản về tên, tuổi, nơi ở, gia đình, sở thích,... tuy nhiên con lại chưa chủ động mở rộng được chủ đề khi cô hỏi về bạn bè hoặc yêu cầu con miêu tả mẹ.
Con cần luyện thêm nhiều về phát âm: cả ngữ điệu, lưu loát và độ chính xác.
Con sử dụng được câu hoàn chỉnh khi nói tuy nhiên có một vài cấu trúc câu con sử dụng chưa đúng.
Con có thể nắm được đến số hàng triệu tuy nhiên con đôi lúc chưa nắm chắc được cách đọc về thứ tự đọc các hàng trong 1 số.
Con nắm được cơ bản số thứ tự nhưng còn nhầm cách đọc số "fifth"
Con thuộc bảng chữ cái và đánh vần với tốc độ ổn. Tuy nhiên đôi lúc con còn nhầm lẫn cách đọc chữ cái J.
Con có vốn từ cơ bản về các chủ đề như đồ dùng học tập, con vật, màu sắc,... tuy nhiên con còn nhầm lẫn từ vựng chỉ vị trí.
Con có thể nghe và trả lời được đúng 40% bài nghe. Con có kĩ năng đọc hiểu tốt ở mức độ cơ bản.
Con cần rèn luyện thêm về từ vựng và cấu trúc với chương trình: 1/2 GTPX Level 2</t>
  </si>
  <si>
    <t>18/9: hẹn lịch test tối thứ 4 khung giờ 20h30</t>
  </si>
  <si>
    <t>Pom Juan</t>
  </si>
  <si>
    <t>0989222832</t>
  </si>
  <si>
    <t>Khi nào thi thử Cambridge
Đki NP0đ</t>
  </si>
  <si>
    <t>19/8: cúp ngang còn chửi</t>
  </si>
  <si>
    <t>Nguyễn Lan Anh</t>
  </si>
  <si>
    <t>Tạ Quang Minh</t>
  </si>
  <si>
    <t>0989222831</t>
  </si>
  <si>
    <t>Hồ Chí Minh, NP0đ</t>
  </si>
  <si>
    <t>19/8: gọi kb zalo và gửi thông tin lớp học</t>
  </si>
  <si>
    <t>Cherry Cherry</t>
  </si>
  <si>
    <t>0986171404</t>
  </si>
  <si>
    <t>Bé gần 5t, mới nhận diện được mặt chữ, muốn mở lớp 1 kèm 3 (hình như có nhóm), gửi thông tin khóa học phù hợp</t>
  </si>
  <si>
    <t>19/8: gọi chưa nghe máy, nhắn tin zalo và kết bạn gửi thông tin về khoá học ạ</t>
  </si>
  <si>
    <t>Linh Thư</t>
  </si>
  <si>
    <t>Triều Hoàng Linh Anh</t>
  </si>
  <si>
    <t>Con ngoan hiền, lễ phép. Tuy nhiên đôi lúc con không thực sự tập trung lắm khi tham gia test.
Có những câu hỏi cô cần phải hỏi lại con nhiều lần thì con mới trả lời được
Tốc độ phản xạ: Chưa được nhanh
Đa phần con dùng từ lẻ để trả lời, chưa sử dụng câu hoàn chỉnh.
Con phát âm khá hay, có ngữ điệu và âm cuối.
Số đếm từ 1 đến 10 chưa lưu loát.
Chưa nắm được bảng chữ cái.
Con có vốn từ cơ bản về đồ vật, con vật, màu,.. 
Con cần rèn luyện thêm về từ vựng và cấu trúc câu với chương trình : GTPX Level Starter.</t>
  </si>
  <si>
    <t>19/8: hẹn lịch test tối thứ 3
21/9: trả kết quả test mẹ chưa phản hồi</t>
  </si>
  <si>
    <t>Vân ANh Lê</t>
  </si>
  <si>
    <t>Trịnh quang thanh phong</t>
  </si>
  <si>
    <t>Con ngoan hiền, lễ phép. 
Dựa trên tốc độ phản xạ và sự tương tác của con thì con tập trung khá tốt khi tham gia.
Tốc độ phản xạ: Nhanh
Con nghe hiểu tốt các câu hỏi của cô và trả lời được ở mức căn bản. Con có vốn từ rộng so với độ tuổi tuy nhiên cấu trúc câu còn hạn chế. Con có thói quen dùng từ đơn lẻ khi đáp thay vì câu hoàn chỉnh.
Con tự tin và chủ động giao tiếp với cô. Con biết cách mở rộng chủ đề và ý tưởng khi giao tiếp. 
Có vốn từ phong phú về các chủ đề: thông tin cá nhân, đồ dùng, màu sắc, hoạt động, động vật, vị trí, thời gian,...
Con phát âm tốt, ngữ điệu hay. Tuy nhiên còn một số từ con nói chưa rõ: ví dụ như thirty,...
Con nắm được từ số 1 - 100 và nắm được tốt số thứ tự.
Con có kĩ năng nghe hiểu và đọc hiểu rất tốt. Con có thể trả lời đúng gần hết các câu hỏi tới Level 4 của khoá học.
Con cần rèn luyện thêm về từ vựng và cấu trúc với chương trình GTPX Level 5</t>
  </si>
  <si>
    <t xml:space="preserve">19/9: hẹn lịch test
20/9: trả kq test cho con
21/9: mẹ phản hồi và từ chối vì cảm thấy chưa phù hợp với con </t>
  </si>
  <si>
    <t>Phạm Thảo</t>
  </si>
  <si>
    <t>0913443799</t>
  </si>
  <si>
    <t>19/8: qua 2h gọi lại sau cho mẹ, gọi lại mẹ chưa nghe máy</t>
  </si>
  <si>
    <t>Lê Trâm</t>
  </si>
  <si>
    <t>0913861819</t>
  </si>
  <si>
    <t>19/9: trao đổi thông tin và hẹn báo tham khảo thêm.</t>
  </si>
  <si>
    <t>Cẩm Lai</t>
  </si>
  <si>
    <t>0905829258</t>
  </si>
  <si>
    <t>19/9: gọi trao đổi thông tin và hẹn sắp xếp lịch test</t>
  </si>
  <si>
    <t>Trần Thượng Bảo Hân</t>
  </si>
  <si>
    <t>0935584840</t>
  </si>
  <si>
    <t xml:space="preserve">20/9: gọi ko nghe máy, gọi lại nhưng mẹ nghe và cúp ngang bảo ko có nhu cầu đăng kí </t>
  </si>
  <si>
    <t>nguyễn Ngọc Bảo Linh</t>
  </si>
  <si>
    <t>0796795455</t>
  </si>
  <si>
    <t>20/9: gọi nghe máy nhưng chưa xác nhận kb zalo</t>
  </si>
  <si>
    <t>Trần lê diễm thư</t>
  </si>
  <si>
    <t>0935760089</t>
  </si>
  <si>
    <t>Hồ Lê thanh mai</t>
  </si>
  <si>
    <t>0989354918</t>
  </si>
  <si>
    <t>20/9: gọi mẹ bận bảo gọi lại sau</t>
  </si>
  <si>
    <t>Trần Huệ Nhiên</t>
  </si>
  <si>
    <t>0988578899</t>
  </si>
  <si>
    <t>Ami Yến Nhi</t>
  </si>
  <si>
    <t xml:space="preserve">0944225038 </t>
  </si>
  <si>
    <t>Từ QC, bạn 6t chưa đọc chữ dc
Đã gửi video mẫu</t>
  </si>
  <si>
    <t>20/9: trao đổi thông tin nhưng học phí cao mẹ cân nhắc</t>
  </si>
  <si>
    <t>Thuỳ Trang</t>
  </si>
  <si>
    <t>Đặng Thành Đạt</t>
  </si>
  <si>
    <t>972160206</t>
  </si>
  <si>
    <t xml:space="preserve">Con ngoan hiền, lễ phép, tự tin trong giao tiếp. 
Con rất tập trung khi tham gia test. 
Con nghe hiểu khá tốt các câu hỏi của cô.
Con có thể trả lời tốt các câu hỏi cảu cô về các thông tin cơ bản như tên, tuổi, nơi ở, sở thích,...
Tốc độ phản xạ: Ổn
Con phát âm khá tốt, tự nhiên, con có âm cuối. Tuy nhiên vẫn cần điều chỉnh thêm nối âm và ngữ điệu.
Con nắm được khá tốt các cấu trúc câu cơ bản. Con sử dụng đúng động từ to be khi trả lời các câu hỏi.
Con nắm được từ số 1 đến số hàng nghìn. Con nắm được số thứ tự.
Con nắm được tốt bảng chữ cái. Tốc độ đánh vần nhanh. Còn nhầm J và G. 
Có vốn từ tương đối về các chủ đề: đồ dùng học tập, màu sắc, con vật,... tuy nhiên con chưa nắm được chắc từ vựng về vị trí.
Con nói được câu đầy đủ.
Kĩ năng đọc hiểu của con khá tốt và con có thể trả lời được đúng gần hết các câu hỏi của cô.
Con cần cố gắng cải thiện thêm kĩ năng nghe, đôi lúc con chưa chắc chắn lắm về câu trả lời của mình.
Con cần rèn luyện thêm về từ vựng và cấu trúc với chương trình GTPX 1/2 Level 3. </t>
  </si>
  <si>
    <t>20/9:  hẹn lịch test tối thứ 4 20h</t>
  </si>
  <si>
    <t>Đặng Thuỳ Lâm</t>
  </si>
  <si>
    <t>20/9:  hẹn lịch test tối thứ 4 20h, 
21/9: con ko chịu tham gia test, ko muốn học onl</t>
  </si>
  <si>
    <t>nguyễn thanh khánh giang</t>
  </si>
  <si>
    <t>0934994252</t>
  </si>
  <si>
    <t>Nguyễn thị Thanh Nhàn</t>
  </si>
  <si>
    <t>Lê Ngọc Thùy Nhi</t>
  </si>
  <si>
    <t>0387187963</t>
  </si>
  <si>
    <t>Bình dương
DATA O ĐỒNG</t>
  </si>
  <si>
    <t>21/9: đã nt trao đổi về khoá học npbt và gửi link bài test</t>
  </si>
  <si>
    <t>Nguyễn Yến Ngọc</t>
  </si>
  <si>
    <t>Ph Ng Minh Hạnh</t>
  </si>
  <si>
    <t>0907372381</t>
  </si>
  <si>
    <t>HCM
DATA O ĐỒNG</t>
  </si>
  <si>
    <t>21/9: kb zalo gửi thông tin</t>
  </si>
  <si>
    <t>Ngô Thị Minh Phương</t>
  </si>
  <si>
    <t>Nguyễn Ngô Gia Phúc</t>
  </si>
  <si>
    <t>0973077710</t>
  </si>
  <si>
    <t>Ho chi minh
DATA O ĐỒNG</t>
  </si>
  <si>
    <t>21/9 kb zalo gửi thông tin</t>
  </si>
  <si>
    <t>Hữu Sa</t>
  </si>
  <si>
    <t>0973688972</t>
  </si>
  <si>
    <t>Hoọc tiếng Anh từ lớp 3, tuy nhiên lớp 6 vẫn chưa biết. Mong muốn học lớp mô hình nhỏ.  Gửi thông tin và bảng giá các khóa để mẹ tham khảo</t>
  </si>
  <si>
    <t xml:space="preserve">21/9: gọi ko nghe máy, đã nt zalo gửi thông tin về khoá học, mẹ cân nhắc thêm vì hp cao và mẹ muốn tìm lớp đông </t>
  </si>
  <si>
    <t>Thai Thi Vu</t>
  </si>
  <si>
    <t>0369974056</t>
  </si>
  <si>
    <t>Ngữ pháp lớp 5</t>
  </si>
  <si>
    <t>21/8: đã nt trao đổi thông tin chưa thấy mẹ phản hồi</t>
  </si>
  <si>
    <t>Ánh Tuyết Trần</t>
  </si>
  <si>
    <t>0914 022 747</t>
  </si>
  <si>
    <t>Lớp GTPX</t>
  </si>
  <si>
    <t>21/9: nt trao đổi thông tin chờ về bạn với ông xã sẽ sắp xếp lịch test sau ạ</t>
  </si>
  <si>
    <t>Tâm Nguyễn</t>
  </si>
  <si>
    <t>0379312003</t>
  </si>
  <si>
    <t>Tâm Nguyễn (Mẹ Hiệp -Nhật Thi VUI04 giới thiệu)</t>
  </si>
  <si>
    <t>21/9: đã nt trao đổi mẹ bảo sẽ tham khảo thêm, con ko chịu học nên để mẹ về trao đổi thêm</t>
  </si>
  <si>
    <t>Nguyễn Nam Hưng</t>
  </si>
  <si>
    <t>Nguyễn Nhật Nam</t>
  </si>
  <si>
    <t>0908606403</t>
  </si>
  <si>
    <t>Tphcm
Tự đánh giá nghe tốt, ngữ pháp kém
DATA O ĐỒNG</t>
  </si>
  <si>
    <t>22/9: gọi dt số thuê bao, có nt zalo</t>
  </si>
  <si>
    <t>mẹ Ngọc
fb Văn Giáp</t>
  </si>
  <si>
    <t xml:space="preserve">0988005287 </t>
  </si>
  <si>
    <t>cô ơi, nhà mình có bé lớp 4 đang muốn cho học tiếng anh. nhờ cô tư vấn giupd ạ</t>
  </si>
  <si>
    <t>22/9: bận gọi lại sau</t>
  </si>
  <si>
    <t>Nguyễn Lan</t>
  </si>
  <si>
    <t>Đặng Quang Trường</t>
  </si>
  <si>
    <t>0975870001</t>
  </si>
  <si>
    <t>Thanh hoá
DATA O ĐỒNG</t>
  </si>
  <si>
    <t>đã nt zalo trao đổi thông tin</t>
  </si>
  <si>
    <t>Mẹ Thủy</t>
  </si>
  <si>
    <t>0905349643</t>
  </si>
  <si>
    <t>Mất gốc TA</t>
  </si>
  <si>
    <t>22/9: gọi chưa nghe máy, nt chưa trả lời
25/9: gọi ko nghe máy</t>
  </si>
  <si>
    <t>Hong Phuong</t>
  </si>
  <si>
    <t>Nguyễn Phan Duy Minh</t>
  </si>
  <si>
    <t>0938398843</t>
  </si>
  <si>
    <t>Mẹ hướng giao tiếp</t>
  </si>
  <si>
    <t>Con ngoan hiền, lễ phép. Con tập trung khi tham gia test.
Tốc độ phản xạ: Khá nhanh. 
Con nghe hiểu tốt các câu hỏi của cô và trả lời được ở mức căn bản. Con có ý thức sử dụng câu đầy đủ nhưng chưa áp dụng được tốt ngữ pháp, cấu trúc câu vào giao tiếp.
Con chưa mở rộng được ý trong khi giao tiếp.
Có vốn từ khá tốt về các chủ đề: thông tin cá nhân, đồ dùng, màu sắc, hoạt động, động vật, so sánh, thể thao.... 
Con phát âm khá, tuy nhiên con cần cải thiện thêm âm cuối và nối âm. 
Con cần cải thiện thêm độ lưu loát và ngữ điệu.
Con nắm được đến chữ số hàng triệu tuy nhiên chưa nắm chắc được về số thứ tự.
Con nắm được bảng chữ cái. Tốc độ đánh vần khá  nhanh.
Con chưa nắm được nhiều kiến thức về thì.
Khả năng đọc hiểu và tư duy của con khá tốt khi làm các bài tập về phần đọc và viết.
Con cần rèn luyện thêm về từ vựng và cấu trúc với chương trình GTPX Level 5</t>
  </si>
  <si>
    <t>29/7: Chờ mẹ add Zalo, gọi KNM
29/7: Đợi mẹ chốt ngày test
1/8: Hẹn test 15h ngày 1/8
1/8: Đã test
9/8: Nhắn tin nhiều lần, mẹ còn nhiều điều cần hỏi. ĐỢI MẸ XEM XÉT
14/8: LINH CHUYỂN QUA C. ÁNH
22/9: nhắn tin lại trên Fanpage</t>
  </si>
  <si>
    <t>Phạm Thị Nhâm</t>
  </si>
  <si>
    <t>Hà Ngọc Bảo Châu</t>
  </si>
  <si>
    <t>985655723</t>
  </si>
  <si>
    <t>Con ngoan hiền, lễ phép. 
Con trả lời to, rõ ràng và tập trung tốt khi tham gia test
Tốc độ phản xạ: Nhanh
Con nghe hiểu tốt các câu hỏi của cô và trả lời được ở mức căn bản. Con có ý thức sử dụng câu đầy đủ khi nói và biết cách áp dụng đúng thì khi nói.
Con tự tin và chủ động giao tiếp với cô.
Con biết cách mở rộng chủ đề và ý tưởng khi giao tiếp. 
Có vốn từ phong phú về các chủ đề: thông tin cá nhân, đồ dùng, màu sắc, hoạt động, động vật, vị trí, thời gian,...
Con phát âm tốt, có ngữ điệu tự nhiên và phát âm rõ các âm cuối, đặc biệt là những từ chia dạng quá khứ.
Con nắm được từ số 1 - 1 000 000 000, tuy nhiên đôi lúc con còn nhầm lẫn cách đọc các số nhiều đơn vị và nắm được tốt số thứ tự.
Con có kĩ năng nghe hiểu và đọc hiểu khá tốt. Con có thể trả lời đúng gần hết các câu hỏi của cô. Tuy nhiên có một số câu hỏi con trả lời chưa được chắc chắn và cần thêm thời gian suy nghĩ để trả lời lại.
Con nắm được ngữ pháp các thì hiện tại đơn, hiện tại tiếp diễn, quá khứ đơn và tương lai đơn.
Con cần rèn luyện thêm về từ vựng và cấu trúc với chương trình GTPX Level 6</t>
  </si>
  <si>
    <t>22/9: xếp lịch test thứ 6</t>
  </si>
  <si>
    <t>Lê thị anh phương</t>
  </si>
  <si>
    <t>Dương Hải Anh</t>
  </si>
  <si>
    <t>0383428034</t>
  </si>
  <si>
    <t>Hà nội        Học trên trường và học thêm ở ngoài (Trung tâm, gia sư riêng, ...)
DATA O ĐỒNG</t>
  </si>
  <si>
    <t>22/9: kb zalo gửi thông tin về lớp ngữ pháp bức tốc</t>
  </si>
  <si>
    <t>Cẩm Tú</t>
  </si>
  <si>
    <t>Nguyễn Như Thọ</t>
  </si>
  <si>
    <t>0354788891</t>
  </si>
  <si>
    <t xml:space="preserve">
DATA O ĐỒNG</t>
  </si>
  <si>
    <t>25/9: sdt thuê bao gọi ko dc, đã nt trao đổi zalo</t>
  </si>
  <si>
    <t>Kim Thùy Nguyễn</t>
  </si>
  <si>
    <t>0948777749</t>
  </si>
  <si>
    <t>Con ngoan hiền, lễ phép. Con tập trung khi tham gia test.
Tốc độ phản xạ: Khá nhanh. 
Con nghe hiểu tốt các câu hỏi của cô và trả lời được ở mức căn bản. Con có xu hướng dùng từ đơn lẻ khi trả lời. Khi được yêu cầu thì con vẫn sử dụng câu đầy đủ nhưng chưa áp dụng được tốt ngữ pháp, cấu trúc câu vào giao tiếp.
Con mở rộng được ý trong khi giao tiếp một cách khá tự nhiên.
Có vốn từ khá tốt về các chủ đề: thông tin cá nhân, đồ dùng, màu sắc, hoạt động, động vật, so sánh, thể thao.... 
Con phát âm khá, có ngữ điệu, tuy nhiên con cần cải thiện thêm nối âm và độ lưu loát. 
Con nắm được đến chữ số hàng triệu và nắm chắc được về số thứ tự.
Con nắm được bảng chữ cái. Tốc độ đánh vần khá nhanh. Còn bị lỗi chữ cái "J" và "G".
Con chưa nắm được nhiều kiến thức về thì. Chỉ mới biết được thì Hiện tại đơn với động từ thêm s hoặc nguyên mẫu.
Khả năng đọc hiểu và tư duy của con khá tốt khi làm các bài tập về phần đọc và viết.
Con cần rèn luyện thêm về từ vựng và cấu trúc với chương trình GTPX Level 5. Ngữ pháp bứt tốc học từ Level 1.</t>
  </si>
  <si>
    <t>23/9: đã liên lạc xếp lịch test vào tuần sau
25/9: xếp lịch test sáng thứ 3</t>
  </si>
  <si>
    <t>Bích Huyền</t>
  </si>
  <si>
    <t>0905223336</t>
  </si>
  <si>
    <t>Quan tâm VUI</t>
  </si>
  <si>
    <t>23/9: gọi ko nghe máy, zalo chặn kb từ ng lạ
25/9: gọi lại ko nghe máy</t>
  </si>
  <si>
    <t>Hương Lê</t>
  </si>
  <si>
    <t>0989796216</t>
  </si>
  <si>
    <t>NP0đ</t>
  </si>
  <si>
    <t>25/9: gọi nhưng chửi nhân viên cúp ngang</t>
  </si>
  <si>
    <t>Trang</t>
  </si>
  <si>
    <t>0984974638</t>
  </si>
  <si>
    <t>23/9: tối gọi lại ko nghe máy
25/9: gọi lại nhưng mẹ bận bảo sẽ trao đổi sau</t>
  </si>
  <si>
    <t>Le Huong</t>
  </si>
  <si>
    <t>0983582852</t>
  </si>
  <si>
    <t>Qtam học với GV Phil</t>
  </si>
  <si>
    <t>25/9: gọi bảo k có nhu cầu cúp ngang</t>
  </si>
  <si>
    <t>Nguyen Cong Phong</t>
  </si>
  <si>
    <t>0988034588</t>
  </si>
  <si>
    <t>Tìm lớp thuyết trình online cho bé lớp 3</t>
  </si>
  <si>
    <t>25/9: gọi cúp ngang đừng làm phiền</t>
  </si>
  <si>
    <t>Thương Phùng</t>
  </si>
  <si>
    <t>0982600936</t>
  </si>
  <si>
    <t>23,25/9: gọi đều không nghe máy</t>
  </si>
  <si>
    <t>Nguyễn Hoàng Hương Giang</t>
  </si>
  <si>
    <t>0902964882</t>
  </si>
  <si>
    <t>đki tham gia CLB</t>
  </si>
  <si>
    <t>23/9: chiều gọi ko nghe máy
25/9: gọi ko nghe máy</t>
  </si>
  <si>
    <t>Lê Ái Nhi</t>
  </si>
  <si>
    <t>Nguyễn Lê Khánh Ngân</t>
  </si>
  <si>
    <t>0906529859</t>
  </si>
  <si>
    <t>Con ngoan hiền, lễ phép. Con chưa thực sựu tập trung lắm khi kiểm tra. Rất dạn dĩ khi giao tiếp.
Tốc độ phản xạ: Khá nhanh. 
Khả năng giao tiếp tốt, mở rộng được ý trong khi giao tiếp.
Có vốn từ tốt về các chủ đề: thông tin cá nhân, đồ dùng, màu sắc, hoạt động, động vật, so sánh, thể thao.... 
Con phát âm hay, ngữ điệu tự nhiên. 
Con nắm được đến chữ số hàng trăm, còn nhầm lẫn một số số. Nắm được về số thứ tự nhưng chưa chắc chắn. 
Khả năng đọc hiểu và tư duy của con khá tốt khi làm các bài tập về phần nghe.
Con có thể luyện thêm với chương trình GTPX Level 5.</t>
  </si>
  <si>
    <t>25/9: gửi thông tin và xếp lịch test tối thứ 3
27/9: đã trả kq test nhưng khoá học chưa phù hợp với con nên mẹ từ chối</t>
  </si>
  <si>
    <t>kiều phương</t>
  </si>
  <si>
    <t>nguyễn ngọc bảo châu</t>
  </si>
  <si>
    <t>0932486015</t>
  </si>
  <si>
    <t>Con ngoan hiền, lễ phép. Con tập trung khi tham gia test.
Tốc độ phản xạ: Khá nhanh. 
Con nghe hiểu tốt các câu hỏi của cô và trả lời được ở mức cơ bản. Con có ý thức sử dụng câu đầy đủ, áp dụng được khá tốt ngữ pháp, cấu trúc câu vào giao tiếp.
Con chưa mở rộng được ý trong khi giao tiếp nhiều.
Có vốn từ tốt về các chủ đề: thông tin cá nhân, đồ dùng, màu sắc, hoạt động, động vật, so sánh, thể thao.... 
Con phát âm khá hay, tuy nhiên con cần cải thiện thêm âm cuối và nối âm. 
Con nắm được đến chữ số hàng triệu, nắm chắc được về số thứ tự.
Con nắm được bảng chữ cái. Tốc độ đánh vần nhanh.
Con chưa nắm được nhiều kiến thức về thì. Cụ thể là HTĐ, HTTD, QKĐ, TLĐ nhưng chưa nắm được thì HTTH và QKTD. 
Khả năng đọc hiểu và tư duy của con khá tốt khi làm các bài tập về phần đọc và viết.
Con cần rèn luyện thêm về từ vựng và cấu trúc với chương trình GTPX Level 5</t>
  </si>
  <si>
    <t>23/9: xếp lịch test chiều t7
24/9; trả kết quả test mẹ dk lớp 1 kem 4 hẹn chiều 25/9 đóng học phí</t>
  </si>
  <si>
    <t>phạm thị ngà</t>
  </si>
  <si>
    <t>Vũ tiến lâm</t>
  </si>
  <si>
    <t>0356459550</t>
  </si>
  <si>
    <t>Hải phòng - DATA O ĐỒNG</t>
  </si>
  <si>
    <t>25/9: gọi chưa nghe máy</t>
  </si>
  <si>
    <t>Phan hoàng hải</t>
  </si>
  <si>
    <t>0327527179</t>
  </si>
  <si>
    <t>Phan khánh vy 2023_GTPX_K4_13_02 giới thiệu</t>
  </si>
  <si>
    <t>25/9: gọi ko nghe máy</t>
  </si>
  <si>
    <t>Trần Hiền</t>
  </si>
  <si>
    <t>0828333759</t>
  </si>
  <si>
    <t>Thanh Thủy</t>
  </si>
  <si>
    <t>0911060109</t>
  </si>
  <si>
    <t>25/9: gọi học phí cao mẹ từ chối</t>
  </si>
  <si>
    <t>Duyencandy Kim</t>
  </si>
  <si>
    <t>0909361577</t>
  </si>
  <si>
    <t>25/9: con học ở ila, ko có nhu cầu đổi trung tâm</t>
  </si>
  <si>
    <t>Trần Lan</t>
  </si>
  <si>
    <t>Võ Trần Gia Phúc</t>
  </si>
  <si>
    <t>0963115246</t>
  </si>
  <si>
    <t>Đồng Nai- DATA O ĐỒNG</t>
  </si>
  <si>
    <t>25/9: gọi chưa nghe máy
26/9: đã gọi trao đổi và liên hệ zalo để bạn tham gia lớp học</t>
  </si>
  <si>
    <t>Hannah</t>
  </si>
  <si>
    <t>0904788332</t>
  </si>
  <si>
    <t>Hà nội DATA O ĐỒNG 
và nt trên FP</t>
  </si>
  <si>
    <t>25/9: đã liên lạc</t>
  </si>
  <si>
    <t>Mai Tuyết Hạnh</t>
  </si>
  <si>
    <t>LỤC HẢI MINH</t>
  </si>
  <si>
    <t>0987727808</t>
  </si>
  <si>
    <t>Tp Nam Định DATA O ĐỒNG</t>
  </si>
  <si>
    <t>25/9: gọi trao đổi về việc chuyển lịch nhưng bận lịch 3-5 ko đồng ý chuyển lớp</t>
  </si>
  <si>
    <t>Ha Minh</t>
  </si>
  <si>
    <t>0978350757</t>
  </si>
  <si>
    <t>29/9: gọi ko nghe máy</t>
  </si>
  <si>
    <t>Nguyễn Lý</t>
  </si>
  <si>
    <t>0987610579</t>
  </si>
  <si>
    <t>Check</t>
  </si>
  <si>
    <t>Tinh Truong</t>
  </si>
  <si>
    <t>0905199258</t>
  </si>
  <si>
    <t>25,26/9: gọi nhưng ko nghe máy, zalo chặn tìm kiếm từ ng lạ</t>
  </si>
  <si>
    <t>chị Nga</t>
  </si>
  <si>
    <t>Đoàn Thành Bảo Ngọc</t>
  </si>
  <si>
    <t>0905358326</t>
  </si>
  <si>
    <t>Con ngoan hiền, lễ phép. Con khá tập trung khi tham gia test.
Tốc độ phản xạ: Nhanh
Con nghe hiểu câu hỏi và trả lời tốt. Con có ý thức sử dụng câu đầy đủ và áp dụng được ngữ pháp, cấu trúc câu vào giao tiếp.
Con tự tin, vui tươi khi giao tiếp với cô.
Con phát âm rõ ràng, có ngữ điệu tự nhiên tuy nhiên con cần cố gắng cải thiện thêm nối âm.
Có vốn từ tốt về các chủ đề: thông tin cá nhân, đồ dùng, màu sắc, hoạt động, động vật, ... tuy nhiên có một số từ vựng chỉ vị trí và cách nói về giờ thì con nắm chưa chắc.
Con nắm được số từ 1 - 1 000 0000  tuy nhiên lúc đầu con còn hơi ấp úng khi nói về các số nhiều hàng đơn vị.
Con nắm được cơ bản số thứ tự nhưng còn nhầm cách đọc số "fifth".
Con nắm được bảng chữ cái. Tốc độ đánh vần khá nhanh. Lúc đánh vần con còn nhầm một chút về cách đọc của từ J và I.
Khả năng đọc hiểu của con khá tốt và con có thể làm được đúng gần hết các câu hỏi đọc hiểu trong bài test.
Tuy nhiên con cần cố gắng cải thiện thêm khả năng nghe hiểu của con.
Con cần rèn luyện thêm về từ vựng và cấu trúc với chương trình GTPX 1/2 Level 4</t>
  </si>
  <si>
    <t>25/9: xếp lịch test tối thứ 2</t>
  </si>
  <si>
    <t>Đoàn Thành Bảo Trân</t>
  </si>
  <si>
    <t xml:space="preserve"> Con ngoan hiền, lễ phép. 
Con có tập trung khi tham gia test.
Con còn hơi rụt rè khi tương tác với cô.
Tốc độ phản xạ: Chưa được nhanh
Con có thể nghe và trả lời những câu hỏi giao tiếp cơ bản về tên, tuổi, gia đình, sở thích,... tuy nhiên con lại chưa chủ động mở rộng được chủ đề khi cô hỏi về bạn bè.
Con cần luyện thêm nhiều về phát âm: cả ngữ điệu, lưu loát và độ chính xác.
Có một số câu hỏi con sửu dụng được câu hoàn chỉnh để trả lời tuy nhiên có một số câu con lại chỉ dùng từ lẻ để trả lời.
Con có thể nắm được đến số hàng triệu tuy nhiên con đôi lúc chưa nắm chắc được cách đọc về thứ tự đọc các hàng trong 1 số.
Con nắm được các số dưới số 100, có một số chữ số con còn nhầm lẫn hoặc chưa nắm chắc cách đọc như số 12, 25.
Con thuộc bảng chữ cái và đánh vần với tốc độ ổn. 
Con có vốn từ cơ bản về các chủ đề như đồ dùng học tập, con vật, màu sắc,... tuy nhiên con còn nhầm lẫn từ vựng chỉ vị trí và cũng chưa nắm chắc cách đọc giờ lẻ.
Con cần cố gắng cải thiện thêm kĩ năng nghe. Con có kĩ năng đọc hiểu tốt ở mức độ cơ bản và trả lời được đúng gần hết các câu hỏi của cô.
Con cần rèn luyện thêm về từ vựng và cấu trúc với chương trình: 1/2 GTPX Level 2</t>
  </si>
  <si>
    <t>Nguyễn Hương</t>
  </si>
  <si>
    <t>Hải Anh</t>
  </si>
  <si>
    <t>0936135119</t>
  </si>
  <si>
    <t>Haf Nội DATA O ĐỒNG</t>
  </si>
  <si>
    <t>Tào Trí Nguyên</t>
  </si>
  <si>
    <t>0935181316</t>
  </si>
  <si>
    <t>25/9: đã nt zalo để kb nhưng mẹ chưa xác nhận</t>
  </si>
  <si>
    <t>Hoàng Hậu</t>
  </si>
  <si>
    <t>0931232649</t>
  </si>
  <si>
    <t>GTPX với gvnn</t>
  </si>
  <si>
    <t>26/9: gửi thông tin về khoá học mẹ cần bàn lại với ông xã</t>
  </si>
  <si>
    <t>Phạm Thị Yến Phương</t>
  </si>
  <si>
    <t>phạm bảo ngọc</t>
  </si>
  <si>
    <t>0935425092</t>
  </si>
  <si>
    <t>26/9, 28/9, 29/9: gọi chưa nghe máy</t>
  </si>
  <si>
    <t>Thy Tran</t>
  </si>
  <si>
    <t>trần ngọc khánh thy</t>
  </si>
  <si>
    <t>0707057673</t>
  </si>
  <si>
    <t>25/9: gọi sdt bảo sai số, ko có quan tâm, 
26/9: 2h chiều gọi lại
26/9: gọi trao đổi gửi thông tin về khoá học qua zalo</t>
  </si>
  <si>
    <t>Lê Phạm Trung Nhơn</t>
  </si>
  <si>
    <t>0904230393</t>
  </si>
  <si>
    <t>quan tâm lớp ngữ  pháp</t>
  </si>
  <si>
    <t>26/9: đã nt trao đổi zalo, xếp lịch test</t>
  </si>
  <si>
    <t>Mỹ Phượng</t>
  </si>
  <si>
    <t>0944388808</t>
  </si>
  <si>
    <t>HCM  DATA O ĐỒNG</t>
  </si>
  <si>
    <t xml:space="preserve">Con ngoan hiền, lễ phép. 
Con trả lời to, rõ ràng tuy nhiên con không bật được camera khi test.
Tốc độ phản xạ: Nhanh
Con nghe hiểu tốt các câu hỏi của cô và trả lời được ở mức căn bản. Con có ý thức sử dụng câu đầy đủ khi nói.
Con tự tin và chủ động giao tiếp với cô.
Con biết cách mở rộng chủ đề và ý tưởng khi giao tiếp. 
Có vốn từ phong phú về các chủ đề: thông tin cá nhân, đồ dùng, màu sắc, hoạt động, động vật, vị trí, thời gian,...
Con phát âm tốt, có ngữ điệu tự nhiên và phát âm rõ các âm cuối, đặc biệt là những từ chia dạng quá khứ.
Con nắm được từ số 1 - 1 000 000 000, tuy nhiên đôi lúc con còn nhầm lẫn cách đọc các số nhiều đơn vị và nắm được tốt số thứ tự.
Con có kĩ năng nghe hiểu và đọc hiểu khá tốt. Con có thể trả lời đúng gần hết các câu hỏi của cô. Tuy nhiên con cần cẩn thận hơn nữa khi làm các câu hỏi phần đọc hiểu.
</t>
  </si>
  <si>
    <t>27/9: xếp lịch test vào tối thứ 5
29/9: xếp lịch test vào chiều thứ 7 và demo tk để tham gia lớp học</t>
  </si>
  <si>
    <t>Phượng Vy</t>
  </si>
  <si>
    <t>Con ngoan hiền, lễ phép, tuy nhiên con không bật được camera nên cô không thấy được con.
Dựa vào khả năng phản xạ của con thì biết được độ tập trung khi tham gia test của con khá tốt.
Con có thể nghe hiểu tốt và trả lời tốt các câu hỏi của cô về thông tin cá nhân.
Con viết cách mở rộng câu trả lời của con và cung cấp được nhiều thông tin khi trả lời các câu hỏi của cô.
Khả năng phản xạ: Khá nhanh 
Con có vốn từ khá rộng về các chủ đề như sức khỏe, môi trường, công nghệ, sở thích,.. và con có thể dùng được các từ vựng với độ khó khá cao.
Con nắm bắt được tốt các câu hỏi của cô và phát triển ý tưởng khá tốt.
Con có nhiều ý tưởng khi cô hỏi các chủ đề liên quan đến các vấn đề xã hội và có thể đưa ra được tốt các quan điểm của mình.
Khả năng nghe hiểu của con tốt. Con có thể nắm bắt được tốt thông tin và có thể trả lời chính xác của cô.
Tuy nhiên, con cần cải thiện thêm nữa về cách con phát âm. Con có thể phát âm đúng các từ nhưng chưa được hay. 
Con vẫn còn một số lỗi ngữ pháp nhỏ khi nói.
Con chưa có nhiều ngữ điệu khi nói.</t>
  </si>
  <si>
    <t>27/9: xếp lịch test vào tối thứ 4</t>
  </si>
  <si>
    <t>Hồ Thị Vương</t>
  </si>
  <si>
    <t>0368977520</t>
  </si>
  <si>
    <t xml:space="preserve">Dạ, em muốn học tiếng anh để dạy con thì có thể theo học lớp nào của thầy được không ạ ?
</t>
  </si>
  <si>
    <t>26/9: đã nt trao đỏi tuy nhiện mẹ bảo các khoá học ko phù hợp với mẹ</t>
  </si>
  <si>
    <t>NGUYỄN THỊ HÒA</t>
  </si>
  <si>
    <t>0374674660</t>
  </si>
  <si>
    <t>data 0 đồng</t>
  </si>
  <si>
    <t>27/9: gọi đã trao đổi nhưng mẹ tưởng miễn phí thì cho con theo học. có phí thì thôi,
29/9: gọi lại nhưng ko nghe máy</t>
  </si>
  <si>
    <t>Đỗ Ngọc Thuỳ Ly</t>
  </si>
  <si>
    <t>nguyễn đỗ gia lạc</t>
  </si>
  <si>
    <t>0906649640</t>
  </si>
  <si>
    <t>27/9: đã gửi thông tin về khoá học và xếp lịch test chiều thứ 7
29/9: gọi nhắc lại lịch test nhưng tuần này con bận mẹ sẽ báo lại giờ test vào tuần sua</t>
  </si>
  <si>
    <t xml:space="preserve">Đặng Quang bảo </t>
  </si>
  <si>
    <t>0963514516</t>
  </si>
  <si>
    <t>29/9: sdt tạm khoá thuê bao ko liên lạc dc</t>
  </si>
  <si>
    <t>29/9: đã gọi trao đổi con đang theo học trực tiếp tại trung tâm khác</t>
  </si>
  <si>
    <t>Tuấn Thanh</t>
  </si>
  <si>
    <t>nguyễn trần lâm thuỷ</t>
  </si>
  <si>
    <t>0906620655</t>
  </si>
  <si>
    <t xml:space="preserve"> Con ngoan hiền, lễ phép. 
Con có tập trung khi tham gia test.
Tốc độ phản xạ: Chưa được nhanh
Con có thể nghe và trả lời những câu hỏi giao tiếp cơ bản về tên, tuổi, gia đình, sở thích,... tuy nhiên con lại chưa chủ động mở rộng được chủ đề khi nói và chưa có nhiều ý tưởng để nói về một chủ đề ví dụ như kể về bạn bè của con.
Con cần luyện thêm nhiều về phát âm: cả ngữ điệu, lưu loát và độ chính xác.
Đa phần con sử dụng câu lẻ để trả lời cô.
Con có thể nắm được từ số 1-100. Con chưa nắm được số thứ tự.
Con thuộc bảng chữ cái và đánh vần với tốc độ ổn. 
Vốn từ của con chưa nhiều về các chủ đề như đồ dùng học tập, con vật, màu sắc, vị trí,...
Con chưa biết cách diễn đạt thời gian bằng Tiếng Anh.
Con cần cố gắng cải thiện thêm kĩ năng nghe. Con có kĩ năng đọc hiểu tốt ở mức độ cơ bản và trả lời được đúng gần hết các câu hỏi của cô.
Con nắm chưa chắc kiến thức về các thì.
Con cần rèn luyện thêm về từ vựng và cấu trúc với chương trình: 1/2 GTPX Level 2</t>
  </si>
  <si>
    <t>29/9: xếp lịch test lúc 19h30 tối thứ 6</t>
  </si>
  <si>
    <t xml:space="preserve">Kiều Oanh </t>
  </si>
  <si>
    <t xml:space="preserve">Nguyễn Hoàng Quân </t>
  </si>
  <si>
    <t>0935415696</t>
  </si>
  <si>
    <t>Đki thi Movers và Starters</t>
  </si>
  <si>
    <t>29/9: gọi nhưng chưa nghe máy</t>
  </si>
  <si>
    <t xml:space="preserve">Hong Ngọc </t>
  </si>
  <si>
    <t xml:space="preserve">Dương Đức trọng </t>
  </si>
  <si>
    <t>0931484130</t>
  </si>
  <si>
    <t>TPHCM, dki lớp 0 đồng
=&gt;  tư vấn qua GTPX
Lịch rảnh: 19h30-21h00</t>
  </si>
  <si>
    <t xml:space="preserve">29/9: bố cúp ngang, zalo chặn tìm kiếm </t>
  </si>
  <si>
    <t>Chị Uyên</t>
  </si>
  <si>
    <t xml:space="preserve">lê nguyễn gia phát </t>
  </si>
  <si>
    <t>0905772586</t>
  </si>
  <si>
    <t>data trên fb thầy Tuấn - chị Yến đưa
bé lớp 3 muốn tìm hiểu khóa học</t>
  </si>
  <si>
    <t>29/9: gọi trao đổi gửi thông tin khoá học, mẹ đánh giá học phí cao khi học onl</t>
  </si>
  <si>
    <t>Nguyễn Thị Ngọc</t>
  </si>
  <si>
    <t>0913454168</t>
  </si>
  <si>
    <t>con đang học lớp 7
DATA O ĐỒNG</t>
  </si>
  <si>
    <t>29/9: gửi thông tin, con học trực tiếp ở trung tâm và qua 1 số app onli như học mãi và alibaba, gửi thông tin về khoá học  và bài test</t>
  </si>
  <si>
    <t>Su Su</t>
  </si>
  <si>
    <t>Khánh Vy</t>
  </si>
  <si>
    <t>0888808690</t>
  </si>
  <si>
    <t>Con ngoan hiền, lễ phép. Tập trung khi tham gia test.
Tốc độ phản xạ: Khá nhanh
Con có thể nghe và trả lời những câu hỏi giao tiếp cơ bản về tên, màu sắc yêu thích và con vật yêu thích,  
Đa phần con dùng từ lẻ để trả lời, con hầu như không sử dụng câu hoàn chỉnh khi trả lời cô.
Con có thể nắm được số từ 1-100
Con nắm được bảng chữ cái và đánh vần với tốc độ chưa được nhanh. 
Con có vốn từ tương đối so với độ tuổi về đồ vật, con vật, đồ dùng học tập, màu sắc,.. 
Con đọc được chữ và có khả năng xử lý dạng bài đọc căn bản. 
Con cần rèn luyện thêm về từ vựng và cấu trúc câu với chương trình : GTPX Level 1.</t>
  </si>
  <si>
    <t>28/9: xếp lịch test vào tối thứ 7 19h30</t>
  </si>
  <si>
    <t>Hà Lan Hương</t>
  </si>
  <si>
    <t>0982968728</t>
  </si>
  <si>
    <t>Số check</t>
  </si>
  <si>
    <t>29/9: gọi chưa nghe máy</t>
  </si>
  <si>
    <t>Võ Triều</t>
  </si>
  <si>
    <t>0914165565</t>
  </si>
  <si>
    <t>29/9: gọi chưa nghe máy
5/10: gọi trao đổi nhưng mẹ thiên về học trực tiếp con ko thích hocj onl</t>
  </si>
  <si>
    <t>Lương Thị Quỳnh Anh</t>
  </si>
  <si>
    <t>0965875521</t>
  </si>
  <si>
    <t>29/9: liên lạc học cấp tốc 1thang để thi yêu cầu cam kết đàu ra</t>
  </si>
  <si>
    <t>Thoa Nguyen</t>
  </si>
  <si>
    <t>0888066363</t>
  </si>
  <si>
    <t>29/9: liên lạc chưa nghe máy
2/10:  gọi nt gửi tt trên zalo</t>
  </si>
  <si>
    <t xml:space="preserve">Cao Thị Thùy Dương </t>
  </si>
  <si>
    <t>0967680734</t>
  </si>
  <si>
    <t>CLB</t>
  </si>
  <si>
    <t>29/9: đã liên lạc với phụ huynh</t>
  </si>
  <si>
    <t xml:space="preserve">Cao Nguyễn Thanh Trúc </t>
  </si>
  <si>
    <t>Nguyễn Huệ</t>
  </si>
  <si>
    <t xml:space="preserve">0983164879
</t>
  </si>
  <si>
    <t>2/10: gọi trao đổi , gửi thông tin trên zalo để mẹ nắm lại thông tin và hẹn lịch test</t>
  </si>
  <si>
    <t>Trường Sơn</t>
  </si>
  <si>
    <t>0907727776</t>
  </si>
  <si>
    <t>2/10: gọi knm</t>
  </si>
  <si>
    <t>Doan My Linh</t>
  </si>
  <si>
    <t>Huỳnh Thế Vương</t>
  </si>
  <si>
    <t>0704557680</t>
  </si>
  <si>
    <t>Tư vấn trên FP
Chị Ánh vào link bên cạnh và tư vấn nhé ạ</t>
  </si>
  <si>
    <t>Con ngoan hiền, lễ phép. Tập trung khi kiểm tra. Con khá dạn dĩ khi giao tiếp.
Tốc độ phản xạ: Khá nhanh. 
Khả năng giao tiếp khá tốt, mở rộng được ý trong khi giao tiếp chứ không chỉ đáp lặp lại từ trong câu hỏi. 
Có vốn từ vừa phải về các chủ đề: thông tin cá nhân, đồ dùng, màu sắc, hoạt động, động vật, so sánh, thể thao.... 
Con phát âm khá hay, ngữ điệu tự nhiên. 
Con nắm được bảng chữ cái, đánh vần nhanh,
Con nắm được đến chữ số hàng trăm, còn nhầm lẫn số hàng ngàn. Nắm được về số thứ tự. 
Khả năng đọc hiểu và tư duy của con khá tốt khi làm các bài tập về phần đọc và nghe.
Về cấu trúc, con phân biệt được số ít số nhiều, phân biệt được "to be", nắm được cấu trúc cơ bản. Tuy nhiên, chưa áp dụng được tốt với động từ thường.
Con cần thể luyện thêm về cấu trúc và từ vựng với chương trình GTPX Level 5.</t>
  </si>
  <si>
    <t>2/10: đã nt trên fb, hẹn lịch test tối thứ 3
4/10: trả kq test
5/10: trao đổi cân nhắc hp nhưng mẹ thấy hp cao quá mẹ khó kham nỗi
9/10: nt mẹ ko phản hồi</t>
  </si>
  <si>
    <t>Huỳnh Thế Khang</t>
  </si>
  <si>
    <t xml:space="preserve">Con ngoan hiền, lễ phép, tự tin trong giao tiếp. 
Con rất tập trung khi tham gia test. Tuy nhiên có khá nhiều tiếng ồn phía sau làm ảnh hưởng đến phần nghe của con.
Con có thể nghe và trả lời các câu hỏi về các thông tin cơ bản như tên, tuổi, nơi ở, sở thích, bạn bè,...
Tốc độ phản xạ: Khá nhanh
Con phát âm khá hay, tự nhiên, có âm cuối. Tuy nhiên vẫn cần điều chỉnh thêm về một số âm khó, nối âm, lưu loát và ngữ điệu.
Có vốn từ tương đối về các chủ đề: đồ dùng học tập, màu sắc, con vật,... 
Con nói được câu đầy đủ nhưng vẫn còn thói quen đáp bằng từ lẻ. Chưa có khả năng đặt câu hỏi hay mở rộng chủ đề giao tiếp.
Kĩ năng đọc hiểu của con khá tốt. Khả năng đọc hiểu tốt hơn khả năng nghe.
Con cần cố gắng cải thiện thêm kĩ năng nghe, đôi lúc con chưa chắc chắn lắm về câu trả lời của mình.
Con cần rèn luyện thêm về từ vựng và cấu trúc với chương trình GTPX Level 3. </t>
  </si>
  <si>
    <t>Huỳnh Tuấn Đạt</t>
  </si>
  <si>
    <t>0934881770</t>
  </si>
  <si>
    <t>2/10: gọi ko nghe máy
3/10: gọi ko nghe máy</t>
  </si>
  <si>
    <t>Giang Hiền</t>
  </si>
  <si>
    <t>0933224968</t>
  </si>
  <si>
    <t>Con ngoan hiền, lễ phép. 
Con tập trung vào bài test và trả lời các câu hỏi của cô.
Tốc độ phản xạ: Chưa được nhanh
Có một số câu hỏi lúc đầu con chưa hiểu câu hỏi của cô nên cô cần nhắc lại câu hỏi để con trả lời.
Con có thể nghe và trả lời những câu hỏi giao tiếp cơ bản về tên, màu sắc yêu thích và con vật yêu thích,  
Con dùng được một số cấu trúc câu cơ bản để trả lời cô, tuy nhiên có một số câu hỏi con vẫn dùng từ lẻ để trả lời.
Con có thể nắm được số từ 1-12.
Con nắm được cơ bản bảng chữ cái tuy nhiên con vẫn còn nhầm lẫn giữa cách đọc chữ cái và cách đọc âm.
Có một số chữ cái con còn nhầm lẫn như chữ I và Y.
Con vốn từ cơ bản về đồ dùng học tập, màu sắc, con vật,.. nhưng con chưa biết nhiều từ vựng chỉ vị trí.
Con có thể nghe và trả lời được đúng 70% câu hỏi của bài nghe và con làm được các bài đọc ở dạng nhìn tranh và trả lời Yes/No.
Con cần rèn luyện thêm về từ vựng và cấu trúc câu với chương trình : GTPX Level 1.</t>
  </si>
  <si>
    <t>2/10: hẹn lịch test tối thứ 2
3/10: trae kq test mẹ từ chối vì con ko tập trung nên onl ko phù hợp với bạn</t>
  </si>
  <si>
    <t>Bùi Ngọc Bích</t>
  </si>
  <si>
    <t>0908596055</t>
  </si>
  <si>
    <t>3/10: đã gọi nt cho phụ huynh</t>
  </si>
  <si>
    <t>Bùi Duyên</t>
  </si>
  <si>
    <t>Phan Thanh Ngọc</t>
  </si>
  <si>
    <t>0987664456</t>
  </si>
  <si>
    <r>
      <rPr>
        <rFont val="Cambria"/>
        <color theme="1"/>
        <sz val="11.0"/>
      </rPr>
      <t xml:space="preserve">Hà Nội        Chỉ học trên trường
</t>
    </r>
    <r>
      <rPr>
        <rFont val="Cambria"/>
        <b/>
        <color theme="1"/>
        <sz val="11.0"/>
      </rPr>
      <t>NP0Đ</t>
    </r>
  </si>
  <si>
    <t>3/10: gọi chưa nghe máy</t>
  </si>
  <si>
    <t>Le Hong</t>
  </si>
  <si>
    <t>Loan Mai Chi</t>
  </si>
  <si>
    <t>0374910369</t>
  </si>
  <si>
    <r>
      <rPr>
        <rFont val="Cambria"/>
        <color theme="1"/>
        <sz val="11.0"/>
      </rPr>
      <t xml:space="preserve">Tay Ninh        Tự học chương trình homeschool  Muốn Ngữ pháp tốt để nói và viết tốt
</t>
    </r>
    <r>
      <rPr>
        <rFont val="Cambria"/>
        <b/>
        <color theme="1"/>
        <sz val="11.0"/>
      </rPr>
      <t xml:space="preserve"> NP0Đ</t>
    </r>
  </si>
  <si>
    <t>3/10: đã kb zalo và gửi link bài test của con</t>
  </si>
  <si>
    <t>Nguyễn thị hương</t>
  </si>
  <si>
    <t>Nguyễn Ngọc Quỳnh Anh</t>
  </si>
  <si>
    <t>0976837980</t>
  </si>
  <si>
    <r>
      <rPr>
        <rFont val="Cambria"/>
        <color theme="1"/>
        <sz val="11.0"/>
      </rPr>
      <t xml:space="preserve">Hà Nội         Chỉ học trên trường
</t>
    </r>
    <r>
      <rPr>
        <rFont val="Cambria"/>
        <b/>
        <color theme="1"/>
        <sz val="11.0"/>
      </rPr>
      <t>NP0Đ</t>
    </r>
  </si>
  <si>
    <t>3/10: đã liên lạc và gửi bài test</t>
  </si>
  <si>
    <t>Phạm Thị Lệ Diễm</t>
  </si>
  <si>
    <t>0703978746</t>
  </si>
  <si>
    <t xml:space="preserve">Người đi làm        Thứ 2, Thứ 4, Thứ 6
</t>
  </si>
  <si>
    <t>Đinh Thị Quỳnh Trang</t>
  </si>
  <si>
    <t>0935818925</t>
  </si>
  <si>
    <t xml:space="preserve">Người đi làm        Thứ 2, Thứ 4, Thứ 7
</t>
  </si>
  <si>
    <t>Hau Trinh</t>
  </si>
  <si>
    <t>0983994229</t>
  </si>
  <si>
    <t>3/10: gọi và gửi bài test</t>
  </si>
  <si>
    <t>NGuyễn Thị Hằng</t>
  </si>
  <si>
    <t>Đinh nguyễn mai chi</t>
  </si>
  <si>
    <t>0986083739</t>
  </si>
  <si>
    <r>
      <rPr>
        <rFont val="Cambria"/>
        <color theme="1"/>
        <sz val="11.0"/>
      </rPr>
      <t xml:space="preserve">Nghệ An        Học trên trường và học thêm ở ngoài (Trung tâm, gia sư riêng, ...)   Thứ 3&amp;5
</t>
    </r>
    <r>
      <rPr>
        <rFont val="Cambria"/>
        <b/>
        <color theme="1"/>
        <sz val="11.0"/>
      </rPr>
      <t>NP0Đ</t>
    </r>
  </si>
  <si>
    <t>Bùi thị tuyết</t>
  </si>
  <si>
    <t>Trần linh đan</t>
  </si>
  <si>
    <t>0984882533</t>
  </si>
  <si>
    <t>Nghệ an	Học trên trường và học thêm ở ngoài (Trung tâm, gia sư riêng, ...)
Thứ 3 và 5: 18h30 - 20h00</t>
  </si>
  <si>
    <t>Hương Nguyen</t>
  </si>
  <si>
    <t>0909915928</t>
  </si>
  <si>
    <t>Đoàn Thu Thương</t>
  </si>
  <si>
    <t>Phạm hồng phú</t>
  </si>
  <si>
    <t>0919481039</t>
  </si>
  <si>
    <t>Gửi bài test NP0đ</t>
  </si>
  <si>
    <t>3/10: liên lạc kb zalo gửi link bài test ngữ pháp cho 3 bạn</t>
  </si>
  <si>
    <t>phạm hồng phước</t>
  </si>
  <si>
    <t>Phạm gia bảo</t>
  </si>
  <si>
    <t>Khanh Nha Vo</t>
  </si>
  <si>
    <t>0913863460</t>
  </si>
  <si>
    <t xml:space="preserve">7h tối gọi </t>
  </si>
  <si>
    <t>Diễm Diễm</t>
  </si>
  <si>
    <t>0363964624</t>
  </si>
  <si>
    <t>số check</t>
  </si>
  <si>
    <t>4/10: gọi chưa nghe máy</t>
  </si>
  <si>
    <t>Trần Khả Di</t>
  </si>
  <si>
    <t>098144139</t>
  </si>
  <si>
    <t>Đặng Lê Quang VUI07 giới thiệu tham gia CLB</t>
  </si>
  <si>
    <t>4/10: sdt sai</t>
  </si>
  <si>
    <t>nguyễn Phương Nga</t>
  </si>
  <si>
    <t>Trần Anh Dũng</t>
  </si>
  <si>
    <t>0983025666</t>
  </si>
  <si>
    <t>hanoi	Học online ở nhà qua các ứng dụng -  thứ 2 và thứ 5 - NP0đ</t>
  </si>
  <si>
    <t>Xuân Hồng</t>
  </si>
  <si>
    <t>0354141377</t>
  </si>
  <si>
    <t>Bé lớp 7</t>
  </si>
  <si>
    <t>Con ngoan hiền, lễ phép. Con tập trung khi tham gia test.
Tốc độ phản xạ: Khá nhanh. 
Con nghe hiểu tốt các câu hỏi của cô và trả lời được ở mức căn bản. Con có ý thức sử dụng câu đầy đủ nhưng chưa áp dụng được tốt ngữ pháp, cấu trúc câu vào giao tiếp.
Con chưa mở rộng được ý trong khi giao tiếp.
Có vốn từ khá tốt về các chủ đề: thông tin cá nhân, đồ dùng, màu sắc, hoạt động, động vật, so sánh,... tuy nhiên con chưa nắm chắc được từ vựng chỉ vị trí.
Con cần cố gắng phát âm bao gồm độ chính xác, ngữ điệu và nối âm.
Con cần cải thiện thêm độ lưu loát và ngữ điệu.
Con nắm được từ số 1-100 tuy nhiên con chưa nắm được số thứ tự.
Con nắm được bảng chữ cái. Tốc độ đánh vần khá  nhanh.
Con có khả năng nghe hiểu tốt và có thể trả lời đúng được 80% câu hỏi liên quan đến bài nghe.
Con làm tốt ở phần đọc hiểu tuy nhiên con cần cẩn thận hơn trước khi đưa ra câu trả lời.
Con cần rèn luyện thêm về từ vựng và cấu trúc với chương trình GTPX Level 5</t>
  </si>
  <si>
    <t>05/10: Mẹ bảo con học tốt ngữ pháp, đang học ở 1 thầy gần nhà. Con không tự tin giao tiếp. lười học và không thích học. 
Nhà có 2 cháu nên mẹ phải cân nhắc nhiều về học phí. Đã báo bảng giá ưu đãi 15% cho 50b và 20% cho 100b tất cả các khóa kèm 1 2 4. 
Xếp lịch test lúc 20h00 ngày 06/10 (Phương).
7/10: nt và nhắn tin về lịch học mẹ chọn lớp 1-4 đang kiểm tra lớp
9/10: mẹ chờ trung tâm mở lớp mới ko chịu đóng cọc</t>
  </si>
  <si>
    <t xml:space="preserve"> 0762 774 799</t>
  </si>
  <si>
    <t>TOEIC từ đầu</t>
  </si>
  <si>
    <t>My có vốn từ cơ bản về các chủ đề thân thuộc: tên, tuổi, nơi ở, sở thích, bạn bè. 
Bạn nắm được bảng chữ cái, số đếm đến 10.000, số thứ tự chưa chắc chắn. 
Cần cải thiện thêm nhiều về phát âm.
Chưa tự tin giao tiếp và chưa hình thành câu được. 
Trình độ: Cuối A1</t>
  </si>
  <si>
    <t>5/10: hẹn lịch test chiều thứ 6 
6/10: trả kq test và bạn thiên về học trực tiếp và hphi cao
10/10: bạn hỏi về lộ trình và học phí. hướng sang học trung tâm khác</t>
  </si>
  <si>
    <t>Hàng Xuân Diệu</t>
  </si>
  <si>
    <t>935830316</t>
  </si>
  <si>
    <t>6/10: gọi chưa nghe máy, nhưng phản hồi trên zalo
9/10: nt nhưng phụ huynh ko phản hồi
10/10: nt ko phản hồi</t>
  </si>
  <si>
    <t>Phan Thị Hoài Thái</t>
  </si>
  <si>
    <t>0906811185</t>
  </si>
  <si>
    <t xml:space="preserve">Mẹ liên hệ qua fb </t>
  </si>
  <si>
    <t xml:space="preserve">6/10: đã gửi thông tin về khoá học và liên hệ hẹn lịch test vào thứ 7. chờ mẹ phản hòi về khung thời gian test của con
10/10: gọi lại nhưng con ko chịu tham gia test, mẹ liên lạc lại sau, </t>
  </si>
  <si>
    <t>Chị Thanh</t>
  </si>
  <si>
    <t>0905114355</t>
  </si>
  <si>
    <t>7/10: gọi gửi thông tin về khoá  học
10/10: bố không đồng ý cho học onl. học phí cao quá ko theo được</t>
  </si>
  <si>
    <t>Vũ Tuyết Nhi</t>
  </si>
  <si>
    <t>0862941524</t>
  </si>
  <si>
    <t xml:space="preserve">7/10: xếp lịch test tối thứ 7
10/10: nt lại nhưng ko phản hồi, </t>
  </si>
  <si>
    <t>Huỳnh Văn Tiến</t>
  </si>
  <si>
    <t>0707117777</t>
  </si>
  <si>
    <t>9/10: đã hẹn lịch test lúc 2h chiều
9/10: đã trả kết quả test và bố hẹn chuyển khoản
10/10: hẹn thứ 6 phỏng vấn bé con</t>
  </si>
  <si>
    <t>Huỳnh Nguyễn Như Quỳnh</t>
  </si>
  <si>
    <t>10/10: gọi xếp lịch cho bạn tối thứ 6
14/10: bố bảo con còn nhỏ ko chịu hợp tác, bố hẹn để con lớn hơn 1 tí sẽ tham gia</t>
  </si>
  <si>
    <t>Hoàng Yến</t>
  </si>
  <si>
    <t>0703738433</t>
  </si>
  <si>
    <t>học theo kiến thức trên trường
tiếng anh lớp 5</t>
  </si>
  <si>
    <t>9/10: gửi thông tin về khoá học và gửi học phí để mẹ tham khảo ạ
10/10: nt zalo ko phản hồi
11/10: nt ko phản hồi</t>
  </si>
  <si>
    <t>Hanh Ngo</t>
  </si>
  <si>
    <t>Nguyễn Bảo Phúc</t>
  </si>
  <si>
    <t>0913741230</t>
  </si>
  <si>
    <t>Hỏi lại thông tin giới thiệu</t>
  </si>
  <si>
    <t>Con ngoan hiền, lễ phép. Con tập trung khi tham gia test.
Tốc độ phản xạ: Khá nhanh. 
Con nghe hiểu chưa tốt các câu hỏi của cô và trả lời được ở mức căn bản. Con chưa có ý thức sử dụng câu đầy đủ, chưa áp dụng được tốt ngữ pháp, cấu trúc câu vào giao tiếp.
Có vốn từ còn hạn chế về các chủ đề: thông tin cá nhân, đồ dùng, màu sắc, hoạt động, động vật, vị trí,...
Con cần được điều chỉnh thêm về phát âm bao gồm độ chính xác, ngữ điệu và lưu loát.
Con nắm được bảng chữ cái. Tốc độ đánh vần tương đối nhanh.
Con nắm được các thì sau ở mức cơ bản: Hiện tại đơn và Hiện tại tiếp diễn. Tuy nhiên con chỉ làm được bài tập dạng viết chứ chưa áp dụng vào nói được. 
Con cần rèn luyện thêm về từ vựng và cấu trúc với chương trình NPBT level 1.</t>
  </si>
  <si>
    <t>9/10: gọi nhưng mẹ đang bận liên lạc lại sau
10/10: hẹn lịch test đang xem lại tkb của các con, hẹn lịch tối thứ 4 18h30
12/10: đã trả kết quả test, mẹ đang cân nhắc cho 3 bạn'
16/10: đã tham gia khoá học</t>
  </si>
  <si>
    <t>Nguyễn Ngọc Bảo Thy</t>
  </si>
  <si>
    <t>Con ngoan hiền, lễ phép. Con tập trung khi tham gia test.
Tốc độ phản xạ: Chưa nhanh.
Con nghe hiểu chưa tốt các câu hỏi của cô và trả lời được ở mức căn bản. Con chưa có ý thức sử dụng câu đầy đủ, chưa áp dụng được tốt ngữ pháp, cấu trúc câu vào giao tiếp.
Có vốn từ còn hạn chế về các chủ đề giao tiếp cơ bản như thông tin cá nhân, bạn bè, gia đình,... 
Con cần được điều chỉnh thêm về phát âm bao gồm độ chính xác, ngữ điệu và lưu loát.
Con nắm được bảng chữ cái. Tốc độ đánh vần tương đối nhanh.
Kỹ năng nghe-hiểu và đọc-hiểu ở mức độ đầu UP3.
Con cần rèn luyện thêm về từ vựng và cấu trúc với chương trình GTPX Level 3.</t>
  </si>
  <si>
    <t>Kỳ Duyên</t>
  </si>
  <si>
    <t>Bùi Gia Long</t>
  </si>
  <si>
    <t>0916856022</t>
  </si>
  <si>
    <t>Con ngoan hiền, lễ phép. Con tập trung khi tham gia test.
Tốc độ phản xạ: Khá ổn
Con nghe hiểu tốt các câu hỏi của cô và trả lời được ở mức căn bản. Con sử dụng được câu đầy đủ khi nói nhưng có một số câu con chỉ dùng từ lẻ để trả lời.
Con chưa mở rộng được ý trong khi giao tiếp.
Có vốn từ khá tốt về các chủ đề: thông tin cá nhân, đồ dùng, màu sắc, hoạt động, động vật,,... tuy nhiên con chưa nắm chắc được từ vựng chỉ vị trí và cách đọc giờ lẻ.
Con phát âm khá tốt, con có chú ý âm cuối tuy nhiên con cần cải thiện thêm cách nối âm.
Con nắm được từ số 1-1 000 000 000 tuy nhiên con còn nhầm lẫn khi đọc các số có nhiều hàng đơn vị.
Con nắm được bảng chữ cái. Tốc độ đánh vần khá  nhanh.
Con có khả năng nghe hiểu tốt và có thể trả lời đúng được tốt các câu hỏi liên quan đến bài nghe.
Con làm tốt ở phần đọc hiểu tuy nhiên con cần cẩn thận hơn trước khi đưa ra câu trả lời.
Con cần rèn luyện thêm về từ vựng và cấu trúc với chương trình GTPX 1/2 level 4</t>
  </si>
  <si>
    <t>9/10: gọi nhưng mẹ đang bận liên lạc lại sau
10/10: hẹn lịch test đang xem lại tkb của các con, hẹn lịch tối thứ 4 18h30
12/10: đã trả kết quả test, mẹ đang cân nhắc cho 3 bạn'
17/10: đã tham gia khoá học</t>
  </si>
  <si>
    <t>Phạm Thanh Thảo</t>
  </si>
  <si>
    <t>9/10; gọi và trao đổi kb zalo gửi thông tin về khoá học
10/10: nt zalo ko phản hồi
11/10: gọi knm, nt chưa phản hồi</t>
  </si>
  <si>
    <t>Anh Khoa (fb Ami Dang)</t>
  </si>
  <si>
    <t>0977946886</t>
  </si>
  <si>
    <t>9/10: Gửi thông tin về khoá học 
11/10: bố bảo để bố cân đối và xếp lịch test sẽ báo lại</t>
  </si>
  <si>
    <t>Mai Hà</t>
  </si>
  <si>
    <t>0817674678</t>
  </si>
  <si>
    <t>9/10: mẹ quan tâm lớp GTPX gv Auu mỹ cân đối hp sẽ liên lạc lại sau. ko học gv Phi</t>
  </si>
  <si>
    <t>mẹ Ngọc Anh Đinh</t>
  </si>
  <si>
    <t>Đinh Ngọc Anh</t>
  </si>
  <si>
    <t>0862048945</t>
  </si>
  <si>
    <t>Ngữ pháp bứt tốc</t>
  </si>
  <si>
    <t>9/10: xếp lịch test tối thứ 3
11/10: dời lịch test sang chiều thứ 7
14/10: ko vào test, liên lạc ko nghe máy</t>
  </si>
  <si>
    <t>Thuý Phan</t>
  </si>
  <si>
    <t>Hà Phan Tuệ Lâm</t>
  </si>
  <si>
    <t>Con ngoan hiền, lễ phép. Tập trung khi tham gia test.
Tốc độ phản xạ: Khá nhanh. 
Con có thể nghe và trả lời những câu hỏi giao tiếp cơ bản về tên, tuổi, nơi ở,... Tuy nhiên con chưa sử dụng được câu đầy đủ nhiều. Cấu trúc các câu còn hạn chế. Con chưa sử dụng được ngữ pháp khi nói.
Con phát âm khá hay. Tuy nhiên vẫn cần luyện tập thêm với 1 số âm khó như /dg/, /th/, .... cũng như ngữ điệu và lưu loát. 
Con có thể nắm được số từ 1-100. 
Con thuộc 95% bảng chữ cái. Tốc độ đánh vẫn khá nhanh. 
Con có những vốn từ tương đối về các chủ đề: con vật, đồ vật, thể thao...
Kỹ năng nghe hiểu và đọc hiểu khá. Tốc độ con đọc chưa nhanh.
Con cần rèn luyện thêm về từ vựng và ngữ pháp với chương trình : GTPX Level 1/2 UP4</t>
  </si>
  <si>
    <t>6/10: hẹn lịch test nhưng chưa cung cấp sdt để gửi link lịch test
10/10: nt trên fb nhưng chưa phản hồi
10/10: xếp lịch test chiều thứ 7 lúc 16h
14/10: đã trả kq test chưa phản hồi</t>
  </si>
  <si>
    <t>Hà Phan Châu Sa</t>
  </si>
  <si>
    <t>Con ngoan hiền, lễ phép. Tập trung khi tham gia test.
Con nghe hiểu các câu hỏi cơ bản của giáo viên về tên, số, màu,....
Con cần luyện thêm về phát âm, cả về độ chính xác, âm cuối, ngữ điệu và lưu loát. 
Con nắm được số đếm từ 1 - 10. 
Con chưa nắm được bảng chữ cái. 
Có vốn từ cơ bản (so với độ tuổi) về các chủ đề: thông tin cá nhân, đồ dùng, màu sắc, động vật,.... 
Con chưa nói được câu đầy đủ.
Con cần rèn luyện thêm về từ vựng và cấu trúc với chương trình GTPX 1/2 Starter.</t>
  </si>
  <si>
    <t>mẹ Tố Vy( zalo tên Minh Tâm)</t>
  </si>
  <si>
    <t>Nguyễn Xuân Nguyên</t>
  </si>
  <si>
    <t>0935819229</t>
  </si>
  <si>
    <t>10/10: gọi dt và hẹn lịch test chờ mẹ phản hồi
11/10: hẹn lịch test sáng thứ 7 9h</t>
  </si>
  <si>
    <t>Nguyễn Xuân Huy</t>
  </si>
  <si>
    <t>10/10: gọi dt và hẹn lịch test chờ mẹ phản hồi
11/10: hẹn lịch test sáng thứ 7 9h
14/9:  huỷ lịch báo hẹn lại hôm khác</t>
  </si>
  <si>
    <t>Luong Kim Thoa</t>
  </si>
  <si>
    <t>0904080733</t>
  </si>
  <si>
    <t>11/10: gửi thông tin khoá học, tham khảo khoá và sắp xếp lịch test</t>
  </si>
  <si>
    <t>Manh Nguyen</t>
  </si>
  <si>
    <t>Nguyễn Gia Bảo</t>
  </si>
  <si>
    <t>0912990718</t>
  </si>
  <si>
    <t>Hà Nội, Ngữ pháp bứt tốc (10-17 tuổi)</t>
  </si>
  <si>
    <t>Con ngoan hiền, lễ phép. Con tập trung khi tham gia test.
Tốc độ phản xạ: Chưa nhanh.
Con nghe hiểu chưa tốt các câu hỏi của cô và trả lời được ở mức từ lẻ. Con chưa có ý thức sử dụng câu đầy đủ, chưa áp dụng được tốt ngữ pháp, cấu trúc câu vào giao tiếp.
Có vốn từ còn rất hạn chế về các chủ đề giao tiếp cơ bản như thông tin cá nhân, bạn bè, gia đình, động vật,... 
Con gặp khó khăn nhiều trong việc nhớ chính tả của một từ.
Con cần được điều chỉnh thêm về phát âm bao gồm độ chính xác, ngữ điệu và lưu loát.
Con nắm được bảng chữ cái. Tốc độ đánh vần chưa nhanh.
Nắm được số hàng chục. Tuy nhiên còn nhầm lẫn vài số như 20.
Kỹ năng đọc-hiểu ở mức độ UP2.
Con cần rèn luyện thêm về từ vựng và cấu trúc với chương trình GTPX Level 1/2 UP2.</t>
  </si>
  <si>
    <t>11/10: gửi thông tin khoá học, tham khảo khoá và sắp xếp lịch test
11/10: xếp lịch test tối thứ 5
13/10: trả kq test nhưng ph ko phản hồi, gọi điện nt đều như thế</t>
  </si>
  <si>
    <t>Trương Thị Hậu</t>
  </si>
  <si>
    <t>Nguyễn Phương Uyên</t>
  </si>
  <si>
    <t>0972272303</t>
  </si>
  <si>
    <t>Hà Nội, NP0đ, Thứ 3 và 5: 18h30 - 20h00</t>
  </si>
  <si>
    <t>11/10: đã liên lạc và gửi bài test ngữ pháp</t>
  </si>
  <si>
    <t>Lê Tuấn Anh</t>
  </si>
  <si>
    <t>091 6160345</t>
  </si>
  <si>
    <t>từng học ở ila</t>
  </si>
  <si>
    <t>11/10: gọi bố bận hẹn gọi lại sau
12/11: nt trao đổi bố quan tâm lớp học ielts trực tiếp bố ko muốn cho con học onl. bố từ chối và ko rep tin nhắn nữa</t>
  </si>
  <si>
    <t>mẹ Yến Phương</t>
  </si>
  <si>
    <t>0901611919</t>
  </si>
  <si>
    <t>12/10: gọi và kb zalo gửi thông tin về khoá học</t>
  </si>
  <si>
    <t>An Phong</t>
  </si>
  <si>
    <t>0908093333</t>
  </si>
  <si>
    <t>13/10: gọi trao đổi học phí quá cao ko theo được từ chối</t>
  </si>
  <si>
    <t>Văn quân</t>
  </si>
  <si>
    <t>Như Ngọc</t>
  </si>
  <si>
    <t>0906574534</t>
  </si>
  <si>
    <t>Hội an</t>
  </si>
  <si>
    <t>16/10:gọi gửi thông tin khoá học chưa phản hồi</t>
  </si>
  <si>
    <t>Mai Thị Huệ</t>
  </si>
  <si>
    <t>Nguyễn Đăng Khoa</t>
  </si>
  <si>
    <t>0977155503</t>
  </si>
  <si>
    <t>Chị Mỹ đưa về</t>
  </si>
  <si>
    <t xml:space="preserve">Con ngoan hiền, lễ phép. Con tập trung tốt khi tham gia buổi test.
Tốc độ phản xạ: Khá nhanh.
Con có thể giao tiếp với các chủ đề về tên, tuổi, nơi ở, giáo viên yêu thích, thể thao.. .
Con biết cách áp dụng một số cấu trúc câu cơ bản của con vào giao tiếp tuy nhiên con vẫn còn một số lỗi ngữ pháp với cách dùng của "there are" và "there is".
Đôi lúc con sử dụng từ lẻ để trả lời thay vì nói cả câu.
Con chưa mở rộng được nhiều ý tưởng khi trả lời các câu hỏi. 
Con phát âm khá tự nhiên, rõ nhưng cần cải thiện thêm ngữ điệu và độ lưu loát.
Kĩ năng đọc hiểu và nghe-hiểu tốt.
Về ngữ pháp, con chưa nắm được thì, chưa sử dụng được nhiều cấu trúc câu đa dạng. 
Con cần rèn luyện thêm về từ vựng và ngữ pháp với chương trình : GTPX Level 6 nếu muốn tiếp tục luyện phản xạ. 
Nếu con học ngữ pháp, học từ Level 1. </t>
  </si>
  <si>
    <t>17/10: xếp lịch test tối thứ 3
18/10: đã xếp lịch test lại và gửi trả kết quả test, xếp lịch học thử lớp ngữ pháp bứt tốc 1-3 tối 2-4</t>
  </si>
  <si>
    <t xml:space="preserve">Hanh Lemonwater </t>
  </si>
  <si>
    <t>Minh Long</t>
  </si>
  <si>
    <t>0778574495</t>
  </si>
  <si>
    <t>Con ngoan hiền, lễ phép. Con tập trung tốt khi tham gia buổi test.
Tốc độ phản xạ: Khá ổn
Con có thể nghe và trả lời những câu hỏi giao tiếp cơ bản về tên, tuổi, nơi ở,.. tuy nhiên đối với câu hỏi về sở thích thì con chưa thể tự trả lời được mà sẽ cần cô hỏi những câu hỏi yes/no để trả lời.
Con biết cách sử dụng các cấu trúc câu cơ ban của con vào giao tiếp tuy nhiên con vẫn còn một số lỗi ngữ pháp với cách dùng của "there are" và "there is".
Đôi lúc con sử dụng từ lẻ để trả lời thay vì nói cả câu.
Con chưa mở rộng được nhiều ý tưởng khi trả lời các câu hỏi. 
Con phát âm rõ nhưng cần cải thiện thêm ngữ điệu và độ lưu loát.
Con có thể nắm được số từ 1-1 000 000 000.
Con thuộc bảng chữ cái nhưng có một số chữ cái con cần nhiều thời gian hơn một chút để suy nghĩ như chữ X, N, H.
Tốc độ đánh vần của con chưa được nhanh.
Con có vốn từ cơ bản về con vật, đồ vật, đồ dùng học tập, vị trí, thời gian...
Kĩ năng đọc hiểu ở mức cơ bản nhưng con cần cố gắng đọc kĩ hơn nữa các câu hỏi để đưa ra được câu trả lời đúng.
Con có thể trả lời được đúng 80% các câu hỏi của bài nghe.
Con cần rèn luyện thêm về từ vựng và ngữ pháp với chương trình : GTPX Level 4</t>
  </si>
  <si>
    <t>17/10: xếp lịch test chiều thứ 3
17/10: đã trae kết quả test chờ phụ huynh phản hồi</t>
  </si>
  <si>
    <t>Trang Nguyen</t>
  </si>
  <si>
    <t>84 93 470 30 89</t>
  </si>
  <si>
    <t>Quan tâm Lớp online 1 tháng</t>
  </si>
  <si>
    <t>17/10: gọi trao đổi và sắp xếp lịch test trong tuần
19/10: gọi lại ko nhu cầu, từ chối chỉ muốn học 1 tháng</t>
  </si>
  <si>
    <t>Hồ Thị Tân Duy</t>
  </si>
  <si>
    <t>Võ Hồ Diễm Quỳnh</t>
  </si>
  <si>
    <t>0943473252</t>
  </si>
  <si>
    <t>Con ngoan hiền, lễ phép. Con tập trung khi tham gia test.
Tốc độ phản xạ: Khá ổn
Con nghe hiểu tốt các câu hỏi của cô và trả lời được ở mức căn bản. Con có ý thức sử dụng câu đầy đủ khi giao tiếp.
Con cần biết cách mở rộng ý tưởng khi giao tiếp.
Có vốn từ cơ bản về các chủ đề: thông tin cá nhân, đồ dùng, màu sắc, hoạt động, động vật, đồ dùng học tập, vị trí, ...
Con phát âm rõ ràng, có chú ý tốt âm cuối, con cần cố gắng cải thiện thêm ngữ điệu và độ lưu loát.
Con nắm được đến chữ số hàng trăm, con chưa nắm được số thứ tự.
Con nắm được bảng chữ cái. Tốc độ đánh vần khá  nhanh.
Khả năng nghe hiểu và đọc hiểu của con khá tốt.
Con có thể trả lời được đúng hầu hết các câu hỏi liên quan đến các bài đọc và bài nghe tương đương trình độ Movers.
Con cần rèn luyện thêm về từ vựng và cấu trúc với chương trình GTPX Level 5</t>
  </si>
  <si>
    <t>17/10:đã gọi và trao đổi cụ thể về khoá học, mẹ sắp xếp lịch test sẽ báo lại và liên lạc lại trung tâm
19/10: xếp lịch test tối thứ 6
22/10: trả kq test, phụ huynh ko phản hồi</t>
  </si>
  <si>
    <t>Nguyễn  Hoàng Thư</t>
  </si>
  <si>
    <t>0774414430</t>
  </si>
  <si>
    <t>quan tâm lớp toeic</t>
  </si>
  <si>
    <t>17/10: gọi trao đổi về 2 khoá học GTPX ng lớn và toeic, bạn tham khảo sẽ báo lại muốn học offline</t>
  </si>
  <si>
    <t>Ngọc Lợi</t>
  </si>
  <si>
    <t>trần vũ quỳnh anh</t>
  </si>
  <si>
    <t>0905774155</t>
  </si>
  <si>
    <t>quan tâm lớp GTPX cho bạn lớp 2</t>
  </si>
  <si>
    <t>Con ngoan hiền, lễ phép. Con tập trung tốt khi tham gia buổi test.
Tốc độ phản xạ: Chưa được nhanh
Con có thể giao tiếp với các chủ đề về tên, tuổi, sức khỏe, con vật và màu sắc yêu thích, tuy nhiên khi cô hỏi về hoạt động yêu thích của con thì con chưa tự nói được.
Con chưa biết cách triển khi ý tưởng khi nói về một chủ đề.
Con ít dùng câu hoàn chỉnh đề nói, chủ yếu con dùng từ lẻ để trả lời các câu hỏi của cô.
Con cẩn cải thiện thêm phát âm, đặc biệt là các âm cuối, nối âm và ngữ điệu.
Con nắm được từ số 1-12, con chưa nắm được số thứ tự.
Con có vốn từ cơ bản về đồ dùng học tập, con vật, màu sắc,... tuy nhiên con chưa biết cách xác định vị trí và diễn đạt thời gian bằng Tiếng Anh.
Con cần cố gắng cải thiện thêm nhiều về kĩ năng đọc hiểu và nghe hiểu của con.
on cần rèn luyện thêm về từ vựng và ngữ pháp với chương trình : GTPX Level 1</t>
  </si>
  <si>
    <t>19/10: gọi điên chưa nghe máy
hẹn thứ 2 gọi lại xếp lịch test
23/10: xếp lịch test ca21h đang chờ mẹ phản hồi</t>
  </si>
  <si>
    <t>Nga Tran</t>
  </si>
  <si>
    <t>Nguyễn Hữu Phong</t>
  </si>
  <si>
    <t>0935547646</t>
  </si>
  <si>
    <t>Lớp NP cho 2 bạn</t>
  </si>
  <si>
    <t>Con ngoan hiền, lễ phép. Con tập trung tốt khi tham gia buổi test.
Tốc độ phản xạ: Chưa được nhanh
Con có thể giao tiếp với các chủ đề về tên, tuổi, sức khỏe, con vật và màu sắc yêu thích.
Con chưa biết cách triển khi ý tưởng khi nói về một chủ đề.
Con chưa dùng nhiều câu hoàn chỉnh để trả lời, sử dụng từ lẻ nhiều hơn.
Con cẩn cải thiện thêm phát âm, đặc biệt là các âm cuối, nối âm và ngữ điệu.
Con nắm được từ số 1-100, sai nhiều số như 12, 20, 50,.., con chưa nắm được số thứ tự.
Con đánh vần còn chậm, sai chữ H
Con cần cố gắng cải thiện thêm nhiều về kĩ năng đọc hiểu và nghe hiểu của con.
Con cần rèn luyện thêm về từ vựng và ngữ pháp với chương trình : GTPX Level 1/2 UP2</t>
  </si>
  <si>
    <t>19/10: gọi điên chưa nghe máy
hẹn thứ 2 gọi lại xếp lịch test
23/10:  xếp lịch test tối thu 5
27/10: trả kết quả test
30/10: mẹ hiểu sai về học phí nên mức học phí cao vượt sức của mẹ nên mẹ từ chối tham gia
7/12: mẹ liên hệ lại trao đổi khoá học cho bạn
xếp lich học với Phi Hồng</t>
  </si>
  <si>
    <t>Nguyễn Trần Thảo Uyên</t>
  </si>
  <si>
    <t>Con ngoan hiền, lễ phép. Con tập trung tốt khi tham gia buổi test.
Tốc độ phản xạ: Chưa được nhanh
Con có thể giao tiếp với các chủ đề về tên, tuổi, sức khỏe, con vật và màu sắc yêu thích.
Con chưa biết cách triển khi ý tưởng khi nói về một chủ đề.
Con chưa dùng nhiều câu hoàn chỉnh để trả lời, sử dụng từ lẻ nhiều hơn.
Con cẩn cải thiện thêm phát âm, đặc biệt là các âm cuối, nối âm và ngữ điệu.
Con nắm được từ số 1-100, con chưa nắm được số thứ tự.
Con có vốn từ cơ bản về đồ dùng học tập, con vật, màu sắc,... 
Con cần cố gắng cải thiện thêm nhiều về kĩ năng đọc hiểu và nghe hiểu của con.
Con cần rèn luyện thêm về từ vựng và ngữ pháp với chương trình : GTPX Level UP3</t>
  </si>
  <si>
    <t>19/10: gọi điên chưa nghe máy
hẹn thứ 2 gọi lại xếp lịch test
23/10:  xếp lịch test tối thu 5
27/10: trả kết quả test
30/10: mẹ hiểu sai về học phí nên mức học phí cao vượt sức của mẹ nên mẹ từ chối tham gia
7/12: gọi điện trao đổi lại về học phí và lớp học, lớp 1kem3 với Tuệ Giang, Bảo Lộc</t>
  </si>
  <si>
    <t>Van Quoc</t>
  </si>
  <si>
    <t xml:space="preserve">0931603379 </t>
  </si>
  <si>
    <t>Sinh viên, Mục tiêu toeic 450-550</t>
  </si>
  <si>
    <t>19/10: đã nt thông tin về khoá học</t>
  </si>
  <si>
    <t>Phạm Ngọc Kim Tuyến</t>
  </si>
  <si>
    <t>0908107485</t>
  </si>
  <si>
    <t>19/10: gửi thông tin về khoá học mẹ sẽ sắp xếp lịch test và báo lại sau
30/10: nt và gọi điện xếp lịch test mẹ từ chối</t>
  </si>
  <si>
    <t>Trần Thuỳ Dương</t>
  </si>
  <si>
    <t>0917467417</t>
  </si>
  <si>
    <t>20/10: gọi ko nghe máy, gọi lại sau</t>
  </si>
  <si>
    <t>bố Hưng</t>
  </si>
  <si>
    <t>0908606403-</t>
  </si>
  <si>
    <t>Con ngoan hiền, lễ phép. Con khá tập trung khi tham gia buổi test tuy nhiên đã hơi muộn rồi nên con hơi mệt.
Tốc độ phản xạ: Khá nhanh
Con có thể nghe và trả lời những câu hỏi giao tiếp cơ bản về tên, tuổi, nơi ở, động vật, vị trí,...
Con chưa áp dụng được nhiều cấu trúc ngữ pháp khi nói. Tuy nhiên, khi được sửa thì con áp dụng được khá nhanh.
Đôi lúc con sử dụng từ lẻ để trả lời thay vì nói cả câu.
Con có kiến thức thường thức khá rộng, mạnh dạn chia sẻ bằng tiếng Anh.
Con phát âm khá tự nhiên nhưng chưa được hay. Cần luyện thêm về độ chính xác, ngữ điệu và lưu loát.
Con có thể nắm được số từ 1-100,000.
Con thuộc bảng chữ cái. Tốc độ đánh vần khá tốt.
Kỹ năng nghe - hiểu rất tốt. Tuy nhiên kỹ năng đọc - hiểu chưa bằng kỹ năng nghe
Con cần rèn luyện thêm về từ vựng và ngữ pháp với chương trình: GTPX Level 1/2 UP3 hoặc đầu UP4</t>
  </si>
  <si>
    <t>19/10: xếp lịch test cho bạn sau khi trải nghiệm lớp npbt 1 tháng
để con chuyển sang lớp GTPX
23/10: đã trả kết quả test chưa thấy bố phản hồi
30/10: nt chưa tháy bố phản hồi</t>
  </si>
  <si>
    <t>Nguyễn Hoàng Thư</t>
  </si>
  <si>
    <t>Thầy Tuấn đưa về
KH người lớn</t>
  </si>
  <si>
    <t>21/10: xếp lịch test chiều thứ 7
26/10: đã trả kq test nhưng bạn quan tâm lớp toeic thì trung tâm chưa có lớp</t>
  </si>
  <si>
    <t>Trần Thị Thu Hà</t>
  </si>
  <si>
    <t>0905738202</t>
  </si>
  <si>
    <t xml:space="preserve">  </t>
  </si>
  <si>
    <t>21/10: gửi thông tin về khoá học mẹ sẽ sắp xếp lịch test và báo lại sau
24/10: bận gọi lại sau
31/10: gọi lại sau</t>
  </si>
  <si>
    <t>Nguyễn Thị Hải Yến</t>
  </si>
  <si>
    <t>0904073290</t>
  </si>
  <si>
    <r>
      <rPr>
        <rFont val="Cambria"/>
        <color theme="1"/>
        <sz val="11.0"/>
      </rPr>
      <t xml:space="preserve">Số check
</t>
    </r>
    <r>
      <rPr>
        <rFont val="Cambria"/>
        <b/>
        <color theme="1"/>
        <sz val="11.0"/>
      </rPr>
      <t>(Đợi mẹ rep tn trên Fanpage rồi gọi sau ạ)</t>
    </r>
  </si>
  <si>
    <t>21/10: gọi chưa nghe máy, nt chưa phản hồi
24/10: gọi bảo có gì liên lạc sau
31/10: từ chối, hp cao ko theo được</t>
  </si>
  <si>
    <t>Phuong Hau</t>
  </si>
  <si>
    <t>0975040618</t>
  </si>
  <si>
    <t>So check
Mẹ cmt trên FP</t>
  </si>
  <si>
    <t>21/10: gửi thông tin về khoá học mẹ sẽ sắp xếp lịch test và báo lại sau
24/10: gọi lại không nghe máy
31/10: nt ko phản hồi</t>
  </si>
  <si>
    <t>Mai Lam Thi Thuy</t>
  </si>
  <si>
    <t>Phạm Minh Hưng</t>
  </si>
  <si>
    <t>0905952181</t>
  </si>
  <si>
    <t xml:space="preserve">quan tâm lớp GTPX </t>
  </si>
  <si>
    <t>Con ngoan hiền, lễ phép. Con tập trung khi tham gia buổi test. Tuy nhiên chưa chủ động lắm khi nói tiếng Anh. 
Tốc độ phản xạ: Chưa nhanh vì vốn từ con còn hạn chế.
Con có thể giao tiếp với các chủ đề về tên, tuổi, sức khỏe, con vật và màu sắc yêu thích.
Con chưa biết cách triển khi ý tưởng khi nói về một chủ đề.
Con chưa dùng câu hoàn chỉnh để trả lời mà chru yếu là dùng từ lẻ.
Con cẩn cải thiện thêm phát âm, đặc biệt là các âm cuối, nối âm và ngữ điệu.
Con nắm được từ số 1-10, con chưa nắm được số thứ tự.
Con cần cố gắng cải thiện thêm nhiều về kĩ năng đọc hiểu và nghe hiểu của con.
Con cần rèn luyện thêm về từ vựng và ngữ pháp với chương trình : GTPX Level 1</t>
  </si>
  <si>
    <t>23/10: nt zalo và gửi thông tin  khoá học hẹn 25/10 gọi trao dổi cụ thể
30/10: hẹn đóng học phí để thứ 4 con bắt đầu học</t>
  </si>
  <si>
    <t>nguyễn văn an</t>
  </si>
  <si>
    <t>0349843281</t>
  </si>
  <si>
    <t>Bồi dưỡng SGK</t>
  </si>
  <si>
    <t>24/10: sdt ko liên lạc được</t>
  </si>
  <si>
    <t>mẹ Nhân</t>
  </si>
  <si>
    <t>nguyễn ngọc quế anh</t>
  </si>
  <si>
    <t>0934999965</t>
  </si>
  <si>
    <t>Con ngoan hiền, lễ phép. Con tập trung tốt khi tham gia buổi test.
Tốc độ phản xạ: Chưa được nhanh
Con có thể giao tiếp với các chủ đề về tên, tuổi, sức khỏe, con vật và màu sắc yêu thích.
Con chưa biết cách triển khi ý tưởng khi nói về một chủ đề.
Con có dùng câu hoàn chỉnh để trả lời, tuy nhiên với một số câu hỏi con còn sử dụng từ lẻ để trả lời.
Con cẩn cải thiện thêm phát âm, đặc biệt là các âm cuối, nối âm và ngữ điệu.
Con nắm được từ số 1-100, con chưa nắm được số thứ tự.
Con có vốn từ cơ bản về đồ dùng học tập, con vật, màu sắc,... tuy nhiên con chưa biết cách xác định vị trí và diễn đạt thời gian bằng Tiếng Anh.
Con cần cố gắng cải thiện thêm nhiều về kĩ năng đọc hiểu và nghe hiểu của con.
Con cần rèn luyện thêm về từ vựng và ngữ pháp với chương trình : GTPX Level 2</t>
  </si>
  <si>
    <t>24/10: hẹn lịch test tối thứ 4: 18h
25/10: đã nhắc lịch test tối nay
26/10: mẹ chốt nhưng hẹn thứ 2 đóng học phí</t>
  </si>
  <si>
    <t>em Lucy</t>
  </si>
  <si>
    <t>Con ngoan hiền, lễ phép. Con chưa thực sự tập trung khi tham gia buổi test. Còn phải cần mẹ nhắc nhở thêm. 
Tốc độ phản xạ: Khá nhanh
Con có thể nghe và trả lời những câu hỏi giao tiếp cơ bản về tên, tuổi, nơi ở, động vật, vị trí,...
Con chưa áp dụng được nhiều cấu trúc ngữ pháp khi nói. Tuy nhiên, khi được sửa thì con áp dụng được khá nhanh.
Đôi lúc con sử dụng từ lẻ để trả lời thay vì nói cả câu.
Con phát âm khá tự nhiên, có ngữ điệu. Cần luyện thêm về độ chính xác của một số âm khó như /th/, /dg/.
Con có thể nắm được số từ 1-100. Chưa nắm được số thứ tự.
Con thuộc bảng chữ cái. Tốc độ đánh vần khá tốt.
Kỹ năng nghe - hiểu rất tốt. Tuy nhiên kỹ năng đọc - hiểu chưa bằng kỹ năng nghe
Con cần rèn luyện thêm về từ vựng và ngữ pháp với chương trình: GTPX Level UP2</t>
  </si>
  <si>
    <t>30/10: xếp lịch test tối thứ 2
31/10: trả kq test</t>
  </si>
  <si>
    <t>Đặng Tuyết Trinh</t>
  </si>
  <si>
    <t>bảo anh</t>
  </si>
  <si>
    <t>0372633008</t>
  </si>
  <si>
    <t>Con ngoan hiền, lễ phép. Con rất tập trung khi tham gia buổi test.
Con rất nhanh nhẹn và tự tin.
Tốc độ phản xạ: Nhanh
Con có thể nghe và trả lời những câu hỏi giao tiếp cơ bản về tên, tuổi, nơi ở, động vật, vị trí, quê hương, gia đình...
Vốn từ tốt, Con áp dụng được khá nhiều cấu trúc ngữ pháp khi nói.
Con mở rộng được chủ đề giao tiếp, chủ động hỏi lại GV những câu hỏi khi giao tiếp.
Con phát âm khá tự nhiên, ngữ điệu hay.
Con có thể nắm được số từ 1 - X00,000. 
Con thuộc bảng chữ cái. Tốc độ đánh vần khá tốt.
Kỹ năng nghe - hiểu, đọc - hiểu tốt. Khi sai con biết chủ động sửa lại cho đúng khi được gợi ý.
Con nắm được thì: Hiện tại đơn, Hiện tại tiếp diễn, Quá khứ đơn, Tương lai đơn và Hiện tại hoàn thành.
Con cần rèn luyện thêm về từ vựng và ngữ pháp với chương trình: NPBT 1/2 Level 2</t>
  </si>
  <si>
    <t>24/10: gọi bận bào gửi thông tin về khoá học trên zalo, mẹ xếp lịch và gửi lịch test cho con sau
xếp lịch test tối thứ 2
25/10: trả kết quả test, mẹ cân nhắc sẽ phản hồi sau</t>
  </si>
  <si>
    <t>Ngô Nga</t>
  </si>
  <si>
    <t>0356025239</t>
  </si>
  <si>
    <t>25/10: gọi trao đổi và gửi thông tin về khoá học GTPX
31/10: nt và gọi dt ko phản hồi</t>
  </si>
  <si>
    <t>Chị Liên</t>
  </si>
  <si>
    <t>02363676922</t>
  </si>
  <si>
    <t>25/10: gọi trao đổi về khoá học GTPX, mẹ bảo sẽ chủ động liên lạc lại để test</t>
  </si>
  <si>
    <t>Nguyễn Lê</t>
  </si>
  <si>
    <t>0354511986</t>
  </si>
  <si>
    <t>27/10: gọi mẹ từ chối ko nhu cầu, cúp ngang</t>
  </si>
  <si>
    <t>Nguyễn Kim Tuyến</t>
  </si>
  <si>
    <t>0394805087</t>
  </si>
  <si>
    <t>27/10: cúp ngang</t>
  </si>
  <si>
    <t>Trần Thị Thanh Hải</t>
  </si>
  <si>
    <t xml:space="preserve"> 0387773246</t>
  </si>
  <si>
    <t>27/10: cúp ngang, bảo ko nhu cầu</t>
  </si>
  <si>
    <t>Hoa Nguyễn</t>
  </si>
  <si>
    <t>0906363778</t>
  </si>
  <si>
    <t>28/10: đã nt trao đổi zalo với phụ huynh</t>
  </si>
  <si>
    <t>Hương Phạm</t>
  </si>
  <si>
    <t>Trần Ngọc Khả Như</t>
  </si>
  <si>
    <t>0977475239</t>
  </si>
  <si>
    <t>con đang học 1-1 online Kyna vs gv bản ngữ</t>
  </si>
  <si>
    <t>28/10: xếp lịch test chiều thứ 7
28/10: chiều con ko vào test vì con ko chịu đổi chỗ học</t>
  </si>
  <si>
    <t>Nguyễn Hương Giang</t>
  </si>
  <si>
    <t>0906007057</t>
  </si>
  <si>
    <t>con đã học xong starter chuẩn bị lên mover, đang học ila trực tiếp</t>
  </si>
  <si>
    <t>29/10: đã gọi trao đổi và gửi thông tin hẹn tối gọi lại để xếp lịch test nhưng ko nghe máy
31/10: gọi ko nghe máy
9/11: gọi hẹn 3h gọi lại sau</t>
  </si>
  <si>
    <t>Nguyễn Phước Hưng</t>
  </si>
  <si>
    <t>Trần Vân Hà</t>
  </si>
  <si>
    <t>0983143643</t>
  </si>
  <si>
    <t>con học tại ames từ  lớp 2 đến nay nhưng phát âm ko tốt và ngữ pháp cungc thế</t>
  </si>
  <si>
    <t>Con ngoan hiền, lễ phép. Con tập trung tốt khi tham gia buổi test.
Tốc độ phản xạ: Nhanh
Con có thể giao tiếp với các chủ đề về tên, tuổi, sức khỏe, con vật và màu sắc yêu thích.
Chưa mạnh dạn lắm khi nói nhưng con đáp ứng được đủ giao tiếp cơ bản.
Con dùng được câu hoàn chỉnh để trả lời, áp dụng được các cấu trúc câu đơn. 
Con phát âm tự nhiên, có ngữ điệu.
Con nắm được từ số 1-1.000.000, con nắm được số thứ tự.
Con có vốn từ tốt.
Kỹ năng đọc hiểu và nghe hiểu của con rất tốt.
Con dùng được thì: Hiện tại đơn, tiếp diễn, Quá khứ đơn, tiếp diễn, Hiện tại hoàn thành, Tương lai đơn. Không có nhiều sai sót. 
Con cần rèn luyện thêm về từ vựng và ngữ pháp với chương trình: Ngữ pháp từ lộ trình điểm ngữ pháp bị động.</t>
  </si>
  <si>
    <t xml:space="preserve">30/10: xếp lịch test tối thứ 3 khung giờ 19h
1/11: trả kq test, mẹ cần thương thảo vs con, sẽ liên lạc sau
2/11: tuần sau nhác lịch demo và sắp xếp học thử cho con,
6/11: liên lạc lại, con muốn học trực tiếp nên mẹ từ chối
</t>
  </si>
  <si>
    <t>BS. Quỳnh</t>
  </si>
  <si>
    <t>0989247460</t>
  </si>
  <si>
    <t>30/10: đã nt zalo và đang trao đổi về khoá học
Mẹ bảo sắp xếp thời gian dc sẽ báo
31/10:  nt lại nhưng mẹ không phản hồi</t>
  </si>
  <si>
    <t>chị Thoại</t>
  </si>
  <si>
    <t>Trần Nguyên Huy</t>
  </si>
  <si>
    <t>0989288159</t>
  </si>
  <si>
    <t>Con ngoan hiền, lễ phép. Con tập trung chưa tốt khi tham gia buổi test.
Tốc độ phản xạ: Chưa được nhanh. Con nói quá nhỏ nên rất khó nghe được hết ý của con.
Con có thể giao tiếp với các chủ đề về tên, tuổi, sức khỏe, con vật và màu sắc yêu thích.
Con chưa biết cách triển khi ý tưởng khi nói về một chủ đề.
Con chưa dùng được câu hoàn chỉnh nhiều. Chủ yếu sử dụng từ lẻ khi trả lời.
Con cần cải thiện thêm phát âm, đặc biệt là các âm cuối, nối âm và ngữ điệu.
Con nắm được từ số 1-100, còn mắc lỗi với các số 12 và 20.
Con có vốn từ còn hạn chế về đồ dùng học tập, con vật, màu sắc,...
Con cần cố gắng cải thiện thêm nhiều về kĩ năng đọc hiểu và nghe hiểu.
Con cần rèn luyện thêm về từ vựng và ngữ pháp với chương trình : GTPX Level 1</t>
  </si>
  <si>
    <t>31/10: xếp lịch test tối thứ 3
1/11: trả kết quả test, mẹ bận chưa trao đổi được nhiều
2/11: bố thiên học trực tiếp nhiều hơn ko muốn con học onl nhiều</t>
  </si>
  <si>
    <t>mẹ Liên</t>
  </si>
  <si>
    <t>0832588592</t>
  </si>
  <si>
    <t>1/11: gửi thông tin về khoá học để mẹ nắm thông tin và sẽ liê lạc xếp lịch test sau</t>
  </si>
  <si>
    <t>mẹ Thư</t>
  </si>
  <si>
    <t>0909752540</t>
  </si>
  <si>
    <t>1/11: gửi thông tin về khoá học và để mẹ cân đối và xếp lịch test cho con
2/11: bố đang cân đối và không đồng ý trao đổi tiếp</t>
  </si>
  <si>
    <t>Hằng Võ</t>
  </si>
  <si>
    <t>Lê Võ Ninh</t>
  </si>
  <si>
    <t>0935227232</t>
  </si>
  <si>
    <r>
      <rPr>
        <rFont val="Cambria"/>
        <color rgb="FFFF0000"/>
        <sz val="11.0"/>
      </rPr>
      <t xml:space="preserve">"Con ngoan hiền, lễ phép.
Con tập trung khi tham gia buổi test.
Tốc độ phản xạ: Khá
</t>
    </r>
    <r>
      <rPr>
        <rFont val="Cambria"/>
        <color rgb="FFFF0000"/>
        <sz val="11.0"/>
      </rPr>
      <t>Con có thể nghe và trả lời những câu hỏi giao tiếp cơ bản tuy nhiên cấu trúc câu của con sử dụng chưa đúng.</t>
    </r>
    <r>
      <rPr>
        <rFont val="Cambria"/>
        <color rgb="FFFF0000"/>
        <sz val="11.0"/>
      </rPr>
      <t xml:space="preserve">
</t>
    </r>
    <r>
      <rPr>
        <rFont val="Cambria"/>
        <color rgb="FFFF0000"/>
        <sz val="11.0"/>
      </rPr>
      <t>Con cần luyện thêm về phát âm cả độ chính xác, ngữ điệu, lưu loát và nối âm.</t>
    </r>
    <r>
      <rPr>
        <rFont val="Cambria"/>
        <color rgb="FFFF0000"/>
        <sz val="11.0"/>
      </rPr>
      <t xml:space="preserve">
Con nắm được bảng chữ cái và đánh vần được các từ với tốc độ vừa phải.
Tuy nhiên con còn nhầm lẫn cách đọc chữ cái ví dụ như chữ J và Z
Con có thể nắm được số từ 1-1000. 
Con chưa nắm được số thứ tự.
Con dùng được một số cấu trúc câu cơ bản.
Con có vốn từ cơ bản về con vật, đồ vật, vị trí, thời gian, môn thể thao, so sánh,...
</t>
    </r>
    <r>
      <rPr>
        <rFont val="Cambria"/>
        <color rgb="FFFF0000"/>
        <sz val="11.0"/>
      </rPr>
      <t>Con có thể đọc hiểu và trả lời được chính xác một số câu hỏi nhưng vẫn còn một số câu con chưa hiểu được câu hỏi dẫn đến trả lời nhầm hoặc chưa trả lời được.
Con chưa nắm chắc kiến thức về các thì.</t>
    </r>
    <r>
      <rPr>
        <rFont val="Cambria"/>
        <color rgb="FFFF0000"/>
        <sz val="11.0"/>
      </rPr>
      <t xml:space="preserve">
Con cần rèn luyện thêm về từ vựng và ngữ pháp với chương trình GTPX Level: UP 2. "</t>
    </r>
  </si>
  <si>
    <t>30/6 Mẹ ib fanpage hỏi về khóa có video lồng tiếng
Đã gọi tư vấn trao đổi. con học trường SKYLINE đang học tiếng anh tại trường.  thứ 2 gọi lại để sắp xếp lịch test
3/7: gọi con nghe máy gọi lại sau
6/7: xếp lịch test lúc 16h
7/7: đã trả kq test, mẹ đang cân nhắc
11/7: mẹ chốt lớp học, chờ ck học phí
5/11 Mẹ liên hệ lại trên FP</t>
  </si>
  <si>
    <t>Pa Pham</t>
  </si>
  <si>
    <t>0905182405</t>
  </si>
  <si>
    <t>6/11: gửi thông tin về khoá học cho mẹ. xếp lịch test 
9/11: gọi nhưng mẹ bận mẹ bảo sẽ liên lạc lại sau ko nên gọi nhiều mẹ thấy khá phiền</t>
  </si>
  <si>
    <t>smarklooer</t>
  </si>
  <si>
    <t>Cao Tuệ Giang</t>
  </si>
  <si>
    <t>0943725025</t>
  </si>
  <si>
    <t>Con ngoan hiền, lễ phép. Con tập trung khi tham gia test.
Tốc độ phản xạ: Khá ổn
Con nghe hiểu cơ bản các câu hỏi của cô và trả lời được ở mức căn bản. Tuy nhiên đôi lúc con chưa hiểu rõ được yêu cầu của cô.
Con có ý thức sử dụng câu đầy đủ để trả lời tuy nhiên đôi lúc con còn hơi nhầm lẫn trong việc sử dụng các cấu trúc câu. 
Con nắm được tốt bảng chữ cái và có khả năng đánh vần tốt.
Con nắm được từ số 1-100.
Con chưa nắm chắc về số thứ tự.
Con có vốn từ cơ bản về các chủ đề giao tiếp cơ bản như thông tin cá nhân, bạn bè, gia đình, con vật, đồ dùng học tập, màu sắc,... tuy nhiên con còn hơi nhầm lẫn một chút về các từ vựng chỉ vị trí. Con cần luyện tập thêm cách diễn đạt về giờ.
Con cần được điều chỉnh thêm về phát âm bao gồm độ chính xác, ngữ điệu và lưu loát.
Con có kĩ năng nghe và đọc hiểu ở mức căn bản mức độ level 3
Con cần rèn luyện thêm về từ vựng và cấu trúc với chương trình GTPX 1/2 Level 3.</t>
  </si>
  <si>
    <t>6/11: xếp lịch test tối thứ 2</t>
  </si>
  <si>
    <t>Đặng Văn Khải</t>
  </si>
  <si>
    <t>0779 565 469</t>
  </si>
  <si>
    <t>Bạn tập trung tốt khi tham gia buổi test.
Tốc độ phản xạ: Còn chậm
Bạn có thể nghe và trả lời những câu hỏi giao tiếp cơ bản về tên, tuổi, nơi ở,... tuy nhiên bạn chưa biết cách triển khai ý tưởng khi nói về một chủ đề.
Đôi khi bạn chưa hiểu được câu hỏi từ phía cô giáo.
Bạn cố gắng sử dụng câu hoàn chỉnh để nói tuy nhiên cấu trúc câu và từ vựng còn hạn chế, Chủ yếu bạn hình thành câu bằng cách ghép từ.
Bạn cần cải thiện nhiều về phát âm bao gồm độ chính xác, lưu loát, ngữ điệu và nối âm.
Bạn có thể nắm được từ số 1-100.
Bạn nắm được cơ bản số thứ tự nhưng nắm chưa chắc.
Bạn thuộc bảng chữ và đánh vần với tốc độ ổn.
Bạn có vốn từ cơ bản về con vật, đồ vật, đồ dùng học tập,... nhưng chưa nắm được từ vựng chỉ vị trí và cách nói về thời gian.
Kĩ năng đọc hiểu và nghe hiểu của bạn còn khá căn bản, chủ yếu là do bạn thiếu từ vựng nên còn gặp khó khăn trong việc làm các bài nghe và đọc.
Bạn cần học lại giao tiếp từ đầu.</t>
  </si>
  <si>
    <t>7/11: xếp lịch test chiều thứ 4 
8/11: trả kq test, bạn chưa phản hồi
13/11: bạn muốn học giao tiếp nhưng có thể thi có lấy chứng chỉ toeic</t>
  </si>
  <si>
    <t>mẹ Phước</t>
  </si>
  <si>
    <t>Minh Đăng</t>
  </si>
  <si>
    <t>0973809037</t>
  </si>
  <si>
    <t>8/11: dt trao đổi, mẹ tìm lớp offline cho con vì tuổi con còn nhỏ chưa phù hợp học onl</t>
  </si>
  <si>
    <t>Anh Tiến</t>
  </si>
  <si>
    <t>0905686582</t>
  </si>
  <si>
    <t>10/11: trao đổi thông tin về khoá học, bố cần trao đổi thêm vs mẹ, có gì sẽ phản hồi
13/11: nt gọi nhưng bố bảo 2vc đang thương thảo
2/12: bố phản hồi là hiện tại sẽ thiên về cho con học trực tiếp, khi nào có khu cầu bố sẽ liên lạc sau</t>
  </si>
  <si>
    <t>Anh Xuân Quy</t>
  </si>
  <si>
    <t>Phúc Nguyên</t>
  </si>
  <si>
    <t>983205139</t>
  </si>
  <si>
    <t>10/11: đã gọi trao đổi, bố xem lịch và hẹn xếp lịch test sang tuần</t>
  </si>
  <si>
    <t>bố Phạm Dương</t>
  </si>
  <si>
    <t>Phạm Nguyễn Bằng Lăng</t>
  </si>
  <si>
    <t>0982.858.540
( sdt mẹ)</t>
  </si>
  <si>
    <t>Con ngoan hiền, lễ phép. Con khá tập trung khi tham gia test.
Tốc độ phản xạ: Khá ổn
Con nghe hiểu câu hỏi và trả lời tốt. Con có ý thức sử dụng câu đầy đủ và áp dụng được ngữ pháp, cấu trúc câu vào giao tiếp.
Con phát âm rõ ràng, tuy nhiên con cần cải thiện thêm về ngữ điệu và nối âm.
Có vốn từ cơ bản về các chủ đề: thông tin cá nhân, đồ dùng, màu sắc, hoạt động, động vật, vị trí, tuy nhiên con còn lúng túng nhẹ khi nói diễn đạt cách nói giờ kém.
Con nắm được số từ 1 - 100
Con nắm được cơ bản số thứ tự.
Con nắm được bảng chữ cái. Tốc độ đánh vần khá nhanh.
Khả năng đọc hiểu của con khá tốt và con có thể làm được đúng gần hết các câu hỏi đọc hiểu trong bài test.
Tuy nhiên con cần cố gắng cải thiện thêm khả năng nghe hiểu của con.
Con cần rèn luyện thêm về từ vựng và cấu trúc với chương trình GTPX 1/2 Level 4</t>
  </si>
  <si>
    <t>13/11: xếp lịch test lúc 18h15 thư 2
14/11: trả kq test, bố về bàn với mẹ mai liên lạc lại</t>
  </si>
  <si>
    <t>chị Vân Trương</t>
  </si>
  <si>
    <t>14/11: Gọi điện và trao đổi với mẹ đã kb zalo và gửi thôg tin</t>
  </si>
  <si>
    <t>nguyễn Hường</t>
  </si>
  <si>
    <t>Nguyễn Đức Nhật Huy</t>
  </si>
  <si>
    <t>0987102184</t>
  </si>
  <si>
    <t>Con ngoan hiền, lễ phép. Con tập trung khi tham gia test.
Tốc độ phản xạ: Nhanh
Con nghe hiểu câu hỏi và trả lời tốt. Con có ý thức sử dụng câu đầy đủ và áp dụng được ngữ pháp, cấu trúc câu vào giao tiếp.
Con phát âm rõ ràng, tự nhiên.
Có vốn từ khá tốt về các chủ đề: thông tin cá nhân, đồ dùng, màu sắc, hoạt động, động vật, vị trí, thời gian.
Con nắm được số từ 1 - 1 tỷ, số thứ tự.
Khả năng đọc hiểu, nghe hiểu tốt.
Nắm được tốt các thì tiếng Anh, con chỉ hơi khó khăn trong việc goi tên thì bằng tiếng Anh. 
Chưa nắm được câu bị động.
Con cần rèn luyện thêm với lớp VUI07</t>
  </si>
  <si>
    <t>15/11: xếp lịch test tối thứ 5 7h</t>
  </si>
  <si>
    <t>Lê Thị Hồng</t>
  </si>
  <si>
    <t>Đinh Thị Hạnh Dung</t>
  </si>
  <si>
    <t>0941560299</t>
  </si>
  <si>
    <t>16/11: xếp lịch test vào thứ 7 
18/11: bùng test, gọi điện nt nhưng ko phản hồi ạ</t>
  </si>
  <si>
    <t>Hồng Nguyễn</t>
  </si>
  <si>
    <t>0935745625</t>
  </si>
  <si>
    <t>16/11: gọi chưa nghe máy
20/11: gọi thuê bao
25/11: gọi trao đổi, hp cao nên mẹ cân nhắc sau</t>
  </si>
  <si>
    <t>Sâm Nguyễn</t>
  </si>
  <si>
    <t>Nguyễn Đức Việt</t>
  </si>
  <si>
    <t>Con ngoan hiền, lễ phép. Con tập trung khi tham gia test.
Tốc độ phản xạ: Khá ổn
Con nghe hiểu cơ bản các câu hỏi của cô và trả lời được ở mức căn bản. Tuy nhiên đôi lúc con chưa hiểu rõ được yêu cầu của cô.
Con có ý thức sử dụng câu đầy đủ để trả lời tuy nhiên đôi lúc con còn hơi nhầm lẫn trong việc sử dụng các cấu trúc câu, ví dụ như cấu trúc câu với từ "like".
Con nắm được tốt bảng chữ cái và có khả năng đánh vần tốt.
Con nắm được từ số 1-100.
Con nắm được về số thứ tự, nhưng lại quên cách đọc số "second"
Con có vốn từ cơ bản về các chủ đề giao tiếp cơ bản như thông tin cá nhân, bạn bè, gia đình, con vật, đồ dùng học tập, màu sắc,... tuy nhiên con còn hơi nhầm lẫn một chút về các từ vựng chỉ vị trí như giữa từ "under" và "in", "between". Con cần luyện tập thêm cách diễn đạt về giờ.
Con cần được điều chỉnh thêm về phát âm bao gồm độ chính xác, âm cuối, ngữ điệu và lưu loát.
Con có kĩ năng đọc khá ổn, ngang với trình độ level 3, tuy nhiên con cần cải thiện thêm kĩ năng nghe. Mặc dù đã được nghe hai lần nhưng con chỉ trả lời được đúng 30% số lượng câu hỏi liên quan đến bài nghe.
Con cần rèn luyện thêm về từ vựng và cấu trúc với chương trình GTPX 1/2 Level 3.</t>
  </si>
  <si>
    <t>17/11: xếp lịch test tối nay thứ 6 cho con
19/11: trả kq test, mẹ cần bàn với con và chồng có gì phản hồi sau
23/11: mẹ muốn cho bạn học thử với lớp.
xếp lớp học thử với beta và quỳnh như
28/11: gọi điện trả kq buổi học thử để chốt lớp học
28/11: chốt khoá học</t>
  </si>
  <si>
    <t>Phạm Hải Đăng</t>
  </si>
  <si>
    <t>20/11: gọi chưa nghe máy
gọi mẹ bận gửi thông tin khoá học và mẹ sẽ báo lại sau
23/11: gọi trao đỏi thêm nhưng mẹ từ chối, hp cao</t>
  </si>
  <si>
    <t>Nguyễn Bảo Hiền Trâm</t>
  </si>
  <si>
    <t>0397321434</t>
  </si>
  <si>
    <t>20/11: gọi chưa nghe máy
gọi nhưng cúp ngang</t>
  </si>
  <si>
    <t>MỸ Lê</t>
  </si>
  <si>
    <t>Vương Gia Hân</t>
  </si>
  <si>
    <t>Con ngoan hiền, lễ phép. Con tập trung khi tham gia buổi test.
Tốc độ phản xạ: Chưa được nhanh
Con trả lời được các câu hỏi cơ bản về màu sắc và con vật yêu thích của con, Tuy nhiên, với câu hỏi tên, con còn nhầm lẫn về cách trả lời. Con chưa biết cách triển khai ý tưởng khi nói về một chủ đề cụ thể. Với câu hỏi về hoạt động yêu thích, con chưa tự trả lời được thành ý mà chỉ có thể trả lời "yes/no" dựa trên câu hỏi gợi ý của cô. 
Đa phần con dùng từ lẻ để trả lời, con chưa sử dụng nhiều câu hoàn chỉnh.
Con cần cải thiện thêm phát âm bao gồm độ chính xác, độ lưu loát, ngữ điệu, nối âm và âm cuối. 
Con nắm được từ số 1 -12.
Chưa nắm được bảng chữ cái.
Con có vốn từ cơ bản về màu sắc, nhưng vốn từ về chủ đề đồ dùng học tập, con vật,.. còn khá hạn chế.
Con có khả năng nghe hiểu và đọc hiểu ngang khá tốt, ngang với trình độ Starter. 
Con cần rèn luyện thêm về từ vựng và cấu trúc câu với chương trình : GTPX Level 1/2 Starter.</t>
  </si>
  <si>
    <t>xếp lịch test tối thứ 2
21/11: trả kết quả test, mẹ chưa phản hồi
23/11: gọi mẹ không nghe máy
25/11: gọi mẹ trả lời mẹ bảo mẹ cân đối vì học phí cao quá mẹ muốn học 1 -4 nhưng trình độ con còn thấp không phù hợp nên mẹ cân nhắc thêm</t>
  </si>
  <si>
    <t>Hiếu Phạm</t>
  </si>
  <si>
    <t>0931916622</t>
  </si>
  <si>
    <t>20/11: gọi trao đổi và gửi thông tin về khoá học
22/11: gọi lại xếp lịch hẹn, mẹ từ chối vì học phí cao quá, nên mẹ không theo được</t>
  </si>
  <si>
    <t>Sk</t>
  </si>
  <si>
    <t>Mai Hải Uyên Nhi</t>
  </si>
  <si>
    <t>0931129777</t>
  </si>
  <si>
    <t>Con ngoan hiền, lễ phép. Con tập trung khi tham gia test.
Tốc độ phản xạ: Khánh nhanh
Con nghe hiểu cơ bản các câu hỏi của cô và trả lời được ở mức căn bản. Tuy nhiên con chưa mở rộng được chủ đề giao tiếp nhiều và còn ngập ngừng trong diễn đạt.
Con có ý thức sử dụng câu đầy đủ để trả lời tuy nhiên đôi lúc con còn hơi nhầm lẫn trong việc sử dụng các cấu trúc câu. 
Con có vốn từ khá tốt về các chủ đề giao tiếp cơ bản như thông tin cá nhân, bạn bè, gia đình, nơi ở, sở thích,.... Con cần luyện tập thêm cách diễn đạt về giờ.
Con phát âm khá hay, tự nhiên, có ngữ điệu.
Con nắm được các điểm ngữ pháp sau: Thì: Con nắm khá chắc được 2 thì: Hiện tại đơn và HT Tiếp diễn, Các thì Quá khứ đơn, Quá khứ tiếp diễn, Tương lai đơn và Hiện tại hoàn thành con nắm được khái niệm nhưng áp dụng chưa nhanh. 
Con nắm được dạng bị động, tuy nhiên chưa chắc chắn lắm. Bạn viết lại câu tốt nhưng tự nhận biết thì để chia bị động thì chưa tốt. 
Con cần rèn luyện Ngữ pháp từ Level 3 (NRU_101), giao tiếp từ Superminds Level 5</t>
  </si>
  <si>
    <t>20/11: gọi xếp lịch test cho con lúc 20h thứ  3
21/11: gửi kết quả test, chưa phản hồi
23/11: gọi điện trao đổi với mẹ, con ko thích học onl do bạn đã lớp 8 và nếu học 1 mình bạn không chịu, mẹ đang trao đổi với con vì học 1 mình học phí cao mẹ theo ko được
7/12: gọi trao đổi lại, con ko chịu học onl nên có gì mẹ liên lạc sau, tài chính mẹ lớp 1kem 3 hoặc 1kem4</t>
  </si>
  <si>
    <t>Diễm My</t>
  </si>
  <si>
    <t>Nguyễn Phúc Minh Khang</t>
  </si>
  <si>
    <t>MG</t>
  </si>
  <si>
    <t>035 2836 516</t>
  </si>
  <si>
    <t>21/11: xếp lịch test cho con vào chiều thứ 7 : 15h15
25/11: dt không nghe máy, nt không trả lời, bùng test
7/12: gọi nhưng mẹ cúp máy ngang</t>
  </si>
  <si>
    <t>Van Anh</t>
  </si>
  <si>
    <t>gia phúc</t>
  </si>
  <si>
    <t>0935879508</t>
  </si>
  <si>
    <t>Con ngoan hiền, lễ phép, vui vẻ, dễ thương. Con tập trung khi tham gia test.
Tốc độ phản xạ: Khá
Con nghe hiểu cơ bản các câu hỏi của cô và trả lời được ở mức căn bản. Tuy nhiên đôi lúc con chưa hiểu rõ được yêu cầu của cô.
Con chư có ý thức sử dụng câu đầy đủ để trả lời nhiều, đa số sử dụng từ đơn lẻ. Con còn hơi nhầm lẫn trong việc sử dụng các cấu trúc câu. 
Con nắm được bảng chữ cái nhưng đánh vần vẫn còn một chút nhầm lẫn.
Con nắm được từ số 1-100.000. Con nhầm lẫn một vài số lớn.
Con chưa nắm chắc về số thứ tự.
Con có vốn từ cơ bản về các chủ đề giao tiếp cơ bản như thông tin cá nhân, bạn bè, gia đình, con vật, đồ dùng học tập, màu sắc,... tuy nhiên con còn hơi nhầm lẫn một chút về các từ vựng chỉ vị trí. Con cần luyện tập thêm cách diễn đạt về giờ.
Con cần được điều chỉnh thêm về phát âm bao gồm độ chính xác, ngữ điệu và lưu loát.
Con có kĩ năng nghe và đọc hiểu ở mức căn bản mức độ level 3
Con cần rèn luyện thêm về từ vựng và cấu trúc với chương trình GTPX 1/2 Level 3.</t>
  </si>
  <si>
    <t>21/11: xếp lịch test cho con vào tối thứ 3, 20h30
22/11: trả kết quả test, nhưng lịch học của con bị cấn nên chưa ghép được với bất kì lớp nào, mẹ bảo sẽ chờ đến khi có lớp phù hợp với lịch học của con
5/12: trao đổi vẫn đang chờ lớp phù hợp, mẹ cân đối lớp 1kem3 và kem4, phù hợp với mẹ</t>
  </si>
  <si>
    <t>chị trâm</t>
  </si>
  <si>
    <t>Phan Ngọc Thiên Ân</t>
  </si>
  <si>
    <t>0935636910</t>
  </si>
  <si>
    <t>Con ngoan hiền, lễ phép. Con tích cực tham gia và buổi test  và tập trung.
Tốc độ phản xạ: Khá ổn
Con có thể nghe và trả lời những câu hỏi giao tiếp cơ bản về tên, tuổi, nơi ở, sở thích...
Con biết cách sử dụng các cấu trúc câu cơ ban của con vào giao tiếp tuy nhiên con vẫn còn một số lỗi ngữ pháp.
Con chưa mở rộng được nhiều ý tưởng khi trả lời các câu hỏi.
Phát âm của con rõ ràng, tự nhiên, tuy nhiên con cần cố gắng cải thiện thêm ngữ điệu và nối âm.
Con có thể nắm được số từ 1-100.
Con nắm được số thứ tự.
Con thuộc bảng chữ cái và có thể đánh vần tốt.
Con có vốn từ cơ bản về con vật, đồ vật, đồ dùng học tập, con vật, màu sắc,...Tuy nhiên con còn hơi nhầm lẫn một chút từ vựng chỉ vị trí như "in front of" và "next to", hoặc giữa "in front of" và "behind". Tuy nhiên, con chưa diễn đạt được giờ lẻ.
Kĩ năng đọc hiểu và nghe hiểu con khá ổn và con có thể trả lời được đúng gần hết các câu hỏi của cô.
Con cần rèn luyện thêm về từ vựng và ngữ pháp với chương trình: 1/2 level 3</t>
  </si>
  <si>
    <t>23/11: mẹ bảo bé đã đi học rồi,
xếp lịch test cho con vào lúc 20h thứ 6
25/11: trả kq test, mẹ bảo để mẹ cân đối và xếp lịch cho con, hiện tại tất cả các buổi tối con đều đi học nên chưa xếp được lịch
6/12: trao đổi lịch học, thì hiện tại mẹ vẫn chưa xếp được lịch. vì môn định nghỉ vẫn chưa học xong, có gì mẹ báo lịch lại sau</t>
  </si>
  <si>
    <t>Ngọc Tân Phú</t>
  </si>
  <si>
    <t>Ngô Ngọc Hân</t>
  </si>
  <si>
    <t>090 5463348</t>
  </si>
  <si>
    <t>học phát âm</t>
  </si>
  <si>
    <t>23/11: mẹ hẹn chuyển khoản chiều
23/11: xếp lịch test giao tiếp, 
24/11: trả kết quả test, tuy nhiên hiện tại lịch học của con đã kín, mẹ bảo nếu nhắc thêm lớp thêm thì con học không có hiệu quả vì con quá tải về chương trình và không có thời gian làm bài tập, nên mẹ sẽ để con học xong khoá phát âm rồi học lên sau</t>
  </si>
  <si>
    <t>Trinh Nguyễn</t>
  </si>
  <si>
    <t>Bảo Nguyên</t>
  </si>
  <si>
    <t>0935083153</t>
  </si>
  <si>
    <t xml:space="preserve">Con ngoan hiền, lễ phép, tự tin trong giao tiếp. 
Con rất tập trung khi tham gia test.
Con có thể nghe và trả lời các câu hỏi về các thông tin cơ bản như tên, tuổi, sở thích, tuy nhiên đôi lúc con chưa thực sự hiểu câu hỏi của cô. Con còn nhầm lẫn một số câu hỏi với nhau như "what does she like?" và "what does she look like?"
Tốc độ phản xạ: Còn chậm
Con khá mất thời gian để dịch câu hỏi từ Tiếng Anh của cô sang Tiếng Việt. Điều này làm giảm tốc độ phản xạ của con.
Con cần cải thiện nhiều về phát âm bao gồm độ chính xác, độ lưu loát, ngữ điệu và nối âm.
Con còn sử dụng chưa đúng động từu to be , đại từ và các cấu trúc ngữ pháp khi trả lời.
Có vốn từ còn hạn chế về: đồ dùng học tập, màu sắc, con vật,.. con chưa biết cách diễn đạt thời gian.
Con nắm được bảng chữ cái nhưng đọc sai cách đọc của chữ Z. Con đánh vần với tốc độ ổn.
Con nắm được từ số 1-100, chưa nắm chắc số thứ tự, đặc biệt là số 4th và số 5th.
Kĩ năng đọc hiểu và nghe hiểu của con ngang trình độ UP 3.
Con cần rèn luyện thêm về từ vựng và cấu trúc với chương trình GTPX Level 3. </t>
  </si>
  <si>
    <t>23/11: xếp lịch test tối thứ 6 lúc 19h
25/11: trả kết quả test, con không đồng ý học online nên mẹ đang thuyết phục, có gì mẹ sẽ liên lạc lại sau
7/12: gọi điện thoại trao đổi lại, mẹ từ chối tham gia học</t>
  </si>
  <si>
    <t>kio Pan</t>
  </si>
  <si>
    <t>Trần Kim Khánh Ngọc</t>
  </si>
  <si>
    <t>0905588248</t>
  </si>
  <si>
    <t xml:space="preserve">Con ngoan hiền, lễ phép, khá tự tin, dạn dĩ. 
Con khá tập trung khi tham gia test. 
Tốc độ phản xạ: Con nhanh nhẹn nhưng vốn từ chưa nhiều nên phản xạ chưa nhanh bằng tiếng Anh.
Con có nền tảng về phát âm, có ý thức phát âm cuối. Vẫn cần cải thiện thêm về độ chính xác, độ lưu loát, ngữ điệu và nối âm.
Con chưa sử dụng được nhiều cấu trúc câu. Đa phần có xu hướng dùng từ lẻ.
Có vốn từ chưa rộng về: đồ dùng học tập, màu sắc, con vật,...
Con nắm được bảng chữ cái.
Con nắm được từ số 1-10, các số hàng chục còn hơi nhầm lẫn và phản xạ chậm. 
Con đọc từ và đoạn văn chưa trôi chảy, còn gặp khó khăn trong việc nhận diện mặt chữ của các từ.
Con cần rèn luyện thêm về từ vựng và cấu trúc với chương trình GTPX Level UP2. </t>
  </si>
  <si>
    <t>24/11: gửi thông tin về khoá học, mẹ bảo để xem rồi phản hồi, đang làm ko tiện nghe máy
27/11: hẹn sang tuần tầm ngày 4/12 xếp lịch test cho con
4/12: xếp lịch test tối thứ 3 lúc 20h
6/12: trả kết quả test</t>
  </si>
  <si>
    <t>Phạm Lê Thanh Quỳnh</t>
  </si>
  <si>
    <t>Hoàng Minh</t>
  </si>
  <si>
    <t>0915856343</t>
  </si>
  <si>
    <t xml:space="preserve">Con ngoan hiền, lễ phép, chưa tự tin trong giao tiếp. 
Con khá tập trung khi tham gia test.
Con có thể nghe và trả lời các câu hỏi về các thông tin cơ bản như tên, tuổi, sở thích, tuy nhiên đôi lúc con cần khá nhiều thời gian để đáp lại giáo viên. 
Con có ngữ điệu khá tự nhiên, ý thức được âm cuối. Tuy nhiên, vẫn cần cải thiện thêm về phát âm bao gồm độ chính xác, độ lưu loát, ngữ điệu và nối âm.
Con chưa áp dụng được các cấu trúc ngữ pháp khi trả lời.
Có vốn từ tương đối về: đồ dùng học tập, màu sắc, con vật,.. con chưa biết cách diễn đạt thời gian.
Con nắm được bảng chữ cái nhưng còn nhầm lẫn chữ G và J. Con đánh vần với tốc độ ổn.
Con nắm được từ số 1-100,000,000, nắm được số thứ tự.
Con nghe-hiểu để làm bài tập khá tốt.
Kĩ năng đọc hiểu và nghe hiểu của con ngang trình độ UP 4. Tuy nhiên kỹ năng nói chưa đạt Level này.
Con cần rèn luyện thêm về từ vựng và cấu trúc với chương trình GTPX Level 1/2 UP3. </t>
  </si>
  <si>
    <t>24/11: kb zalo và đã gửi thông tin, chưa gọi được cho mẹ
27/11:  gọi trao đổi lại với mẹ, mẹ bảo học phí cao mẹ cân nhắc có gì mẹ báo
30/11: xếp lịch test cho con vào sáng 30/11
1/12: trả kq test
2/12: mẹ báo sẽ để qua năm hết đợt thi học kì sẽ cân đối và đk cho con học, chăm sóc sau</t>
  </si>
  <si>
    <t>Nguyễn An
vợ: Hân Nguyễn</t>
  </si>
  <si>
    <t>Nguyễn Hà My</t>
  </si>
  <si>
    <t xml:space="preserve">bó: 0905865866
mẹ: 0987656009 </t>
  </si>
  <si>
    <t>Con ngoan hiền, lễ phép. Con tập trung khi tham gia buổi test.
Tốc độ phản xạ: Chưa được nhanh
Con trả lời được các câu hỏi cơ bản về tên, tuổi, màu sắc và con vật yêu thích của con. Con chưa biết cách triển khai ý tưởng khi nói về một chủ đề cụ thể. Với câu hỏi về hoạt động yêu thích, con chưa tự trả lời được thành ý mà chỉ có thể trả lời "yes/no" dựa trên câu hỏi gợi ý của cô. 
Con có sử dụng câu hoàn chỉnh để trả lời tuy nhiên đôi khi con lại sử dụng từ lẻ.
Con cần cải thiện thêm phát âm bao gồm độ chính xác, độ lưu loát, ngữ điệu, nối âm và âm cuối. 
Con nắm được từ số 1 -12.
Con chưa thực sự nắm chắc bảng chữ cái và chưa đánh vần được.
Con có vốn từ cơ bản về màu sắc, con vật,... nhưng vốn từ về chủ đề đồ dùng học tập, vị trí còn khá hạn chế.
Con có khả năng nghe hiểu và đọc hiểu ngang khá tốt, ngang với trình độ Starter. 
Con cần rèn luyện thêm về từ vựng và cấu trúc câu với chương trình : GTPX Level 1/2 Starter.</t>
  </si>
  <si>
    <t>24/11: xếp lịch test cho con lúc 19h30
25/11: trả kết quả test, bố cán nhắc, có trao đổi với vợ nhưng chị không đồng ý cho con học onl vì bạn không tập trung và cảm thấy chưa phù hợp với con,
chăm sóc tiếp
30/11: bố chốt dk kem 2 cho con.
2/12: dời lịch demo sang thứ 2 tuần sau, đang trao đổi tiếp
6/12: xếp lịch học thử 1-1 tối thứ 6, sau đó trao đổi tiếp
9/12: dt bảo về trao đổi với vợ thứ 2 phản hồi
11/12: nt chăm sóc lại, bố hẹn tối bố phản hồi</t>
  </si>
  <si>
    <t>Phương Nhung</t>
  </si>
  <si>
    <t>0975326053</t>
  </si>
  <si>
    <t xml:space="preserve">Con ngoan hiền, lễ phép, chưa tự tin trong giao tiếp. 
Con khá tập trung khi tham gia test.
Con cần luyện thêm nhiều về kỹ năng nghe.
Tốc độ phản xạ: Còn chậm vì vốn từ của con hạn chế.
Con khá mất thời gian để dịch câu hỏi từ Tiếng Anh của cô sang Tiếng Việt. Điều này làm giảm tốc độ phản xạ của con.
Con cần cải thiện nhiều về phát âm bao gồm độ chính xác, độ lưu loát, ngữ điệu và nối âm.
Con còn sử dụng chưa đúng động từ to be , đại từ và các cấu trúc ngữ pháp khi trả lời.
Có vốn từ còn hạn chế về: đồ dùng học tập, màu sắc, con vật,.. con chưa biết cách diễn đạt thời gian.
Con nắm chưa tốt bảng chữ cái, đánh vần còn chậm.
Con nắm được từ số 1-10, các số hàng chục cao hơn con còn nhầm lẫn nhiều.
Kĩ năng đọc hiểu và nghe hiểu của con ngang trình độ UP1.
Con cần rèn luyện thêm về từ vựng và cấu trúc với chương trình GTPX Level UP1. </t>
  </si>
  <si>
    <t>27/11: gửi thông tin về khoá học và sắp xếp về lịch test của con
28/11: con tham gia test tối thứ 3\
30/11: trả kq test. mẹ đắn đo hp, muốn đóng thành từng tháng. cham sóc tiếp
2/12: trao đổi về p/a đóng từng tháng nhưng mẹ chưa phản hồi
5/12: gọi knm, nt ko phản hồi</t>
  </si>
  <si>
    <t>Phạm Thuỳ</t>
  </si>
  <si>
    <t>Trần Hải Châu</t>
  </si>
  <si>
    <t>0905313699</t>
  </si>
  <si>
    <t>Con ngoan hiền, lễ phép. Con tập trung khi tham gia test.
Con rất tích cực tương tác với giáo viên và chủ động hỏi lại các câu mà con chưa nghe rõ hoặc chưa thực sự hiểu.
Tốc độ phản xạ: Khá nhanh
Con nghe hiểu tốt các câu hỏi của cô và trả lời được ở mức căn bản. Con có ý thức sử dụng câu đầy đủ khi giao tiếp.
Con cũng biết cách mở rộng ý tưởng khi giao tiếp.
Có vốn từ tốt về các chủ đề: thông tin cá nhân, đồ dùng, màu sắc, hoạt động, động vật, đồ dùng học tập, vị trí, ... tuy nhiên con còn nhầm lẫn một chút giữa giới từ "under" và "in". Con chưa biết cách diễn đạt giờ lẻ.
Con phát âm rõ ràng, ngữ điệu tự nhiên, có chút ý âm cuối nhưng cần cải thiện thêm nối âm.
Con có ý thức sử dụng đúng hầu hết các cấu trúc câu, tuy nhiên đôi khi có một số lỗi ngữ pháp nhỏ.
Con nắm được từ số 1-100, con nắm được số thứ tự.
Con nắm được bảng chữ cái. Tốc độ đánh vần khá nhanh.
Khả năng nghe hiểu và đọc hiểu của con khá tốt.
Con có thể trả lời được đúng hầu hết các câu hỏi liên quan đến các bài đọc và bài nghe tương đương trình độ Movers.
Con cần rèn luyện thêm về từ vựng và cấu trúc với chương trình GTPX Level 5</t>
  </si>
  <si>
    <t>27/11: xếp lịch test tối thứ 2
28/11: trả kết quả test, mẹ chưa phản hồi hẹn tối gọi trao đổi với mẹ
4/12: xếp lịch đang trao đổi về lớp học phù hợp</t>
  </si>
  <si>
    <t>Mai Thị Thu Thảo</t>
  </si>
  <si>
    <t>Hồ Mai Gia Phúc</t>
  </si>
  <si>
    <t>0935272390</t>
  </si>
  <si>
    <t xml:space="preserve">Con ngoan hiền, lễ phép, khá tự tin, dạn dĩ. 
Con khá tập trung khi tham gia test.
Tốc độ phản xạ: Khá nhanh.
Con cần cải thiện nhiều về phát âm bao gồm độ chính xác, độ lưu loát, ngữ điệu và nối âm.
Con chưa sử dụng được nhiều câu, cấu trúc câu. Đa phần bạn dùng từ lẻ để trả lời.
Có vốn từ tương đối (so với độ tuổi) về: đồ dùng học tập, màu sắc, con vật,...
Con nắm chưa tốt bảng chữ cái, đánh vần còn chậm.
Con nắm được từ số 1-100, các số hàng chục còn hơi nhầm lẫn.
Kỹ năng nghe-hiểu khá tốt nhưng con chưa đọc được nhiều.
Con cần rèn luyện thêm về từ vựng và cấu trúc với chương trình GTPX Level UP1. </t>
  </si>
  <si>
    <t xml:space="preserve">28/11: xếp lịch test tối thứ 3 lúc 19h
30/11: chốt khoá học </t>
  </si>
  <si>
    <t>Ngân Khánh (Stella)</t>
  </si>
  <si>
    <t>0908576802</t>
  </si>
  <si>
    <t xml:space="preserve">Con ngoan hiền, lễ phép, khá tự tin, dạn dĩ. 
Con khá tập trung khi tham gia test. Tuy nhiên, mic lúc nghe được lúc không nghe được nên tốc độ phản xạ của con khá chậm.
Con có nền tảng về phát âm, có ý thức phát âm cuối. Vẫn cần cải thiện thêm về độ chính xác, độ lưu loát, ngữ điệu và nối âm.
Con chưa sử dụng được nhiều câu, cấu trúc câu. 
Con phân biệt được tốt các cấu trúc cơ bản như a/an, It/there is/are,...
Có vốn từ chưa rộng về: đồ dùng học tập, màu sắc, con vật,...
Con nắm được bảng chữ cái, tuy nhiên đánh vần chưa nhanh.
Con nắm được từ số 1-100, các số hàng chục còn hơi nhầm lẫn.
Kỹ năng nghe-hiểu khá tốt nhưng con chưa đọc được nhiều. Con đọc từ và đoạn văn chưa trôi chảy, còn gặp khó khăn trong việc nhận diện mặt chữ của các từ.
Con cần rèn luyện thêm về từ vựng và cấu trúc với chương trình GTPX Level 1/2 UP2. </t>
  </si>
  <si>
    <t>30/11: kết bạn zalo và gửi thông tin về khoá học, xếp lịch test
2/12: trả kq test, mẹ chưa phản hồi, chăm sóc tiếp
5/12: nt zalo chưa phản hồi, trưa gọi điện 
đã gọi điện: học phí cao, bố và mẹ đang thương thảo trung tâm khác với mức học phí tốt hơn
9/12: gọi lại trao đổi, mẹ từ chối vì với mức hp này cao mẹ và bố khó thu xếp để con theo học lâu dài</t>
  </si>
  <si>
    <t>Tiến</t>
  </si>
  <si>
    <t>0794730165</t>
  </si>
  <si>
    <t>30/11: gửi thông tin về khoá học và trao đổi xếp lịch test
5/12: gọi knm
6/12: gọi, p/h bảo để c xem lại thông tin có gì sẽ liên lạc sau
9/12: mẹ bảo sẽ liên lạc sau, mẹ bận nên cúp máy nhanh chưa kịp trao đổi</t>
  </si>
  <si>
    <t>Nguyễn Thị Hoài Thương</t>
  </si>
  <si>
    <t>0987094520</t>
  </si>
  <si>
    <t>30/11: sdt không có</t>
  </si>
  <si>
    <t>Kim Anh Lê</t>
  </si>
  <si>
    <t>0 93 565 23 86</t>
  </si>
  <si>
    <t>1/12: gọi cúp máy ngang
5/12: gọi lại cúp máy</t>
  </si>
  <si>
    <t>Lan Dung</t>
  </si>
  <si>
    <t xml:space="preserve"> 0702414207</t>
  </si>
  <si>
    <t>4/12: sdt không có</t>
  </si>
  <si>
    <t>Bao Tran Pham</t>
  </si>
  <si>
    <t>0333366066</t>
  </si>
  <si>
    <t>5/12: gọi trao đổi, mẹ tưởng lớp offline nên tìm hiểu do con chỉ mới 3,5 tuổi</t>
  </si>
  <si>
    <t>Nguyễn Ngọc Cát An</t>
  </si>
  <si>
    <t>Con ngoan hiền, lễ phép. Con tập trung tốt khi tham gia buổi test.
Tốc độ phản xạ: Khá ổn
Con có thể nghe và trả lời những câu hỏi giao tiếp cơ bản về tên, tuổi, nơi ở, sở thích...
Con biết cách sử dụng các cấu trúc câu cơ ban của con vào giao tiếp tuy nhiên con vẫn còn một số lỗi ngữ pháp, ví dụ với cấu trúc "like".
Con biết cách triển khai ý tưởng khi nói về một chủ đề cụ thể.
Con cần cải thiện thêm phát âm, ví dụ là âm /s/ thì con sẽ có xu hướng đọc thành âm /sh/, con cũng cần cải thiện thêm trọng âm từ, ngữ điệu, nối âm,...
Con có thể nắm được số từ 1-100, tuy nhiên con chưa nắm được số thứ tự.
Con thuộc bảng chữ cái và có thể đánh vần tốt.
Con có vốn từ cơ bản về con vật, đồ vật, đồ dùng học tập, vị trí, thời gian... tuy nhiên con hơi nhầm lẫn một chút giữa các giới từ chỉ vị trí.
Con có kĩ năng đọc hiểu khá ổn và có thể trả lời đúng hầu hết các câu hỏi của cô, ngang với trình độ UP4.
Con cần cố gắng cải thiện thêm kĩ năng nghe.
Con cần rèn luyện thêm về từ vựng và ngữ pháp với chương trình : GTPX Level 4</t>
  </si>
  <si>
    <t>5/12: gọi điện, nt zalo và xếp lịch test tối thứ 3, đang chốt giờ test
6/12: xếp lịch test lúc 9h tối thứ 4
7/12: trả kq test, p/h cân nhắc, muốn đóng hp theo tháng,
8/12: gọi trao đổi lại, mẹ vẫn đang lăn tăn học phí vì khá cao
9/12: gọi lại mẹ vẫn chỉ có thể trả theo tháng chứ đóng 1 lần mẹ ko tham gia được</t>
  </si>
  <si>
    <t xml:space="preserve">GTPX Starter </t>
  </si>
  <si>
    <t>Chị Hoa( fb Khoảng Lặng)</t>
  </si>
  <si>
    <t>Trần Mộc Trà</t>
  </si>
  <si>
    <t>0912848755</t>
  </si>
  <si>
    <t xml:space="preserve">Con ngoan hiền, lễ phép, chưa tự tin trong giao tiếp. 
Con khá tập trung khi tham gia test. Tuy nhiên, mic và cam đều không hoạt động tốt nên chưa quan sát được toàn bộ phản ứng của con.
Tốc độ phản xạ: Chưa nhanh.
Con có nền tảng về phát âm, có ý thức phát âm cuối. Vẫn cần cải thiện thêm nhiều về độ chính xác, độ lưu loát, ngữ điệu và nối âm.
Có vốn từ còn hạn chế về: đồ dùng học tập, màu sắc, con vật,.. 
Con nắm chưa tốt bảng chữ cái.
Con nắm được từ số 1-10
Con chưa biết đọc. Khả năng nghe hiểu chưa tốt lắm. 
Con cần rèn luyện thêm về từ vựng và cấu trúc với chương trình GTPX Level 1/2 Starter. </t>
  </si>
  <si>
    <t>5/12: nt zalo, gửi thông tin khoá học và xếp lịch test tối thứ 3
6/12: trả kq test, mẹ chọn lớp 1-2 lịch học 3-5-7</t>
  </si>
  <si>
    <t>Phạm Tuấn Anh</t>
  </si>
  <si>
    <t>0935181813</t>
  </si>
  <si>
    <t>5/12: gọi sdt thuê bao
6/12: gọi lại thuê bao</t>
  </si>
  <si>
    <t>Ngọc Anh</t>
  </si>
  <si>
    <t>Hoàng Lê Mai Chi</t>
  </si>
  <si>
    <t>0944555165</t>
  </si>
  <si>
    <t xml:space="preserve">Con ngoan hiền, lễ phép. Con rất tập trung khi tham gia test.
Tốc độ phản xạ: Nhanh
Con nghe hiểu tốt các câu hỏi của cô và trả lời được khá tốt. Con có ý thức sử dụng câu đầy đủ khi giao tiếp. Chủ động mở rộng được ý khi giao tiếp.
Có vốn từ tốt về: thông tin cá nhân, đồ dùng, màu sắc, hoạt động, động vật, đồ dùng học tập, vị trí, ... Chưa nắm chắc cách nói giờ.
Con phát âm rõ ràng, có chú ý tốt âm cuối, ngữ điệu tự nhiên, lưu loát.
Con nắm được đến chữ số x00.000.
Khả năng nghe hiểu và đọc hiểu của con rất tốt.
Con có thể trả lời được đúng hầu hết các câu hỏi liên quan đến các bài đọc và bài nghe tương đương trình độ Flyers.
Con dùng ngữ pháp một cách tự nhiên. Tuy nhiên chưa làm được bài tập dạng ngữ pháp, chưa phân tích được. 
Con cần luyện tập thêm với chương trình Toàn diện 2 ngữ pháp Level 1 + 1 giao tiếp Level 4. </t>
  </si>
  <si>
    <t>5/12: gửi thông tin khoá học, xếp lịch test tối thứ 4
7/12: trả kết quả test
8/12: chốt khoá học</t>
  </si>
  <si>
    <t>Raz</t>
  </si>
  <si>
    <t>Kim Chung</t>
  </si>
  <si>
    <t>Bùi Phạm Khôi Nguyên</t>
  </si>
  <si>
    <t>0987213765</t>
  </si>
  <si>
    <t>Trường hợp đặc biệt. Con học Razkids</t>
  </si>
  <si>
    <t>5/12: xêp lịch test tối thứ 4 lúc 19h
7/12: chị Yến trả kq test</t>
  </si>
  <si>
    <t>Nguyễn Hải Đăng</t>
  </si>
  <si>
    <t>0703511537</t>
  </si>
  <si>
    <t>toeic</t>
  </si>
  <si>
    <t xml:space="preserve">7/12: test trực tiếp tại trung tâm, báo hp theo 1-1 lớp GTPX
</t>
  </si>
  <si>
    <t>Nguyễn Huỳnh Ni</t>
  </si>
  <si>
    <t>0935103206</t>
  </si>
  <si>
    <t>7/12: gửi thông tin về khoá học, trao đổi xếp lịch test
9/12: dt mẹ bận, mẹ bảo sang tuần mẹ xếp lịch test sau</t>
  </si>
  <si>
    <t>chị Yến</t>
  </si>
  <si>
    <t>Nhật Nguyên</t>
  </si>
  <si>
    <t>935343464</t>
  </si>
  <si>
    <t>Con ngoan hiền, lễ phép. Con tập trung tốt khi tham gia buổi test.
Tốc độ phản xạ: Khá ổn
Con có thể giao tiếp với các chủ đề về tên, tuổi, sức khỏe, con vật và màu sắc yêu thích. 
Con chưa biết cách triển khi ý tưởng khi nói về một chủ đề.
Con có dùng câu hoàn chỉnh để trả lời, tuy nhiên với một số câu hỏi con còn sử dụng từ lẻ để trả lời.
Con cẩn cải thiện thêm phát âm tự nhiên, tuy nhiên cần cải thiện thêm độ chính xác, đặc biệt là các âm cuối, nối âm và ngữ điệu.
Con nắm được từ số 1-100, tuy nhiên con chưa nắm rõ cách đọc số 25. 
Con chưa nắm được số thứ tự.
Con có vốn từ cơ bản về đồ dùng học tập, con vật, màu sắc,... tuy nhiên con chưa biết cách xác định vị trí và diễn đạt thời gian bằng Tiếng Anh.
Con có kĩ năng đọc hiểu và ngang hiểu ngang với trình độ đầu UP 2.
Con cần rèn luyện thêm về từ vựng và ngữ pháp với chương trình : GTPX Level 2</t>
  </si>
  <si>
    <t>7/12: xếp lịch test tối thứ 6 19h30
8/12: trả kq test, mẹ chưa nghe máy, tối gọi sau
9/12: gọi trả kết quả test, nhunge hiện tại Nguyên không chịu học, mẹ bảo sẽ trao đổi lại với con và có gì sẽ thông báo lại
15/12: nt trao đổi với mẹ, có thể xếp buổi học thử để mẹ có thể cân nhắc</t>
  </si>
  <si>
    <t>mẹ LaLa</t>
  </si>
  <si>
    <t>Trịnh Ngọc Bình Nguyên</t>
  </si>
  <si>
    <t>0971221201</t>
  </si>
  <si>
    <t>Con ngoan hiền, lễ phép. Con tập trung khi tham gia test.
Tốc độ phản xạ: Chưa được nhanh
Con nghe hiểu và trả lời được các câu hỏi cơ bản của cô liên quan đến tên, tuổi, sở thích,.. Tuy nhiên, có một số câu hỏi con mà con cần phải được ai đó dịch sang Tiếng Việt thì con mới có thể trả lời được. Con chưa biết cách triển khai ý tưởng về một chủ đề cụ thể.
Con có ý thức sử dụng câu đầy đủ khi nói nhưng đôi lúc vẫn còn sử dụng câu lẻ để trả lời.
Có vốn từ cơ bản về các chủ đề giao tiếp cơ bản như thông tin cá nhân, đồ dùng học tập, con vật,..nhưng con chưa biết nhiều từ vựng chỉ vị trí, con còn nhầm lẫn giữa giới từ "under" và "in". Con chưa biết cách diễn đạt thời gian bằng Tiếng Anh.
Con cần được điều chỉnh thêm về phát âm bao gồm độ chính xác, ngữ điệu và lưu loát.
Con nắm được bảng chữ cái. Tốc độ đánh vần tương đối nhanh.
Con nắm được từ số 1 đến số hàng trăm nghìn. Tuy nhiên, con hơi mất thời gian để nhớ được cách đọc số 25. Con chưa nắm được số thứ tự.
Kỹ năng nghe-hiểu và đọc-hiểu ở mức độ đầu UP3.
Con cần rèn luyện thêm về từ vựng và cấu trúc với chương trình GTPX Level 3.</t>
  </si>
  <si>
    <t>8/12: xếp lịch test tối thứ 6 lúc 20h15
9/12: trả kq test, mẹ cân nhắc lớp 1kem2, mẹ cần xếp lịch học lại sẽ thông báo sau
11/12: me bảo tối mẹ sẽ nt lại
15/12: nt gửi cho mẹ ct ưu đãi đặc biệt tháng 12 để mẹ cân nhắc
21/12: đã nt lại nhắc về ct ưu đãi tháng 12</t>
  </si>
  <si>
    <t>Diễm Xù</t>
  </si>
  <si>
    <t>0905321226</t>
  </si>
  <si>
    <t>11/12: gọi knm, nt zalo chưa phản hồi</t>
  </si>
  <si>
    <t>Mẹ Lan</t>
  </si>
  <si>
    <t>Lê Nguyễn Minh Thư</t>
  </si>
  <si>
    <t>982190195</t>
  </si>
  <si>
    <t>Mẹ có 2 con, quan tâm lớp vườn ươm</t>
  </si>
  <si>
    <t>Con ngoan hiền, lễ phép. Con tập trung tốt khi tham gia buổi test.
Tốc độ phản xạ: Khá nhanh. Con nói khá tự nhiên và có thể hiểu tốt được những câu hỏi và trả lời ổn.
Con có thể nghe và trả lời những câu hỏi giao tiếp cơ bản về tên, tuổi, nơi ở, sở thích,..
Phát âm của con khá ổn tuy nhiên con cần chú ý các âm cuối và nối âm.
Con có thể nắm được số từ 1-10 000
Con nắm được số thứ tự
Con thuộc bảng chữ cái và có thể đánh vần tốt.
Con có vốn từ cơ bản về con vật, đồ vật, môn thể thao, so sánh,...
Con nắm được các kiến thức cơ bản về thì hiện tại đơn, hiện tại tiếp diễn, thì quá khứ đơn, thì hiện tại hoàn thành...
Con cần rèn luyện thêm về từ vựng và ngữ pháp với chương trình : GTPX Level 4</t>
  </si>
  <si>
    <t>27/6: đã gọi điện, kết bạn zalo và sắp xếp lịch test
4/7: đã theo chăm sóc mấy hôm, chốt lịch cho con học thử lớp vườn ươm 06 2 buổi để mẹ cân nhắc
19/7: trao đổi với mẹ cho con làm bài test để phân lớp vườn ươm
23/7: xếp lớp cho con học thử 2 buổi lớp VUI 07, 
1/8: trao đổi với mẹ, mẹ thấy không phù hợp với con do lớp đã học nên con thấy ko hoà nhập và ko theo kịp dc</t>
  </si>
  <si>
    <t>Lê Tiến Đại Phong</t>
  </si>
  <si>
    <t>mẹ quan tâm lớp luyện nghe và nói cho con</t>
  </si>
  <si>
    <t>Con ngoan hiền, lễ phép. Con tập trung tốt khi tham gia buổi test. Tuy nhiên mạng rất yếu nên chưa được kịp thời trong phản ứng
Tốc độ phản xạ: Chưa nhanh. Con còn gặp khó khăn trong việc nghe hiểu và định hình câu trả lời trong đầu trước khi nói.
Con có thể nghe và trả lời những câu hỏi giao tiếp cơ bản về tên, tuổi, nơi ở, sở thích,... Chưa phát triển được chủ đề giao tiếp. Chưa chủ động đặt câu hỏi.
Con có ý thức về phát âm cuối nhưng ngữ điệu chưa hay và cần luyện thêm về lưu loát.
Con có thể nắm được số từ 1-100.000.000. Còn nhầm lẫn các số hàng chuc.
Con nắm được số thứ tự nhưng chưa nhanh.
Con thuộc bảng chữ cái và có thể đánh vần  khá tốt. Còn nhầm J và G.
Con có vốn từ cơ bản về con vật, đồ vật, môn thể thao,..
Con nắm được các kiến thức cơ bản về thì hiện tại đơn, hiện tại tiếp diễn, thì tương lai đơn ở mức làm BT ngữ pháp nhưng chưa vận dụng vào nói được.
Con cần rèn luyện thêm về từ vựng và ngữ pháp với chương trình: GTPX Level 4</t>
  </si>
  <si>
    <t>27/6: đã gọi điện, kết bạn zalo và sắp xếp lịch test
4/7: mẹ bảo sẽ sắp xếp cho bạn học sau
13/12: mẹ liên lạc lại tìm lớp học cho Đại Phong, xếp lịch test lúc 20h thứ 5
15/12: trả kq test, mẹ chốt lớp cho con học 1 kèm 2, tối 2-4-6:</t>
  </si>
  <si>
    <t>Thanh Thảo</t>
  </si>
  <si>
    <t>0702372710</t>
  </si>
  <si>
    <t>qt lớp ngư3x pháp</t>
  </si>
  <si>
    <t>14/12: gọi nhưng báo sdt không có. check lại</t>
  </si>
  <si>
    <t>Mệnh Trần</t>
  </si>
  <si>
    <t>0343077397</t>
  </si>
  <si>
    <t>4 tuổi, đã tiếp xúc vs tiếng anh</t>
  </si>
  <si>
    <t>16/12: con 4t đã kb zalo, mới đi học tiếng anh dc 3 tháng, nt zalo mẹ chưa phản hồi</t>
  </si>
  <si>
    <t>Trần Thanh Bình</t>
  </si>
  <si>
    <t>0905659757</t>
  </si>
  <si>
    <t>qt GTPX</t>
  </si>
  <si>
    <t>20/12: gọi knm, nt zalo chưa xác nhận
21/12: gọi p/h vẫn chưa nghe máy, gọi lại sau</t>
  </si>
  <si>
    <t xml:space="preserve">Quỳnh Trang </t>
  </si>
  <si>
    <t>qt khoá học tiếng anh cho con</t>
  </si>
  <si>
    <t>20/12: mẹ chủ động kb zalo tìm hiểu về khoá học tiếng anh cho con, đã gửi thông tin về khoá học, mẹ bảo để mẹ xem và trao đổi với con rồi xếp lịch test cho bạn sau
21/12: đã nt trao đổi lịch test, nhưng p/h bảo mẹ sẽ chủ động liên hệ để xếp lịch test</t>
  </si>
  <si>
    <t>Thương Phạm</t>
  </si>
  <si>
    <t>Minh Anh</t>
  </si>
  <si>
    <t>0932434438</t>
  </si>
  <si>
    <t>quan tâm lớp TA cho bé 9t</t>
  </si>
  <si>
    <t>25/12: nt zalo và gửi thông tin khoá học, mẹ hẹn hôm sau gọi trao đổi cụ thể xếp lịch test
26/12: gọi trao đổi cụ thể, mẹ hẹn sau 1/1 gọi mẹ xếp lịch test cho con, bận thi cuối kì nên hiện tại không tham gia test dc</t>
  </si>
  <si>
    <t>Thúy Hiền</t>
  </si>
  <si>
    <t>0942815091</t>
  </si>
  <si>
    <t>Data check</t>
  </si>
  <si>
    <t>27/12: mẹ từ chối trao đổi, gọi lại sau</t>
  </si>
  <si>
    <t>Minh Huyền</t>
  </si>
  <si>
    <t>0942320529</t>
  </si>
  <si>
    <t xml:space="preserve">27/12: gọi chưa nghe máy
28/12: gọi nghe máy, mẹ từ chối, con mẹ lớn rồi </t>
  </si>
  <si>
    <t>Châu Hoàng</t>
  </si>
  <si>
    <t>0349578526</t>
  </si>
  <si>
    <t>27/12: gọi chưa nghe máy
28/12: gọi chưa nghe máy</t>
  </si>
  <si>
    <t>Lê Hà Minh Thư</t>
  </si>
  <si>
    <t>0336409515</t>
  </si>
  <si>
    <t>qt lớp tiếng anh</t>
  </si>
  <si>
    <t>28/12: gọi thuê bao, gọi lại sau,
gọi ko nghe máy
29/12: nt zalo gửi thông tin khoá GT ng lớn</t>
  </si>
  <si>
    <t>Trần Thanh Tiên</t>
  </si>
  <si>
    <t>0327536607</t>
  </si>
  <si>
    <t>qt lớp tiếng anh 4 kĩ năng</t>
  </si>
  <si>
    <t xml:space="preserve">28/12: đã gọi và trao đổi thông tin về lớp GT ng lớn, xếp lịch test
</t>
  </si>
  <si>
    <t>Nguyễn Thị Xạ</t>
  </si>
  <si>
    <t>Thân Nguyễn Minh Nhật</t>
  </si>
  <si>
    <t>28/12: gửi thông tin khoá học, và xếp lịch test vào tối thứ 3 tuần sau</t>
  </si>
  <si>
    <t>Dung Nguyễn</t>
  </si>
  <si>
    <t>84945781886</t>
  </si>
  <si>
    <t>28/12: gọi ko nghe máy
29/12: gọi cúp ngang</t>
  </si>
  <si>
    <t>Mai Phạm</t>
  </si>
  <si>
    <t>84974416160</t>
  </si>
  <si>
    <t>28/12: gọi ko nghe máy</t>
  </si>
  <si>
    <t>Asbestos Hoài Thu</t>
  </si>
  <si>
    <t>84973040521</t>
  </si>
  <si>
    <t>28/12: gọi cúp ngang, ko nhu cầu</t>
  </si>
  <si>
    <t>Vân Khánh</t>
  </si>
  <si>
    <t>84915013984</t>
  </si>
  <si>
    <t>Vũ Thế Lộc</t>
  </si>
  <si>
    <t xml:space="preserve">84982070283 </t>
  </si>
  <si>
    <t xml:space="preserve">	Nguyễn Thắm</t>
  </si>
  <si>
    <t>84987251287</t>
  </si>
  <si>
    <t>Ngô Thu Huỳnh</t>
  </si>
  <si>
    <t>84973425731</t>
  </si>
  <si>
    <t>Cúc Hương</t>
  </si>
  <si>
    <t xml:space="preserve">84983923469 </t>
  </si>
  <si>
    <t>Hai Duong</t>
  </si>
  <si>
    <t>84975073221</t>
  </si>
  <si>
    <t>Minh Nguyên</t>
  </si>
  <si>
    <t>84987941205</t>
  </si>
  <si>
    <t>Ngocdungdl</t>
  </si>
  <si>
    <t>84903550940</t>
  </si>
  <si>
    <t>Hoai Tran</t>
  </si>
  <si>
    <t xml:space="preserve">84982907998 </t>
  </si>
  <si>
    <t>Trần Minh Thông</t>
  </si>
  <si>
    <t>Trần Ngọc Bảo Đan</t>
  </si>
  <si>
    <t>0905309558</t>
  </si>
  <si>
    <t>quan tâm lớp GTPX cho con</t>
  </si>
  <si>
    <t>2/1: gửi thông tin qua zalo và xếp lịch test lúc 7h30 thứ 4</t>
  </si>
  <si>
    <t>Thông tin khách hàng</t>
  </si>
  <si>
    <t>Kênh liên lạc</t>
  </si>
  <si>
    <t>Doanh thu</t>
  </si>
  <si>
    <t>chị Ánh đang chăm sóc</t>
  </si>
  <si>
    <t>Nick name</t>
  </si>
  <si>
    <t>Ngày tháng năm sinh</t>
  </si>
  <si>
    <t>SĐT</t>
  </si>
  <si>
    <t>Ngày thu phí</t>
  </si>
  <si>
    <t>Danh nghĩa</t>
  </si>
  <si>
    <t>Thực thu</t>
  </si>
  <si>
    <t>Huong Suri</t>
  </si>
  <si>
    <r>
      <rPr>
        <rFont val="Cambria"/>
        <color rgb="FF1155CC"/>
        <sz val="11.0"/>
        <u/>
      </rPr>
      <t>https://www.facebook.com/suri.huong.73</t>
    </r>
    <r>
      <rPr>
        <rFont val="Cambria"/>
        <sz val="11.0"/>
      </rPr>
      <t xml:space="preserve"> </t>
    </r>
  </si>
  <si>
    <t>11t</t>
  </si>
  <si>
    <t>CON mình 11t, mình muốn tư vấn về khóa học Vườn Ươm Ielts</t>
  </si>
  <si>
    <t>thuy</t>
  </si>
  <si>
    <t>Phonics fun</t>
  </si>
  <si>
    <t>9/5: Mẹ đồng ý học 1:2, đang tìm 1 bạn phù hợp
15/5: Mẹ đã chốt đăng ký theo lịch học 2-4-6, 19h. Cần chờ ghép với 1 bạn Up 1 rồi báo lại mẹ để chuyển khoản
26/5: gọi điện liên hệ lại với mẹ. Tư vấn cho mẹ khóa Phonics Fun. Mẹ đồng ý học UP 1 lớp 1 kèm 1. Mẹ muốn cho con học Phonis Fun trước rồi mới aans đăng ký lớp UP 1. Mẹ nói sang tuần mẹ chuyển khoản.
1/6: Tư vấn học ghép 1-2 nhưng con muốn học xong phonics fun</t>
  </si>
  <si>
    <t>Ngô hữu hiền</t>
  </si>
  <si>
    <t>Nguyễn Sơn (toeic)</t>
  </si>
  <si>
    <t>Chuyển học vụ xếp lớp</t>
  </si>
  <si>
    <t>Giao tiếp phản xạ</t>
  </si>
  <si>
    <t>Dung lê</t>
  </si>
  <si>
    <t>Huỳnh lê thảo my</t>
  </si>
  <si>
    <t>ngừng chăm sóc</t>
  </si>
  <si>
    <t>Mac Anh Phuoc</t>
  </si>
  <si>
    <r>
      <rPr>
        <rFont val="Cambria"/>
        <color rgb="FFFF0000"/>
        <sz val="11.0"/>
      </rPr>
      <t>11/5: Bé đang thi học kỳ nên chưa có thời gian test, hẹn hết tuần bé thi xong thì test</t>
    </r>
    <r>
      <rPr>
        <rFont val="Cambria"/>
        <color theme="1"/>
        <sz val="11.0"/>
      </rPr>
      <t xml:space="preserve">
13/5 hỏi lại bé thi xong chưa mẹ nói vẫn chưa, xong thì mẹ báo lại
17/05: Học sinh không hợp tác để test
14/6: goi bận đang đi ngoài đường cúp ngang. 
22/6: Bé không muốn học
</t>
    </r>
  </si>
  <si>
    <t>kim duyên</t>
  </si>
  <si>
    <t>14/12: gọi trao đổi xếp lịch test</t>
  </si>
  <si>
    <t>Chờ mẹ chuyển khoản</t>
  </si>
  <si>
    <t>10/7: Hẹn test</t>
  </si>
  <si>
    <t xml:space="preserve">bé đang học 1 tt khác, mẹ muốn tham khảo </t>
  </si>
  <si>
    <t>Gọi lại hỏi mẹ đã có kế hoạch sắp xếp học hè cho con chưa. và giới thiệu chương trình ưu đãi tháng 6</t>
  </si>
  <si>
    <t>Đã tư vấn khóa học và đề nghị ghép 2, mẹ nói để mẹ tham khảo rồi mẹ báo lại</t>
  </si>
  <si>
    <t>gọi lại vào ngày kế tiếp</t>
  </si>
  <si>
    <t>Cô Thanh Thân Thiện</t>
  </si>
  <si>
    <r>
      <rPr>
        <rFont val="Cambria"/>
        <color theme="1"/>
        <sz val="11.0"/>
      </rPr>
      <t xml:space="preserve">Muốn hỏi về buổi học thử 1 kèm 2
</t>
    </r>
    <r>
      <rPr>
        <rFont val="Cambria"/>
        <b/>
        <color theme="1"/>
        <sz val="11.0"/>
      </rPr>
      <t>Phụ huynh là giáo viên tiếng Anh cho trẻ em</t>
    </r>
  </si>
  <si>
    <t>Vu Thi Tuyen</t>
  </si>
  <si>
    <t>Quan tâm lớp Vườn ươm ielts, con đã học online 1 số trung tâm rồi, muốn đặt lịch test</t>
  </si>
  <si>
    <t>Phan Hoang</t>
  </si>
  <si>
    <t>dừng chăm sóc</t>
  </si>
  <si>
    <t>Ms Huyền 
Ba Tâm</t>
  </si>
  <si>
    <t>8t (thi xong lên lớp 3)</t>
  </si>
  <si>
    <t>Liên lạc xác nhận
KNM, GLS</t>
  </si>
  <si>
    <t>Tạm ngừng chăm sóc</t>
  </si>
  <si>
    <t>KHAI THÁC SAU</t>
  </si>
  <si>
    <t>Tran Lam An</t>
  </si>
  <si>
    <t>Long - 12 tuổi
Con ngoan hiền và có độ tập trung cao khi tham gia buổi test.
Con tích cực tương tác với cô.
Tốc độ phản xạ: khá tốt
Con có thể nghe và trả lời những câu hỏi giao tiếp cơ bản về tên, tuổi, nơi ở,...
Phát âm và giọng điệu của con khá tốt.
Con nghe hiểu và trả lời tốt các câu hỏi của cô. 
Con có thể nắm được số từ 1-10 000.
Con có những vốn từ khá rộng về các chủ đề: con vật, đồ vật,...
Con vẫn cần cải thiện thêm kiến thức ngữ pháp cơ bản.
Con cần rèn luyện thêm về từ vựng và ngữ pháp với chương trình : Vườn Ươm ielts level 2</t>
  </si>
  <si>
    <t>Gửi thông tin chuyển khoản</t>
  </si>
  <si>
    <t xml:space="preserve">8 tuổi </t>
  </si>
  <si>
    <r>
      <rPr>
        <rFont val="Cambria"/>
        <color theme="1"/>
        <sz val="11.0"/>
      </rPr>
      <t xml:space="preserve">hiện tại e đang theo học du lịch nhưng e đang bị mất gốc, muốn cải thiện tiếng Anh. Bạn đang cân nhắc thông tin lớp
</t>
    </r>
    <r>
      <rPr>
        <rFont val="Cambria"/>
        <b/>
        <color theme="1"/>
        <sz val="11.0"/>
      </rPr>
      <t>NHẮN TIN TRỰC TIẾP TRÊN FANPAGE</t>
    </r>
  </si>
  <si>
    <t>Ms Huyền</t>
  </si>
  <si>
    <t>Ngừng chăm sóc vì bé muốn học IELTS người lớn</t>
  </si>
  <si>
    <t xml:space="preserve">nguyễn bảo mai phương </t>
  </si>
  <si>
    <t>Dừng chăm sóc</t>
  </si>
  <si>
    <t>Lê Thị Hà Đông (Phương Linh VUI06 giới thiệu )</t>
  </si>
  <si>
    <t>chăm sóc sau</t>
  </si>
  <si>
    <t>Nhắn tin lại ưu đãi và thông tin lớp 1-2 có bạn ghép</t>
  </si>
  <si>
    <t>Sắp lớp cho Linh đan</t>
  </si>
  <si>
    <t xml:space="preserve">7 tuổi </t>
  </si>
  <si>
    <t>Anna</t>
  </si>
  <si>
    <t>Anna: Con ngoan hiền, lễ phép, chưa tự tin trong giao tiếp lắm. 
Con rất tập trung khi tham gia test.
Tốc độ phản xạ: Khá nhanh. Cần luyện thêm về cách phát triển chủ đề khi giao tiếp và đặt câu hỏi.
Con phát âm khá nhưng chưa xuất sắc, âm cuối và con nối âm cần được luyện thêm. 
Con nắm được số đếm và số thứ tự. 
Con nắm được bảng chữ cái nhưng chưa chắc chắn. Tốc độ đánh vần chưa nhanh.
Có vốn từ khá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Vườn ươm IELTS level 2 hoặc 1</t>
  </si>
  <si>
    <t>VUI + Phonics</t>
  </si>
  <si>
    <t>Minh Trang Ha Thi
Mẹ Gia Hân VUI08 giới thiệu</t>
  </si>
  <si>
    <t>"Mẹ nói giờ chỉ chat được thôi. Ko nói chuyện được nên e kết bạn chat với bạn thử nha"
Đã tư vấn các khóa xong, muốn tham khảo khóa 1:1 trong 45 phút. Đang học ở một trung tâm khác, đợi sắp xếp lịch để test</t>
  </si>
  <si>
    <t>Dang Thanh Trang
 Mẹ Gia Hân VUI08 giới thiệu</t>
  </si>
  <si>
    <t>Mẹ muốn cho con học trau dồi thêm ngữ pháp
Mẹ vẫn còn phân vân về việc học online</t>
  </si>
  <si>
    <t>gọi lại sau</t>
  </si>
  <si>
    <t>Sona Da (fb)</t>
  </si>
  <si>
    <t>Học ở trung tâm khác mẹ thấy không tiến bộ lắm nên muốn tham khảo Key Means</t>
  </si>
  <si>
    <t>Con ngoan hiền, lễ phép, khá tự tin trong giao tiếp. Biết cách mở rộng cuộc hội thoại. 
Con rất tập trung khi tham gia test.
Tốc độ phản xạ: Khá nhanh. Cần luyện thêm về cách phát triển chủ đề khi giao tiếp và đặt câu hỏi.
Con phát âm khá tốt nhưng chưa xuất sắc, âm cuối và con nối âm cần được luyện thêm. 
Con nắm được số đếm và số thứ tự. 
Con nắm được bảng chữ cái. Tốc độ đánh vần chưa nhanh.
Có vốn từ khá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Vườn ươm IELTS level 2.</t>
  </si>
  <si>
    <t>Đức</t>
  </si>
  <si>
    <t>ĐIỀN FORM PHONICs FUN</t>
  </si>
  <si>
    <t>Điền Form PHONICs FUN</t>
  </si>
  <si>
    <t>Khóa giao tiếp phản xạ (quan tâm về giá 88k)</t>
  </si>
  <si>
    <t>25/5: Đã gọi điện tư vấn VUI và phonics fun cho mẹ. Mẹ nói để mẹ xem học phí để cân đối cho con học
29/5: Nhắn tin lại cho mẹ về ưu đãi tháng 5 để mẹ gửi học phí.
30/5: Mẹ chốt hai khóa cho con: VUI + PHONICS FUN. Mẹ nói mai mẹ chuyển khoản.</t>
  </si>
  <si>
    <t>Phonics Fun
Vườn ươm IELTS</t>
  </si>
  <si>
    <t>GTPX người lớn 1-1 
học 50 buổi</t>
  </si>
  <si>
    <t>Báo Chỉ còn 2 suất</t>
  </si>
  <si>
    <t>GTPX Up3</t>
  </si>
  <si>
    <t>Hải Đăng - 9 tuổi
Con ngoan hiền, lễ phép, khá tự tin trong giao tiếp. 
Con giao tiếp bằng Tiếng Anh với cô khá trôi chảy và tự nhiên.
Con rất tập trung khi tham gia test.
Tốc độ phản xạ: Khá nhanh. 
Con phát âm khá tốt và nhấn âm rõ ràng. Con nói trôi chảy và biết cách mở rộng câu trả lời và biết cách mở rộng câu trả lời của con. Con cần chú ý hơn về các âm cuối của con.
Con nắm được số đếm từ 1 -10 000 và nắm được số thứ tự. 
Con nắm tốt bảng chữ cái và dễ dàng đánh vần được các từ.
Con có thể đọc tốt và trả lời đúng được hết các câu hỏi liên quan đến bài đọc.
Khả năng nghe của con khá tốt. Con có thể nghe ở tốc độ vừa phải và trả lời được hết các câu hỏi của cô.
Có vốn từ khá về các chủ đề: thông tin cá nhân, đồ dùng, màu sắc, hoạt động, động vật, so sánh, thể thao.... 
Con cần cải thiện thêm kiến thức về ngữ pháp.
Con cần rèn luyện thêm về từ vựng và cấu trúc với chương trình Vườn ươm IELTS level 2.</t>
  </si>
  <si>
    <t>Theo dõi</t>
  </si>
  <si>
    <t>theo dõi</t>
  </si>
  <si>
    <t>Hoài Thu (Phương linh giới thiệu)</t>
  </si>
  <si>
    <t>Thu tiếp 1/2 khóa còn lại với số tiền  2449k</t>
  </si>
  <si>
    <t xml:space="preserve">GTPX 25b </t>
  </si>
  <si>
    <t>31/5: gọi PH để hỏi giải đáp thêm cho PH</t>
  </si>
  <si>
    <t>TAKECARE SAU</t>
  </si>
  <si>
    <t>31/5: Nhắn mẹ hỏi thăm đã thuyết phục được bé chưa
1/6: Gọi hỏi mẹ đã thuyết phục được bé chưa
14/6: gọi  lại kb zalo và chia sẻ thêm</t>
  </si>
  <si>
    <t>Nhắc học phí</t>
  </si>
  <si>
    <t>Xuân Hiếu - 9 tuổi
Con ngoan hiền, lễ phép, dạn dĩ và tự tin. 
Con rất tập trung khi tham gia test.
Tốc độ phản xạ: Nhanh. Con giao tiếp tự tin với cô và có thể hiểu tốt và trả lời tốt những câu hỏi của cô.
Con phát âm chuẩn, nhấm âm tốt và con có âm cuối đầy đủ và con nối âm được. 
Con nói tự nhiên và trôi chảy.
Có vốn từ đa dạng về các chủ đề: thông tin cá nhân, đồ dùng, màu sắc, hoạt động, động vật, so sánh, thể thao.... 
Kiến thức ngữ pháp của con khá tốt. Con có thể nắm được kiến thức ngữ pháp về các thì và một chút ngữ pháp về câu bị động.
Con cần rèn luyện thêm về từ vựng và cấu trúc với chương trình Vườn ươm IELTS level 3</t>
  </si>
  <si>
    <t>Liên lạc lại mẹ sau khi bé thi xong</t>
  </si>
  <si>
    <t>15/6: gọi lại tư vấn sau và bk zalo</t>
  </si>
  <si>
    <t>thien</t>
  </si>
  <si>
    <t>Con ngoan hiền, lễ phép, dạn dĩ và tự tin. 
Con rất tập trung khi tham gia test.
Tốc độ phản xạ: Nhanh. Kỹ năng nghe - nói tốt.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Chưa chia được thì theo công thức nhưng con áp dụng được ngữ pháp khi nói.  
Con cần rèn luyện thêm về từ vựng và cấu trúc với chương trình Vườn ươm IELTS level 2</t>
  </si>
  <si>
    <t>Hoàn lại Học phí</t>
  </si>
  <si>
    <t>12 tuổi</t>
  </si>
  <si>
    <t>Điền form đăng ký Vườn Ươm IELTS =&gt; Liên hệ xin lịch test</t>
  </si>
  <si>
    <t>NGỪNG CHĂM SÓC</t>
  </si>
  <si>
    <t>Lớp 9: Tư vấn khóa học về phát âm (Phonics Fun và Giao tiếp phản xạ)</t>
  </si>
  <si>
    <t>29/5: Gởi chi tiết khóa học cho mẹ qua zalo, mẹ chưa phản hồi
30/5: Gởi chi tiết về khóa phonics fun mà vẫn chưa phản hồi
14/6: khách đã tìm được lớp học cho con</t>
  </si>
  <si>
    <t>Tư vấn khóa GIAO TIẾP PHẢN XẠ</t>
  </si>
  <si>
    <t>8tuoi</t>
  </si>
  <si>
    <t>GỌI LẠI SAU</t>
  </si>
  <si>
    <t>gọi lại sau: 15h 14/6</t>
  </si>
  <si>
    <t>bé Diệp</t>
  </si>
  <si>
    <t>31/5: gọi báo kết quả và tư vấn khóa học
20:00 thực hiện test
15/06 19h tối gọi  lại</t>
  </si>
  <si>
    <t xml:space="preserve">14/6: 19h tối gọi lại </t>
  </si>
  <si>
    <t xml:space="preserve">12h trưa gọi lại </t>
  </si>
  <si>
    <t>Haiyenvu</t>
  </si>
  <si>
    <t>31/5: gọi lại xếp lịch test
14/6: 7h tối gọi lại</t>
  </si>
  <si>
    <t>90 785 99 02</t>
  </si>
  <si>
    <t>Mẹ tên Hoa - người quen của Thầy</t>
  </si>
  <si>
    <t>1/6: báo kết quả test tư vấn level phù hợp</t>
  </si>
  <si>
    <t>GTPX Up1</t>
  </si>
  <si>
    <t>Gần đến khi khai giảng nhắc mẹ để mẹ cho con tham gia</t>
  </si>
  <si>
    <t>minh triết</t>
  </si>
  <si>
    <t xml:space="preserve">Mẹ tên Kiều </t>
  </si>
  <si>
    <t>0869.693.123</t>
  </si>
  <si>
    <t>Bé con mẹ Kiều đã từng học Key Means. Con gái 14t bị tật nói giật và tiếp thu chậm do lúc nhỏ bị chứng động kinh còn ảnh hưởng
Mẹ muốn con trang bị tốt TA để định cư Mỹ vì mẹ mới cưới chồng mới là Việt kiều</t>
  </si>
  <si>
    <t>GTPX UP1</t>
  </si>
  <si>
    <t>Con ngoan hiền, lễ phép, khá tự tin trong giao tiếp. Biết cách mở rộng cuộc hội thoại. 
Con rất tập trung khi tham gia test.
Tốc độ phản xạ: Khá nhanh. 
Con giao tiếp tự tin với cô và có thể hiểu tốt và trả lời tốt những câu hỏi của cô.
Con phát âm khá tốt và khá tự nhiên. Tuy nhiên con cần chú ý đến các âm cuối và nối âm khi nói.
Con nắm được số đếm và số thứ tự. 
Con nắm được bảng chữ cái. Tốc độ đánh vần nhanh.
Có vốn từ khá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Vườn ươm IELTS level 2.</t>
  </si>
  <si>
    <t>31/05: Xếp lịch test cho con - Phương test. 
Trả kết quả test cho mẹ
01/06: Mẹ đang cho con học ở Apolo nhưng mẹ thấy ngữ pháp con còn yếu nên mẹ muốn cho con thử cách dạy bên mình. Mẹ muốn cho con học thử. Tư vấn cho mẹ học thử với VUI08 nhưng con bị trùng lịch học. Đã tư vấn cho mẹ học với VUI mới (dự kiến 26/6 khai giảng).
10/6: Mẹ đăng kí phonics fun cho con. Mẹ cho con học thử với VUI08 nếu thấy hợp mẹ sẽ cho con học với VUI mới</t>
  </si>
  <si>
    <t>Con ngoan hiền, lễ phép, tập trung khi tham gia test. 
Tốc độ phản xạ: Chậm. Con không nghe được dẫn đến không biết đáp như thế nào. 
Phát âm chưa đúng và không có âm cuối. 
Con chưa dùng được câu hoàn chỉnh. Con thêm "I" vào tất cả các câu. 
Con mới nắm được số từ 1-10. 
Con nắm được 50% bảng chữ cái. Đánh vần tên còn chậm.
Con có vốn từ rất hẹp về tất cả các chủ đề. 
Đề xuất học chương trình Giao tiếp phản xạ Level 1.</t>
  </si>
  <si>
    <t xml:space="preserve">Giao tiếp phản xạ </t>
  </si>
  <si>
    <t>Chốt học phí</t>
  </si>
  <si>
    <t>Tiếp tục theo dõi chốt sale</t>
  </si>
  <si>
    <t>GTPX UP 3 1-2</t>
  </si>
  <si>
    <t>GTPX - STARTER 1-2</t>
  </si>
  <si>
    <t>gửi thông tin thêm và hẹn lịch gọi tư vấn lại sau</t>
  </si>
  <si>
    <t xml:space="preserve">Minh Châu
Minh Khôi </t>
  </si>
  <si>
    <t>Lớp 9
4 tuổi</t>
  </si>
  <si>
    <t>Liên hệ lại với mẹ</t>
  </si>
  <si>
    <t xml:space="preserve">Tháng sau chăm sóc lại </t>
  </si>
  <si>
    <t>Biết được 1 số từ vựng cơ bản, tư vấn khóa giao tiếp phản xạ vì khóa phonics 90 phút sợ bé ngồi lâu</t>
  </si>
  <si>
    <t>Ngừng tư vấn</t>
  </si>
  <si>
    <t>VUI 20B</t>
  </si>
  <si>
    <t>Tư vấn vườn ươm IELTS
Add Zalo tư vấn</t>
  </si>
  <si>
    <t>VUI 09</t>
  </si>
  <si>
    <t>Phạm Thị Bảo Ngọc
Phạm Thị Bảo Uyên
Phạm Thị Bảo An</t>
  </si>
  <si>
    <t>2009
2014
2016</t>
  </si>
  <si>
    <t>2 bé có học kèm
Tại nhà
Còn bé 2016 thì chưa học
Huỳnh Phượng
Bé mới học lớp 1 xong..và các chị của bé kèm
Các bé nghe và nói tiếng Anh chậm</t>
  </si>
  <si>
    <t>06/06: Hẹn lịch test  (20h-7/6)
08/06: Mẹ muốn cho con học phonics fun nhưng con còn quá nhỏ nên đã tư vấn khóa giao tiếp cho mẹ. Đã gửi bảng giá và lộ trình cho mẹ.
10/06: Gọi điện lại nhưng mẹ chưa nghe máy
Đã nhắn tin cho mẹ nhưng mẹ chưa trả lời
13/6: gọi lại, nghe máy, nhưng hiện tại đang chưa sắp xếp được thời gian và đang cân nhắc về khóa học
14/6: gọi bận gọi lại sau.24/6 gọi knm</t>
  </si>
  <si>
    <t>Gọi lại cho mẹ</t>
  </si>
  <si>
    <t>gọi lại cho mẹ</t>
  </si>
  <si>
    <r>
      <rPr>
        <rFont val="Cambria"/>
        <color theme="1"/>
        <sz val="11.0"/>
      </rPr>
      <t xml:space="preserve">Quan tâm khóa giao tiếp phản xạ, đã tư vấn sơ về khóa 1:4 nhưng ba bảo thời gian dài, sợ con ngồi lâu không được. Muốn tư vấn khóa 30 phút. Đã hẹn lịch test 11h sáng thứ 5 ngày 8/6.
Đợi xác nhận lịch test 
Về học phí: đã nói với ba chương trình ưu đãi giảm 15% trên toàn bộ khóa học kết thúc vào 15/6.
</t>
    </r>
    <r>
      <rPr>
        <rFont val="Cambria"/>
        <b/>
        <color theme="1"/>
        <sz val="11.0"/>
      </rPr>
      <t>GIÚP EM XÁC NHẬN LỊCH TEST QUA ZALO VỚI BA LUÔN Ạ</t>
    </r>
  </si>
  <si>
    <t xml:space="preserve">Con chưa tập trung tốt khi tham gia test
Con mới chỉ biết trả lời câu hỏi về tên còn những câu hỏi thông tin khác con chưa trả lời được
Con chưa biết bảng chữ cái.
Con phát âm còn hiếu và hầu như không nói được gì
Con cần rèn luyện thêm về từ vựng và cấu trúc câu với chương trình GTPX Level: UP Starter
</t>
  </si>
  <si>
    <r>
      <rPr>
        <rFont val="Cambria"/>
        <color theme="1"/>
        <sz val="11.0"/>
      </rPr>
      <t xml:space="preserve">Quan tâm khóa Phonics Fun
</t>
    </r>
    <r>
      <rPr>
        <rFont val="Cambria"/>
        <b/>
        <color theme="1"/>
        <sz val="11.0"/>
      </rPr>
      <t>Liên lạc trong ngày hôm nay (7/6) nhé!</t>
    </r>
  </si>
  <si>
    <t>0707930691 (Zalo thì sinh năm 2K, có thể đang khảo giá)</t>
  </si>
  <si>
    <t>6t</t>
  </si>
  <si>
    <t>Huyền My Thảo My</t>
  </si>
  <si>
    <t>9t</t>
  </si>
  <si>
    <t>Con ngoan hiền, lễ phép, dạn dĩ và tự tin. Rất dễ thương.
Con rất tập trung khi tham gia test.
Tốc độ phản xạ: Nhanh. Kỹ năng nghe - nói tốt.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Con áp dụng được ngữ pháp khi nói. Tuy nhiên tốc độ nói của con còn chưa nhanh lắm. 
Nắm được thì Hiện tại đơn và Hiện tại tiếp diễn, quá khứ đơn và tương lai đơn. Chưa có khái niệm nhiều về Quá khứ tiếp diễn và hoàn thành,...
Con cần rèn luyện thêm về từ vựng và cấu trúc với chương trình Vườn ươm IELTS level 2</t>
  </si>
  <si>
    <t>10/6: Mẹ tưởng khóa PF là khóa học từ vựng cho con. Mẹ nói mẹ không có nhu cầu cho học
13/6: phụ huynh hẹn lịch test 11h  ngày 14/6. quan tâm khóa gtpx
15/6: gọi nhưng chưa nghe máy. 23/6: gọi knm</t>
  </si>
  <si>
    <t>7h15 tối gọi lại</t>
  </si>
  <si>
    <t>Con ngoan hiền, lễ phép, dạn dĩ và tự tin. 
Con rất tập trung khi tham gia test.
Tốc độ phản xạ: Nhanh. Kỹ năng nghe - nói tốt. 
Con cần luyện thêm để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Con áp dụng được ngữ pháp khi nói. 
Nắm được thì Hiện tại đơn và Hiện tại tiếp diễn và Quá khứ đơn. Chưa có khái niệm nhiều về các thì hoàn thành,...
Con cần rèn luyện thêm về từ vựng và cấu trúc với chương trình Vườn ươm IELTS level 2</t>
  </si>
  <si>
    <t>Ngưng chăm sóc</t>
  </si>
  <si>
    <t>GTPX up 2</t>
  </si>
  <si>
    <t>Mẹ đang bận nên không có thời gian test cho 2 bé</t>
  </si>
  <si>
    <t>Ngừng chăm sóc 2 tuần</t>
  </si>
  <si>
    <t>gtpx 1-2</t>
  </si>
  <si>
    <t xml:space="preserve">Tư vấn khóa học </t>
  </si>
  <si>
    <t>Mạc Đoàn bảo Trân
Mạc Bảo Khánh</t>
  </si>
  <si>
    <t>10 tuổi và 11 tuổi</t>
  </si>
  <si>
    <t xml:space="preserve">Có 2 bạn học lớp 5 và 6 có từng học trung tâm tiếng Anh nhưng đã nghỉ 1 năm, mẹ nhắn tin hỏi về các khóa hè này mở, học phí </t>
  </si>
  <si>
    <t>vui</t>
  </si>
  <si>
    <t>đã chốt khóa học</t>
  </si>
  <si>
    <t>Bảo Khánh</t>
  </si>
  <si>
    <t>chăm sóc tiếp</t>
  </si>
  <si>
    <t>TƯ VẤN</t>
  </si>
  <si>
    <t>2 tháng sau care tiếp để con kết thúc khóa học cũ</t>
  </si>
  <si>
    <t>15/6: gọi không nghe máy. đã kb zalo và trao đổi thông tin. đã xếp lịch test cho bé vào tối 15/6
16/6: đã gọi mẹ nhưng mẹ bận chưa trả kq được
16/6: đã trả kq test và tư vấn cụ thể.24/6 đã gửi thêm các video về bài hoc mà mẹ muốn
30/6: mẹ đang cân đối giữa lớp vườn ươm và gtpx.</t>
  </si>
  <si>
    <t>chăm sóc tiếp. 3 tháng sau. kết thúc khóa học liẻn hệ lại</t>
  </si>
  <si>
    <t>kb trên zalo tuyển sinh key means</t>
  </si>
  <si>
    <t>Hân - 11 tuổi
Con ngoan hiền, lễ phép, khá tập trung cao khi tham gia buổi test.
Tốc độ phản xạ: Nhanh
Con có thể nghe và trả lời những câu hỏi giao tiếp cơ bản. Con có những vốn từ khá về các chủ đề: con vật, đồ vật,...
Con cần luyện thêm nhiều về phát âm bao gồm cả độ chính xác, ngữ điệu và lưu loát.
Con nắm bảng chữ cái, đánh vần nhanh.
Con có thể nắm được số từ 1-100.  Nắm được số thứ tự, còn quên 1 vài chỗ.
Con cần rèn luyện thêm về từ vựng và ngữ pháp với chương trình GTPX Level: UP 4 hoặc Vườn Ươm IELTS Level 2 nhưng phải học song song Phonics</t>
  </si>
  <si>
    <t>GTPX 1-1</t>
  </si>
  <si>
    <t>16/6: trả kết quả test
tối 16/6: gọi chia sẻ cụ thể hơn
16/6: đã trả kq test và tư vấn cụ thể hơn</t>
  </si>
  <si>
    <t xml:space="preserve"> 9 tuổi</t>
  </si>
  <si>
    <t>gtpx</t>
  </si>
  <si>
    <t>GTPX 1-2</t>
  </si>
  <si>
    <t xml:space="preserve">6 tuổi </t>
  </si>
  <si>
    <t>chăm tiếp</t>
  </si>
  <si>
    <t>Quan tâm khóa vườn ươm IELTS</t>
  </si>
  <si>
    <t>4 tuổi</t>
  </si>
  <si>
    <t>Mẹ tên Vi (Data từ thầy) - FB Hongvi Nguyen</t>
  </si>
  <si>
    <t>Nguyễn Đường Bảo Trân 2011</t>
  </si>
  <si>
    <t xml:space="preserve">Nguyễn Đường Nam Anh 2013
</t>
  </si>
  <si>
    <t>2013
2011</t>
  </si>
  <si>
    <t>Yu Ki Ly( mẹ Ly)</t>
  </si>
  <si>
    <t>nguyễn phan khánh ly</t>
  </si>
  <si>
    <t>Kimlan (mẹ Harey giới thiệu, gửi thông tin qua thầy)</t>
  </si>
  <si>
    <t>Thúy Phương (data từ thầy)</t>
  </si>
  <si>
    <t>Ngọc Tuyết (data từ Thầy)</t>
  </si>
  <si>
    <t>lớp 1 và lớp 2</t>
  </si>
  <si>
    <t>chị hòa</t>
  </si>
  <si>
    <t>đặng quốc bảo</t>
  </si>
  <si>
    <t xml:space="preserve">Nguyen Khanh Hoa </t>
  </si>
  <si>
    <t>nguyễn phan ngọc châu</t>
  </si>
  <si>
    <t>chốt khóa học</t>
  </si>
  <si>
    <t>Mẹ Ken (data từ thầy)</t>
  </si>
  <si>
    <t>6 tuôi</t>
  </si>
  <si>
    <t>Ha Vi (data từ thầy)</t>
  </si>
  <si>
    <t>nguyễn khánh duyên</t>
  </si>
  <si>
    <t>Bon</t>
  </si>
  <si>
    <t>nguyễn Gia Hân</t>
  </si>
  <si>
    <t>Gia Hân- 12 tuổi
Con ngoan hiền và có độ tập trung cao khi tham gia buổi test.
Con tích cực tương tác với cô.
Tốc độ phản xạ: khá tốt
Con có thể nghe và trả lời những câu hỏi giao tiếp cơ bản về tên, tuổi, nơi ở,...
Phát âm và giọng điệu của con khá tốt.
Con nghe hiểu và trả lời tốt các câu hỏi của cô. 
Con có thể nắm được số từ 1-10 000.
Con có những vốn từ khá rộng về các chủ đề: con vật, đồ vật,...
Con nắm được thì hiện tại đơn và thì hiện tại tiếp diễn. 
Con cần rèn luyện thêm về từ vựng và ngữ pháp với chương trình : Vườn Ươm ielts level 1</t>
  </si>
  <si>
    <t>7 tuỏi</t>
  </si>
  <si>
    <t>2017</t>
  </si>
  <si>
    <t>Mẹ Phan Quỳnh Data từ thầy</t>
  </si>
  <si>
    <r>
      <rPr>
        <rFont val="Cambria"/>
        <color rgb="FFFF0000"/>
        <sz val="11.0"/>
      </rPr>
      <t xml:space="preserve">Mẹ hỏi về việc ưu đãi Phonics Fun (hết hạn 15/6) - Có cân nhắc ưu đãi cho mẹ không, Mẹ cũng có hỏi thêm về Vườn Ươm Ielts - </t>
    </r>
    <r>
      <rPr>
        <rFont val="Cambria"/>
        <b/>
        <color rgb="FFFF0000"/>
        <sz val="11.0"/>
      </rPr>
      <t>GỌI SAU 10h SÁNG hoặc sau 3h CHIỀU</t>
    </r>
  </si>
  <si>
    <t>Mẹ tên Tâm  (Mẹ Mai Khanh gth)</t>
  </si>
  <si>
    <t>gọi lai sau</t>
  </si>
  <si>
    <t>đã chốt khóa học 1/2 học phí</t>
  </si>
  <si>
    <t>đã chốt khóa học 1/2 học phí còn lại</t>
  </si>
  <si>
    <t>1 tháng sau gọi lại</t>
  </si>
  <si>
    <t>Mẹ tên Hoàng Minh (Mẹ Mai Khanh gth)</t>
  </si>
  <si>
    <r>
      <rPr>
        <rFont val="Cambria"/>
        <color theme="1"/>
        <sz val="12.0"/>
      </rPr>
      <t>19/6: đã liên lạc, kb zalo chia sẻ lớp GTPX, xếp lịch test chiều 15h thứ 2. 20/6 đã trả kq test, mẹ cân nhắc
21/6: gọi điện nhưng mẹ bận không nghe máy
30/6: liên lạc lại hiện tại bạn đâng nghỉ hè đi</t>
    </r>
    <r>
      <rPr>
        <rFont val="Cambria"/>
        <b/>
        <color theme="1"/>
        <sz val="12.0"/>
      </rPr>
      <t xml:space="preserve"> chơi sau 20/7 về đăng kí học</t>
    </r>
    <r>
      <rPr>
        <rFont val="Cambria"/>
        <color theme="1"/>
        <sz val="12.0"/>
      </rPr>
      <t xml:space="preserve">
</t>
    </r>
  </si>
  <si>
    <t>1/7: trả kq test</t>
  </si>
  <si>
    <t>Nguyễn Vy (data thầy gửi)</t>
  </si>
  <si>
    <t>GTPX UP2 1-1</t>
  </si>
  <si>
    <t>Chị Thủy (ko thuộc Lan tỏa Key Means</t>
  </si>
  <si>
    <t>Mẹ Quý (Mẹ Gia Hân Vui 08 giới thiệu)</t>
  </si>
  <si>
    <t>Ngọc Hân - 12t
Con ngoan hiền, lễ phép.
 Tập trung khi tham gia test.
Tốc độ phản xạ: Chưa nhanh
Con có thể nghe và trả lời những câu hỏi giao tiếp cơ bản. Tuy nhiên vốn từ con hạn chế nên con chưa giao tiếp được nhiều, chưa mở rộng được chủ đề khi giao tiếp.
Con cần cải thiện phát âm, về cả độ chính xác, ngữ điệu, lưu loát và đặc biệt là các âm cuối, nối âm.
Con nắm được bảng chữ cái. Tốc độ đánh vần khá nhanh, vẫn còn nhầm chữ J và G.
Con có thể nắm được số từ 1-10 000. Tuy nhiên con vẫn còn nhầm lẫn một chút giữa chữ số hàng trăm và hàng nghìn, chưa nói số được nhanh.
Con chưa nắm được số thứ tự.
Con có những vốn từ cơ bản về các chủ đề: con vật, đồ vật vị trí, so sánh, thời tiết.
Con có thể trả lời các câu hỏi đọc hiểu nhưng con chưa áp dụng được ngữ pháp khi trả lời.
Con nắm được khái niệm một số thì trong tiếng Anh nhưng chưa áp dụng. 
Con cần rèn luyện thêm về từ vựng và ngữ pháp với chương trình Vườn Ươm IELTS level 1.</t>
  </si>
  <si>
    <t xml:space="preserve">Chốt khoá học </t>
  </si>
  <si>
    <t>GTPX UP3 1-2</t>
  </si>
  <si>
    <t>Xuân Diệu (data từ thầy)</t>
  </si>
  <si>
    <t xml:space="preserve">Con có kỹ năng nói và thể hiện ý tưởng rất tốt. Có khă năng bắt chuyện và phát triển câu chuyện bằng tiếng Anh. Tự tin và tập trung khi tham gia test. 
Con nghe hiểu khá tốt và có vốn từ đa dạng.
Con nắm được số đến 100. Chưa nắm được chắc số thứ tự. 
Con cần luyện thêm về phát âm cả độ chính xác, lưu loát và ngữ điệu. 
Con chưa áp dụng được ngữ pháp khi giao tiếp nhiều. 
Con học với Vườn Ươm IELTS level 3. </t>
  </si>
  <si>
    <t xml:space="preserve">Ngừng chăm sóc đến khi mẹ nhắn tin lại </t>
  </si>
  <si>
    <t>Tư vấn sau</t>
  </si>
  <si>
    <t>GTPX Starter 25b hoc 1-2</t>
  </si>
  <si>
    <t>lớp 5 lên lớp 6</t>
  </si>
  <si>
    <t>Phụ huynh điền form ghi danh Vườn Ươm IELTS 20/6</t>
  </si>
  <si>
    <t>Con ngoan hiền, lễ phép, khá tự tin trong giao tiếp. 
Con rất tập trung khi tham gia test.
Con nghe hiểu tốt các câu hỏi của cô và câu trả lời khá phong phú.
Tốc độ phản xạ: Khá nhanh. 
Con phát âm khá tốt, tự nhiên, con có âm cuối tuy nhiên con nối âm chưa được nhiều. Một số âm khó còn cần luyện thêm.
Con nắm được số đếm từ 1 -100 và con nắm được 80% số thứ tự
Con nắm được bảng chữ cái. Tốc độ đánh vần nhanh.
Có vốn từ khá về các chủ đề: thông tin cá nhân, đồ dùng, màu sắc, hoạt động, động vật, so sánh, thể thao.... 
Con nắm được khái niệm một số thì nhưng chưa áp dụng được.
Con cần rèn luyện thêm về từ vựng và cấu trúc với chương trình Vườn ươm IELTS level 1.</t>
  </si>
  <si>
    <t xml:space="preserve">Ngừng chăm sóc </t>
  </si>
  <si>
    <t>Ngừng chăm sóc 20 ngày</t>
  </si>
  <si>
    <t>Phuynh Tien 600 Giường
Zalo: Truc Uyen Le</t>
  </si>
  <si>
    <t>Đợi mẹ liên hệ</t>
  </si>
  <si>
    <t>chốt khóa học.</t>
  </si>
  <si>
    <t>Kèm Ngữ Pháp 1-1, 25b</t>
  </si>
  <si>
    <t>Con ngoan hiền, lễ phép, dạn dĩ trong giao tiếp, có chủ động đặt câu hỏi tương tác.
Con tập trung khi tham gia buổi test.
Tốc độ phản xạ: Khá nhanh
Con có thể nghe và trả lời những câu hỏi giao tiếp cơ bản về tên, tuổi, nơi ở, sở thích,... Con biết chủ động mở rộng chủ đề khi giao tiếp. 
Phát âm của con khá hay tuy nhiên vẫn cần điều chỉnh thêm về độ chính xác, lưu loát và ngữ điệu.
Con dùng được câu hoàn chỉnh. Tuy nhiên, cấu trúc các câu còn hạn chế.
Con có thể nắm được số từ 1-10000. Còn lỗi 1 số chỗ.
Con thuộc bảng chữ cái. Đánh vần với tốc độ nhanh.
Con chưa sử dụng được ngữ pháp khi nói. 
Con cần rèn luyện thêm về từ vựng và ngữ pháp với chương trình: Vườn Ươm IELTS Level 1.</t>
  </si>
  <si>
    <t>Vườn ươm IELTS 26/6
25b</t>
  </si>
  <si>
    <t>GTPX up1 học 1-2
25b</t>
  </si>
  <si>
    <r>
      <rPr>
        <rFont val="Cambria"/>
        <color rgb="FFFFFFFF"/>
        <sz val="11.0"/>
      </rPr>
      <t xml:space="preserve">Mẹ quan tâm tư vấn khóa GPTX - ghép được lớp 1 kèm 4 càng tốt  
</t>
    </r>
    <r>
      <rPr>
        <rFont val="Cambria"/>
        <b/>
        <color rgb="FFFFFFFF"/>
        <sz val="11.0"/>
      </rPr>
      <t>NHẮN TIN ZALO - MẸ KO TIỆN NGHE MÁY</t>
    </r>
  </si>
  <si>
    <t>Tạm ngừng chăm  sóc 15 ngày</t>
  </si>
  <si>
    <t>Qua tháng 7 chăm sóc lại</t>
  </si>
  <si>
    <t>Tối gọi</t>
  </si>
  <si>
    <r>
      <rPr>
        <rFont val="Cambria"/>
        <b/>
        <color rgb="FFFFFFFF"/>
        <sz val="11.0"/>
      </rPr>
      <t xml:space="preserve">Nhắn tin ZALO </t>
    </r>
    <r>
      <rPr>
        <rFont val="Cambria"/>
        <color rgb="FFFFFFFF"/>
        <sz val="11.0"/>
      </rPr>
      <t>cho bố, tư vấn học phí chương trình học cho bạn 12 tuổi qua Zalo cho bố</t>
    </r>
  </si>
  <si>
    <r>
      <rPr>
        <rFont val="Cambria"/>
        <b/>
        <color rgb="FFFFFFFF"/>
        <sz val="11.0"/>
      </rPr>
      <t>Nhắn tin ZALO</t>
    </r>
    <r>
      <rPr>
        <rFont val="Cambria"/>
        <color rgb="FFFFFFFF"/>
        <sz val="11.0"/>
      </rPr>
      <t xml:space="preserve"> cho mẹ tư vấn khóa học phù hợp cho bé lớp 3 </t>
    </r>
  </si>
  <si>
    <t>Ngừng chăn sóc</t>
  </si>
  <si>
    <t>Pa Sa - Đây là chú của Thầy</t>
  </si>
  <si>
    <r>
      <rPr>
        <rFont val="Cambria"/>
        <color rgb="FFFF0000"/>
        <sz val="11.0"/>
      </rPr>
      <t xml:space="preserve">1 bạn nhỏ hơn muốn học Vườn Ươm IELTS 
Phụ huynh là </t>
    </r>
    <r>
      <rPr>
        <rFont val="Cambria"/>
        <b/>
        <color rgb="FFFF0000"/>
        <sz val="11.0"/>
      </rPr>
      <t xml:space="preserve">chú của Thầy </t>
    </r>
  </si>
  <si>
    <t>Minhtam Su - từ FB thầy</t>
  </si>
  <si>
    <t>Con học lại từ đầu với giao tiếp phản xạ Starter</t>
  </si>
  <si>
    <t>Nguyễn Minh Thư (data từ Thầy)
Từ bài đăng của mẹ Duy Anh kết nối sang</t>
  </si>
  <si>
    <t>Test</t>
  </si>
  <si>
    <t>GTPX UP1 học 1-2, 25 buổi</t>
  </si>
  <si>
    <t>Con ngoan hiền, lễ phép. 
Con rất tập trung khi tham gia test.
Tốc độ phản xạ: Chưa nhanh. Cần luyện thêm về cách phát triển chủ đề khi giao tiếp và đặt câu hỏi.
Con phát âm chưa tốt, cần luyện thêm về độ chính xác, ngữ điệu, lưu loát, âm cuối và nối âm. 
Con nắm được số đếm 1 - 10000.  Còn nhầm 1 số chỗ. 
Con nắm được bảng chữ cái. Tốc độ đánh vần khá nhanh.
Có vốn từ chưa rộng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Vườn ươm IELTS level 1.</t>
  </si>
  <si>
    <t>gtpx 1-2 up 2</t>
  </si>
  <si>
    <t>Mẹ điền form Phonics FUn</t>
  </si>
  <si>
    <t>Bé thứ 2 chưa hỏi tên- Mẹ Diệu Xuân</t>
  </si>
  <si>
    <t>GTPX UP4 học 25 buổi kèm 1-2</t>
  </si>
  <si>
    <t>24/6:mẹ chốt lớp 1:2 gtpx âu mỹ. đang hẹn ngày ck. 27/6: hẹn lập gr với mẹ Duy Anh để sắp xếp thời gian học và đóng hphi</t>
  </si>
  <si>
    <t>Đã chốt khóa học</t>
  </si>
  <si>
    <t>Mẹ Duy Anh VUI04</t>
  </si>
  <si>
    <t xml:space="preserve">Bạn này ko ở Việt Nam (hình như ở Mỹ - hỏi thăm lại PH) Bố mẹ muốn cho con học Giao tiếp phản xạ để tăng khả năng nói. Tư vấn nên học với GV Âu Mỹ. </t>
  </si>
  <si>
    <t xml:space="preserve">25/6. đã gọi dt trao đổi vs bố và mẹ. chốt học gtpx up starter gv phi.hẹn 26/6 đến trung tâm đóng học phí.
Trao đổi với bố cho con test </t>
  </si>
  <si>
    <t>GTPX STARTER 1 KÈM 2</t>
  </si>
  <si>
    <t xml:space="preserve"> 4 tuổi 8 tháng</t>
  </si>
  <si>
    <t xml:space="preserve">Kèm Ngữ pháp lớp 8, học 1-1, 50 buổi </t>
  </si>
  <si>
    <t>Lê Nguyễn Ngọc Anh (Từ data cần chăm sóc)</t>
  </si>
  <si>
    <t>Bố Luân( Từ data cần chăm sóc)</t>
  </si>
  <si>
    <t>Từ data cần chăm sóc</t>
  </si>
  <si>
    <t>VUI level 1 hoc 30/7 40b</t>
  </si>
  <si>
    <t>28/6 chăm sóc tiếp</t>
  </si>
  <si>
    <t>cbi lên lớp 5</t>
  </si>
  <si>
    <t xml:space="preserve">Thanh Cao (Bạn FB Mẹ Gia Hân VUI08 nhưng mẹ không giới thiệu) </t>
  </si>
  <si>
    <t>Tư vấn hẹn test</t>
  </si>
  <si>
    <t>Lớp 6
11 tuổi</t>
  </si>
  <si>
    <t>Ngừng chăm 15 ngày</t>
  </si>
  <si>
    <t>lớp 3-2014</t>
  </si>
  <si>
    <t>GTPX nửa up2 nửa up 3, học 1-2, 50 buổi</t>
  </si>
  <si>
    <t xml:space="preserve">Lớp 3 lên 4 </t>
  </si>
  <si>
    <t>Tạm ngừng chăm nửa tháng</t>
  </si>
  <si>
    <t>Lớp 5 lên 6</t>
  </si>
  <si>
    <t>2012 - Lớp 2</t>
  </si>
  <si>
    <t>Mẹ điền form Vườn Ươm IELTS (mẹ điền form lúc 12h49)</t>
  </si>
  <si>
    <r>
      <rPr>
        <rFont val="Cambria"/>
        <color theme="1"/>
        <sz val="11.0"/>
      </rPr>
      <t>24/6: gọi nhưng knm. 26/6</t>
    </r>
    <r>
      <rPr>
        <rFont val="Cambria"/>
        <b/>
        <color theme="1"/>
        <sz val="11.0"/>
      </rPr>
      <t xml:space="preserve"> gọi nghe máy hẹn tối gọi lại
</t>
    </r>
    <r>
      <rPr>
        <rFont val="Cambria"/>
        <color theme="1"/>
        <sz val="11.0"/>
      </rPr>
      <t>28/6 gọi lại vẫn ko nghe máy. nt zalo ko phản hồi</t>
    </r>
  </si>
  <si>
    <t>Bố nói mẹ tên 
Trúc Quỳnh</t>
  </si>
  <si>
    <t>GTPX UP1 học 1-2, 50 buổi</t>
  </si>
  <si>
    <t>Từ data cần chăm sóc ngày 27</t>
  </si>
  <si>
    <t xml:space="preserve">Quan tâm từ bài đăng tuyển sinh ghép lớp phonics fun với giá 1tr (từ tháng 6) </t>
  </si>
  <si>
    <t>2017
6t</t>
  </si>
  <si>
    <t>Nhung Tran (Zalo)</t>
  </si>
  <si>
    <t>GTPX UP 4 học 1-2, 25 buổi</t>
  </si>
  <si>
    <t>Tuyen Thanh - (Acc Đậu Đậu)</t>
  </si>
  <si>
    <t>Nguyễn lê Hoàng Anh</t>
  </si>
  <si>
    <t>chăm sóc tếp</t>
  </si>
  <si>
    <t xml:space="preserve">chăm sóc tiếp </t>
  </si>
  <si>
    <t>lê Nguyễn Anh Tuấn</t>
  </si>
  <si>
    <t>lớp 10</t>
  </si>
  <si>
    <t>Quan tâm lớp Vườn ươm IELTS</t>
  </si>
  <si>
    <t>goi lại sau</t>
  </si>
  <si>
    <t>KB ZALO</t>
  </si>
  <si>
    <t>Mẹ Phương - Minh Châu K3 14 01</t>
  </si>
  <si>
    <t>Hữu Phước (em trai)</t>
  </si>
  <si>
    <t>Con ngoan hiền, lễ phép, tập trung khi tham gia test. 
Tốc độ phản xạ: Còn chậm
Con mới chỉ trả lời được câu hỏi của cô về tên của con còn những câu hỏi khác con chưa trả lời được.
Con không nói được nhiều.
Con cần cải thêm nhiều về phát âm.
Con chưa dùng được câu hoàn chỉnh. 
Con mới nắm được số từ 1-10. 
Con nắm được 50% bảng chữ cái nhưng chưa đánh vần được.
Con có vốn từ rất hẹp về tất cả các chủ đề. 
Đề xuất học chương trình Giao tiếp phản xạ Level 1.</t>
  </si>
  <si>
    <t>29/6 liên hệ gọi và sắp xếp lịch test. gửi thông tin về lớp gtpx qua zalo để mẹ nắm thông tin
30/6: xếp lịch test buổi tối thứ 2</t>
  </si>
  <si>
    <t>ĐÃ CHỐT KHÓA HỌC</t>
  </si>
  <si>
    <t>dungfq chăm sóc</t>
  </si>
  <si>
    <t>Nguyễn Thị Xuân (Liên lạc qua bài đăng của thầy)</t>
  </si>
  <si>
    <t>2014
9t</t>
  </si>
  <si>
    <t>Nguyen Phuong (mẹ Nguyên Bảo tag trên bài đăng Key Means)</t>
  </si>
  <si>
    <t>Leê Hà Giang</t>
  </si>
  <si>
    <t>Con ngoan hiền, lễ phép. Tập trung khi tham gia buổi test. 
Tốc độ phản xạ: Khá nhanh.
Con phát âm chưa hay, cần điều chỉnh thêm nhiều về độ chính xác, ngữ điệu, lưu loát, đặc biệt là các âm cuối và nối âm.
Con dùng được câu hoàn chỉnh. 
Con nắm được thì hiện tại đơn, hiện tại tiếp diễn, quá khứ đơn, hiện tại hoàn thành và tương lai đơn. Tuy nhiên chưa áp dụng được tốt ngữ pháp khi nói. 
Con nghe và trả lời được các câu hỏi thông tin cơ bản: cá nhân, bạn bè, màu sắc, môn học, động vật, so sánh, thói quen,... Cần luyện thêm để phát triển chủ đề khi giao tiếp và đặt câu hỏi. 
Con nắm được bảng chữ cái. Khi đánh vần thì vẫn còn vài lỗi nhỏ. 
Con cần rèn luyện thêm về từ vựng và ngữ pháp với chương trình: Vườn Ươm IELTS Level 1</t>
  </si>
  <si>
    <t>GTPX up5 kèm 1-1 học 25 buổi</t>
  </si>
  <si>
    <t>GTPX up3 kèm 1-1 học 25 buổi</t>
  </si>
  <si>
    <t>Tối gọi lại</t>
  </si>
  <si>
    <t>Lệ Thanh (mẹ của Phương Nga Vui06 giới thiệu)</t>
  </si>
  <si>
    <t>Kèm Ngữ pháp 1-1 học 25 buổi</t>
  </si>
  <si>
    <t>Mẹ Hồng Thanh 
(mẹ của Phương Nga Vui06 giới thiệu)</t>
  </si>
  <si>
    <t>8t</t>
  </si>
  <si>
    <t>tư vấn</t>
  </si>
  <si>
    <t>Hoàng Luân - Chị của Phương Nga VUI06</t>
  </si>
  <si>
    <t>16t</t>
  </si>
  <si>
    <t>2013 
10t</t>
  </si>
  <si>
    <r>
      <rPr>
        <rFont val="Cambria"/>
        <color theme="1"/>
        <sz val="11.0"/>
      </rPr>
      <t xml:space="preserve">Gửi thông tin khóa giao tiếp quốc tế qua </t>
    </r>
    <r>
      <rPr>
        <rFont val="Cambria"/>
        <b/>
        <color theme="1"/>
        <sz val="11.0"/>
      </rPr>
      <t>ZALO</t>
    </r>
    <r>
      <rPr>
        <rFont val="Cambria"/>
        <color theme="1"/>
        <sz val="11.0"/>
      </rPr>
      <t xml:space="preserve"> (gửi bảng giá GTPX) hoặc hỏi lại chị Yến giúp em</t>
    </r>
  </si>
  <si>
    <r>
      <rPr>
        <rFont val="Cambria"/>
        <color theme="1"/>
        <sz val="11.0"/>
      </rPr>
      <t xml:space="preserve">Gửi thông tin tư vấn lớp </t>
    </r>
    <r>
      <rPr>
        <rFont val="Cambria"/>
        <b/>
        <color theme="1"/>
        <sz val="11.0"/>
      </rPr>
      <t>TOEIC qua ZALO</t>
    </r>
  </si>
  <si>
    <t>Chờ bạn liên lạc</t>
  </si>
  <si>
    <t>đặng tùng Quân</t>
  </si>
  <si>
    <t>Tháng 8 tư vấn</t>
  </si>
  <si>
    <t xml:space="preserve">Chăm sóc sau </t>
  </si>
  <si>
    <t>Bánh Gạo( mẹ Trang)</t>
  </si>
  <si>
    <t>Mẹ Cẩm Vân (Mẹ bé Ý Lam Kstart giới thiệu) không thuộc LTKM</t>
  </si>
  <si>
    <t>GTPX up1 học 25 buổi khoá 1-2</t>
  </si>
  <si>
    <t>Lê Thị Lâm (mẹ Nguyên An - K2_12_01 giới thiệu) thuộc LTKM</t>
  </si>
  <si>
    <t>Thầy gửi về</t>
  </si>
  <si>
    <t>Hẹn test</t>
  </si>
  <si>
    <t>Huệ Thanh (từ thầy đưa về)</t>
  </si>
  <si>
    <t>Kèm Ngữ pháp 1-1 học 50b</t>
  </si>
  <si>
    <t>Minh Giao (Mẹ Mai Khanh VUI08 giới thiệu)</t>
  </si>
  <si>
    <t>KHải Huân</t>
  </si>
  <si>
    <t xml:space="preserve">gtpx </t>
  </si>
  <si>
    <t>mẹ thanh tâm</t>
  </si>
  <si>
    <t>18t</t>
  </si>
  <si>
    <t>tháng 8 gọi lại</t>
  </si>
  <si>
    <t>Hà TRầ</t>
  </si>
  <si>
    <t>2011
12 tuổi</t>
  </si>
  <si>
    <t>Trà My (em Thái Phát)</t>
  </si>
  <si>
    <t>2012
11 tuổi</t>
  </si>
  <si>
    <t>Tư vấn + hẹn test</t>
  </si>
  <si>
    <t>Hẹn lịch test</t>
  </si>
  <si>
    <t xml:space="preserve">Gọi lại </t>
  </si>
  <si>
    <t xml:space="preserve">Đợi mẹ mua máy tính </t>
  </si>
  <si>
    <t>2016
7 tuổi</t>
  </si>
  <si>
    <t>2010
13 tuổi</t>
  </si>
  <si>
    <t>Ngừng chăm sóc 1 tháng</t>
  </si>
  <si>
    <t>Gọi và tư vấn</t>
  </si>
  <si>
    <t>Tư vấn</t>
  </si>
  <si>
    <t>Mai ANh</t>
  </si>
  <si>
    <t>Ngừng  chăm sóc</t>
  </si>
  <si>
    <t>Đợi mẹ liên lạc</t>
  </si>
  <si>
    <t>Phạm THÚy MY</t>
  </si>
  <si>
    <t>Nhắn tin tư vấn</t>
  </si>
  <si>
    <t>Ngừng chăm sóc 1 tuần</t>
  </si>
  <si>
    <t>Gọi điện tư vấn cho mẹ về khóa học và học phí</t>
  </si>
  <si>
    <t>Helen</t>
  </si>
  <si>
    <t>Con đã học tiếng Anh ở Việt Úc
Con nói khá tốt.</t>
  </si>
  <si>
    <t>Helen: Con ngoan hiền, lễ phép, dạn dĩ và tự tin. 
Con rất tập trung khi tham gia test.
Tốc độ phản xạ: Nhanh. Kỹ năng nghe - nói tốt. Biết cách phát triển chủ đề khi giao tiếp và đặt được câu hỏi.
Con phát âm hay, âm cuối đầy đủ và con nối âm được. Giọng nói tự nhiên.
Có vốn từ đa dạng về các chủ đề: thông tin cá nhân, đồ dùng, màu sắc, hoạt động, động vật, so sánh, thể thao.... 
Con áp dụng được ngữ pháp khi nói. 
Nắm được thì Hiện tại đơn và Hiện tại tiếp diễn. Chưa có khái niệm nhiều về Quá khứ, hoàn thành,...
Con cần rèn luyện thêm về từ vựng và cấu trúc với chương trình Vườn ươm IELTS level 2</t>
  </si>
  <si>
    <t>cuối tháng 6 sẽ liên lạc lại và sắp xếp bé vào lớp VUI 06</t>
  </si>
  <si>
    <t>Con ngoan hiền, lễ phép, khá tự tin trong giao tiếp. 
Con rất tập trung khi tham gia test.
Con nghe hiểu tốt các câu hỏi của cô và câu trả lời khá phong phú.
Tốc độ phản xạ: Khá nhanh. 
Con phát âm khá ổn, con có âm cuối tuy nhiên con nối âm chưa được nhiều
Con nắm được số đếm từ 1 -10 000 và con nắm được số thứ tự
Con nắm được bảng chữ cái. Tốc độ đánh vần kjhas  nhanh.
Có vốn từ khá về các chủ đề: thông tin cá nhân, đồ dùng, màu sắc, hoạt động, động vật, so sánh, thể thao.... 
Con nắm được tốt các thì cơ bản
Con cần rèn luyện thêm về từ vựng và cấu trúc với chương trình Vườn ươm IELTS level 2.</t>
  </si>
  <si>
    <t>chăm sóc tiếp.</t>
  </si>
  <si>
    <t>Lily</t>
  </si>
  <si>
    <t>GTPX up 1 kèm 1-1 học 50b</t>
  </si>
  <si>
    <t>Mẹ điền form đăng ký học Vườn Ươm IELTS</t>
  </si>
  <si>
    <t>tháng 7 chăm sóc tiếp</t>
  </si>
  <si>
    <t>VUI học 30/7 hoc 20 buổi</t>
  </si>
  <si>
    <t>Mr Tung Dzung (Mẹ Bích Trâm của bé Vy Quân giới thiệu)</t>
  </si>
  <si>
    <t>Chị Huyền (từ chị Mỹ)</t>
  </si>
  <si>
    <t>đã chốt khóa học
hẹn ck lần 2 trong tháng 7</t>
  </si>
  <si>
    <t>gtpx up 2 1 -2</t>
  </si>
  <si>
    <t>Mẹ Lệ Nhung (Thầy Tuấn giới thiệu)</t>
  </si>
  <si>
    <t>GTPX up3 kèm 1-2 học 25b</t>
  </si>
  <si>
    <t>Tư vấn gọi lại</t>
  </si>
  <si>
    <t>GTPX up3 kèm 1-2 học 50b</t>
  </si>
  <si>
    <t>nguyễn Phượng</t>
  </si>
  <si>
    <t>8t
2016</t>
  </si>
  <si>
    <t>15
2007</t>
  </si>
  <si>
    <t>Dsyvt</t>
  </si>
  <si>
    <t>2016
7t</t>
  </si>
  <si>
    <t>gtpx up 1 - 1 kèm 2</t>
  </si>
  <si>
    <t>gtpx up1 1-2</t>
  </si>
  <si>
    <t>2013
10t</t>
  </si>
  <si>
    <t>Quỳnh Nhi
Con ngoan hiền, lễ phép.
Con có thể trả lời những câu hỏi cơ bản của cô về tên, tuổi, và sở thích,..
Con rất tập trung khi tham gia test.
Tốc độ phản xạ: Khá tốt 
Con dùng được các câu hoàn chỉnh và sử dụng được cấu trúc câu khi nói.
Con phát âm đúng các từ cơ bản, con có chú ý âm cuối nhưng vài từ vẫn bị sót âm cuối và chưa nối âm nhiều khi nói.
Con nắm được đến chữ số hàng triệu.
Con nắm được số thứ tự. 
Con nắm được bảng chữ cái và đánh vần được tốt các từ.
Con có vốn từ vựng phong phú về con vật, đồ vật, vị trí, thời tiết, môn thể thao, thời gian,..
Con áp dụng được ngữ pháp khi nói tuy nhiên đôi câu còn nhầm lẫn cấu trúc câu.
Con có kĩ năng nghe tốt và trả lời được các câu hỏi liên quan đến bài nghe.
Kiến thức ngữ pháp về các thì của con chưa chắc.
Con cần cải thiện thêm kiến thức ngữ pháp của con về các thì.
Con cần rèn luyện thêm về từ vựng và cấu trúc với chương trình: Vườn Ươm Ielts level 1</t>
  </si>
  <si>
    <t>Bố Hưng (mẹ Phuong Duong Ngọc Sang VUI4 gioi thieu)</t>
  </si>
  <si>
    <t>Celine</t>
  </si>
  <si>
    <t>Chờ 3 buổi học thử</t>
  </si>
  <si>
    <t>GTPX 1/2 up 2 kèm 1-1 học 3 buổi</t>
  </si>
  <si>
    <t>Hạn 29/7 đóng 22 buổi còn lại</t>
  </si>
  <si>
    <t>GTPX 1/2 up 2 kèm 1-1 học 25 buổi</t>
  </si>
  <si>
    <t>GTPX 1/2 up2 kèm 1-2 nộp bổ sung thêm 22 buổi</t>
  </si>
  <si>
    <t>Phong Phú Phạm (mẹ Ngọc Sang VUI04 giới thiệu)</t>
  </si>
  <si>
    <t>chỉ mới học kèm cô giáo trên trường</t>
  </si>
  <si>
    <t>Hải Yến
Con ngoan hiền, lễ phép.
Con có thể trả lời những câu hỏi cơ bản của cô về tên, tuổi, và sở thích,..
Con rất tập trung khi tham gia test.
Con vui tươi khi tham gia buổi test.
Tốc độ phản xạ: Khá ổn. 
Con dùng được các câu hoàn chỉnh và sử dụng được cấu trúc câu đúng.
Con phát âm được các từ cơ bản, con có chú ý âm cuối nhưng vài từ vẫn bị sót âm cuối và chưa có nối âm khi nói.
Con nắm được đến chữ số hàng trăm.
Con nhầm cách đọc số 59.
Con chưa được số thứ tự. 
Con nắm được bảng chữ cái và đánh vần được tốt các từ.
Con có vốn từ vựng cơ bản về con vật, đồ vật, vị trí, thời tiết, môn thể thao, thời gian,..
Con áp dụng được ngữ pháp khi nói tuy nhiên đôi câu còn nhầm lẫn cấu trúc câu.
Con cần cải thiện thêm kiến thức ngữ pháp của con về các thì.
Con cần rèn luyện thêm về từ vựng và cấu trúc với chương trình GTPX Level 3 hoặc Vườn Ươm Ielts level 1</t>
  </si>
  <si>
    <t>nhắc lịch</t>
  </si>
  <si>
    <t>Gọi lại sau</t>
  </si>
  <si>
    <t>Mẹ Tình (đang học GTPX up5)</t>
  </si>
  <si>
    <t>Mẹ Thúy Hằng (Mẹ Tình (đang học GTPX up5)</t>
  </si>
  <si>
    <t>FiFa</t>
  </si>
  <si>
    <t>Mẹ Cà Rốt - Mẹ Tình Hery Up5 giới thiệu</t>
  </si>
  <si>
    <t>Cà Rốt</t>
  </si>
  <si>
    <t>Con thứ 2 của mẹ Thu Sa</t>
  </si>
  <si>
    <t xml:space="preserve">Tư vấn khoá học </t>
  </si>
  <si>
    <t>Mẹ Yên An (Mẹ Nguyên Bảo giới thiệu qua thầy)</t>
  </si>
  <si>
    <t>GTPX UP3 kèm 1-2 học 50 buổi</t>
  </si>
  <si>
    <t>Duương Bích Vui</t>
  </si>
  <si>
    <t>Hoàng Giang (Mẹ bé Trí Nam giới thiệu)</t>
  </si>
  <si>
    <t>GTPX up1 học 50 buổi kèm  1-1</t>
  </si>
  <si>
    <t>13 tuổi
2011</t>
  </si>
  <si>
    <t>Thiện Võ (fB Mjt Kute)</t>
  </si>
  <si>
    <r>
      <rPr>
        <rFont val="Cambria"/>
        <color rgb="FFFF0000"/>
        <sz val="11.0"/>
      </rPr>
      <t xml:space="preserve">Học viên đã từng tham gia học PHONICS FUN - đã học xong chăm sóc lại để chốt khóa mới
</t>
    </r>
    <r>
      <rPr>
        <rFont val="Cambria"/>
        <b/>
        <color rgb="FFFF0000"/>
        <sz val="11.0"/>
      </rPr>
      <t>Tùng học tốt nhất lớp.</t>
    </r>
  </si>
  <si>
    <t>GTPX up1 kèm 1-1 học 50b</t>
  </si>
  <si>
    <t>Học viên đã từng tham gia học PHONICS FUN - đã học xong chăm sóc lại để chốt khóa mới</t>
  </si>
  <si>
    <t>gtpx up1 kèm 1-2 học 50b</t>
  </si>
  <si>
    <t>17/7: trưa gọi lại
con đang đk học khóa gtpx ơ trung tâm khác con hơn 20b. kết thúc khóa học mẹ se liên lạc lại</t>
  </si>
  <si>
    <t>Kevin</t>
  </si>
  <si>
    <t>VUI08 học 20 buổi</t>
  </si>
  <si>
    <t xml:space="preserve">5 tuổi </t>
  </si>
  <si>
    <t>nhắc đóng học phí</t>
  </si>
  <si>
    <t>gtpx 1-2
Đóng phần còn lại</t>
  </si>
  <si>
    <t>Mẹ Vân Sally (mẹ Harey giới thiệu, gửi thông tin qua thầy)</t>
  </si>
  <si>
    <t>Tony</t>
  </si>
  <si>
    <t>Chờ mẹ ck</t>
  </si>
  <si>
    <r>
      <rPr>
        <rFont val="Cambria"/>
        <color theme="1"/>
        <sz val="11.0"/>
      </rPr>
      <t xml:space="preserve">Cmt bài viết
</t>
    </r>
    <r>
      <rPr>
        <rFont val="Cambria"/>
        <color rgb="FFFF0000"/>
        <sz val="11.0"/>
      </rPr>
      <t>Mẹ lại nhắn tin trên FP, chăm sóc lại nhé</t>
    </r>
  </si>
  <si>
    <t>GTPX up4 kèm 1-4 học 50b</t>
  </si>
  <si>
    <t>13 tuổi
14/3/2010</t>
  </si>
  <si>
    <t>Con ngoan hiền, lễ phép.
 Tập trung khi tham gia test.
Tốc độ phản xạ: Chưa nhanh
Con có thể nghe và trả lời những câu hỏi giao tiếp cơ bản. Tuy nhiên vốn từ con hạn chế nên con chưa giao tiếp được nhiều, chưa mở rộng được chủ đề khi giao tiếp.
Con cần cải thiện phát âm, về cả độ chính xác, ngữ điệu, lưu loát và đặc biệt là các âm cuối, nối âm.
Con nắm được bảng chữ cái. Tốc độ đánh vần khá nhanh, vẫn còn nhầm chữ J và G.
Con có thể nắm được số từ 1-10 000. 
Con chưa nắm hết được số thứ tự.
Con có những vốn từ cơ bản về các chủ đề: con vật, đồ vật vị trí, so sánh, thời tiết.
Con có thể trả lời các câu hỏi đọc hiểu nhưng con chưa áp dụng được ngữ pháp khi giao tiếp.
Con nắm được khái niệm một số thì trong tiếng Anh như Hiện tại đơn, Hiện tại tiếp diễn, Hiện tại hoàn thành và Quá khứ đơn, Tương lai đơn. Chưa thực sự chắc.
Con cần rèn luyện thêm về từ vựng và ngữ pháp với chương trình Vườn Ươm IELTS level 1.</t>
  </si>
  <si>
    <t>Cao Bá Thái (Bố Cao Tuệ Lâm VUI06)</t>
  </si>
  <si>
    <t>GTPX UP1 kèm 1-2 học 50b</t>
  </si>
  <si>
    <t>Ngừng tư vấn 1 năm</t>
  </si>
  <si>
    <t xml:space="preserve">Ngưng chăm sóc 1 thời gian đợi mẹ liên lạc lại </t>
  </si>
  <si>
    <t>Thuy Thuy (FB Ngoc thuy Le)</t>
  </si>
  <si>
    <t>Trần Loan (Mẹ Trần Tuyết Chiêu giới thiệu qua fanpage kids)</t>
  </si>
  <si>
    <t>Phillip</t>
  </si>
  <si>
    <t>gtpx up 4</t>
  </si>
  <si>
    <r>
      <rPr>
        <rFont val="Cambria"/>
        <color rgb="FFFF0000"/>
        <sz val="11.0"/>
      </rPr>
      <t xml:space="preserve">21/7: Hẹn lịch test 19h ngày 25/7
26/7: Trả test
27/7: Mẹ chốt khoá GTPX 1/2 Starter kèm 1-2 học 50b
</t>
    </r>
    <r>
      <rPr>
        <rFont val="Cambria"/>
        <b/>
        <color rgb="FFFF0000"/>
        <sz val="11.0"/>
      </rPr>
      <t>28/7: Nâng level của bé từ Starter lên up1 để ghép với bé UP1</t>
    </r>
  </si>
  <si>
    <t xml:space="preserve">GTPX 1/2 UP1 kèm 1-2
 học 50b
</t>
  </si>
  <si>
    <t>10 tuổi
2014</t>
  </si>
  <si>
    <t>trả kết quả test</t>
  </si>
  <si>
    <r>
      <rPr>
        <rFont val="Cambria"/>
        <color rgb="FFFF0000"/>
        <sz val="11.0"/>
      </rPr>
      <t xml:space="preserve">Con ngoan hiền, lễ phép. Con tập trung tốt khi tham gia buổi test.
Tốc độ phản xạ: Khá nhanh. 
Con nói khá tự nhiên và có thể hiểu tốt được những câu hỏi và trả lời tốt.
Con có thể nghe và trả lời những câu hỏi giao tiếp cơ bản về tên, tuổi, nơi ở, sở thích,...
Phát âm của con khá ổn tuy nhiên con cần chú ý các âm cuối và nối âm.
Con nắm được các kiến thức cơ bản về thì hiện tạo đơn, tuy nhiên con cần cải thiện thêm kiên thức về các thì khác. 
Con có thể nắm được số từ 1-1 000 000.
Con thuộc bảng chữ cái và có thể đánh vần tốt.
Vốn từ của con khá phong phú về con vật, đồ vật môn thể thao, hoạt động,...
Con có kĩ năng đọc hiểu tốt.
Con có thể nghe và trả lời được đúng hầu hết các câu hỏi liên quan đến bài nghe.
Con cần rèn luyện thêm về từ vựng và ngữ pháp với chương trình : GTPX Level 4
</t>
    </r>
    <r>
      <rPr>
        <rFont val="Cambria"/>
        <b/>
        <color rgb="FFFF0000"/>
        <sz val="11.0"/>
      </rPr>
      <t>Về bài test Listening và Writing:</t>
    </r>
    <r>
      <rPr>
        <rFont val="Cambria"/>
        <color rgb="FFFF0000"/>
        <sz val="11.0"/>
      </rPr>
      <t xml:space="preserve">
Nghe: 58%
Đọc: 48%
=&gt; GTPX UP5
</t>
    </r>
  </si>
  <si>
    <t>Thường Tán (Mẹ Thu Sa của bé Gia Hân VUI08 giới thiệu)</t>
  </si>
  <si>
    <t>GTPX 1/2 up4 kèm 1-2 học 50b</t>
  </si>
  <si>
    <t>RuBy</t>
  </si>
  <si>
    <t>gtpx 1-1 up 1</t>
  </si>
  <si>
    <r>
      <rPr>
        <rFont val="Cambria"/>
        <color theme="1"/>
        <sz val="11.0"/>
      </rPr>
      <t xml:space="preserve">Đăng ký khóa Giao tiếp phản xạ (học 100% với giáo viên nước ngoài)
</t>
    </r>
    <r>
      <rPr>
        <rFont val="Cambria"/>
        <b/>
        <color theme="1"/>
        <sz val="11.0"/>
      </rPr>
      <t>Bé học lớp 4 nhưng đã học ngữ pháp lớp 6 r</t>
    </r>
  </si>
  <si>
    <t>Thắm Đô Thành
- Mẹ Khánh Hà giới thiệu</t>
  </si>
  <si>
    <t>20/8/2023 liên hệ lại</t>
  </si>
  <si>
    <t xml:space="preserve">23 tuổi </t>
  </si>
  <si>
    <t>gtpx 1-1</t>
  </si>
  <si>
    <t>mẹ tên Nga (chị của mẹ Lộc) - data thầy đưa về</t>
  </si>
  <si>
    <t>Diệu Hưng (data từ c Mỹ)</t>
  </si>
  <si>
    <t>Mẹ Tuấn Kiệt - Kỳ Anh
Bui Thuy Binh</t>
  </si>
  <si>
    <t xml:space="preserve">Tầm 2 tháng nữa liên hệ lại </t>
  </si>
  <si>
    <t>Thanh Nga (Mẹ Sa - Gia Hân) giới thiệu</t>
  </si>
  <si>
    <t>Quan tâm Vườn Ươm Ielts (Điền form)</t>
  </si>
  <si>
    <r>
      <rPr>
        <rFont val="Cambria"/>
        <color theme="1"/>
        <sz val="11.0"/>
      </rPr>
      <t xml:space="preserve">5/8: Gọi thì máy báo thuê bao
</t>
    </r>
    <r>
      <rPr>
        <rFont val="Cambria"/>
        <b/>
        <color rgb="FFFF0000"/>
        <sz val="11.0"/>
      </rPr>
      <t xml:space="preserve">Nhắn qua ZALO </t>
    </r>
  </si>
  <si>
    <t>13 tuổi</t>
  </si>
  <si>
    <t>10 tuoi</t>
  </si>
  <si>
    <t>Anh Thư (Mẹ Thanh Vân - Tạ Đức Nam giới thiệu)</t>
  </si>
  <si>
    <t>nhắc học phí</t>
  </si>
  <si>
    <t>Tố Uyên ( mẹ của Đầu Mạnh Khang giới thiệu)</t>
  </si>
  <si>
    <t>GTPX UP2 1 KÈM 2</t>
  </si>
  <si>
    <t>GTPX up2</t>
  </si>
  <si>
    <t>Kim Thuý (mẹ Long Quân)</t>
  </si>
  <si>
    <t>Nhã Uyên (mẹ Apu giới thiệu)</t>
  </si>
  <si>
    <t>9 tuôi</t>
  </si>
  <si>
    <t>10/8: gọi trao đổi đang hẹn xếp lịch test vào cuối tuần thứ 7
14/8: nt trao đổi hẹn lịch test
15/8: nt lại trao đổi lịch test hướng con qua lớp gtpx</t>
  </si>
  <si>
    <t>Phụ huynh điền form khóa GIAO TIẾP PHẢN XẠ (điền ngày 1/6)</t>
  </si>
  <si>
    <t>11 tuổi
2012</t>
  </si>
  <si>
    <t>nhắc lịch test</t>
  </si>
  <si>
    <t>mẹ Teresa Nguyen (Mẹ Nguyệt - Nhật Vy - k4_13_02 giới thiệu)</t>
  </si>
  <si>
    <t>14/8: gọi mẹ bận hẹn gọi lại lúc trưa, đã gọi lại mẹ quan tâm lớp gtpx cho cả 2 bạn và xếp lịch  test vào tối thứ 2 tuần sau
16/8: xếp lại lịch test vào khung giờ 14h30 thứ 2 ạ
21/8: trả kq test, chốt khóa học</t>
  </si>
  <si>
    <t>hẹn lịch test</t>
  </si>
  <si>
    <t xml:space="preserve"> 2015
8 tuôi</t>
  </si>
  <si>
    <t>14/8: gọi mẹ bận hẹn gọi lại lúc trưa, đã gọi lại mẹ quan tâm lớp gtpx cho cả 2 bạn và xếp lịch  test vào tối thứ 2 tuần sau
16/8: xếp lại lịch test vào khung giờ 14h30 ạ
trả kq test và chốt khóa học</t>
  </si>
  <si>
    <t>9 tuổi
2014</t>
  </si>
  <si>
    <r>
      <rPr>
        <rFont val="Cambria"/>
        <sz val="11.0"/>
      </rPr>
      <t xml:space="preserve">Muốn đăng ký thi thử Mover
Làm việc tại </t>
    </r>
    <r>
      <rPr>
        <rFont val="Cambria"/>
        <color rgb="FF1155CC"/>
        <sz val="11.0"/>
        <u/>
      </rPr>
      <t>Hocmai.vn</t>
    </r>
  </si>
  <si>
    <t>02/11/2015</t>
  </si>
  <si>
    <t>10/12/2015</t>
  </si>
  <si>
    <t>trả kq test</t>
  </si>
  <si>
    <t>Trang Nguyễn (data từ thầy)</t>
  </si>
  <si>
    <t>17/7/2013</t>
  </si>
  <si>
    <t>Hoàng Phuong Lien (data từ thầy)</t>
  </si>
  <si>
    <t>26/06/2013</t>
  </si>
  <si>
    <t>Khoá phát âm và giao tiếp phản xạ với gv nước ngoài em
Chị cho 2 bé học chung, một bé lớp 5 và 1 bé lớp 8</t>
  </si>
  <si>
    <t>TOM</t>
  </si>
  <si>
    <t>12t</t>
  </si>
  <si>
    <t>26/1/2013</t>
  </si>
  <si>
    <t>Mẹ Ly (Mẹ Thảo Phan - Thảo My - K1_12_07 giới thiệu)</t>
  </si>
  <si>
    <t>28/ 06/2013</t>
  </si>
  <si>
    <t>npbt</t>
  </si>
  <si>
    <t>09/2/2014</t>
  </si>
  <si>
    <t>10 tuổi
2013</t>
  </si>
  <si>
    <t xml:space="preserve">25/8: gọi đến hỏi quan tâm về lớp gtpx nhưng tưởng học trực tiếp học online mẹ cần suy nghĩ sẽ liên lạc lại </t>
  </si>
  <si>
    <t>Nguyen Phuong Thao( mẹ Trung Kha gt)</t>
  </si>
  <si>
    <t>Lớp Vườn ươm IELTS khi nào có lại em</t>
  </si>
  <si>
    <t>17/6/2013</t>
  </si>
  <si>
    <t>11/06/2016</t>
  </si>
  <si>
    <t>gtpx gv nước ngoài</t>
  </si>
  <si>
    <t>2015
8 tuổi</t>
  </si>
  <si>
    <t>David</t>
  </si>
  <si>
    <t>Mẹ tên Quyên (mẹ Yến - Văn Viết Nhật Nam giới thiệu qua chị Mỹ)</t>
  </si>
  <si>
    <t>Quynh Chau - Thao Kim - PAXS08</t>
  </si>
  <si>
    <t>10 tuổi-2013</t>
  </si>
  <si>
    <t>ngpt</t>
  </si>
  <si>
    <t>1987?</t>
  </si>
  <si>
    <t>Thầy giới thiệu</t>
  </si>
  <si>
    <t>Data từ English Club: ĐĂNG KÝ THAM GIA CLB - KEY MEANS ENGLISH CLUB (Câu trả lời)</t>
  </si>
  <si>
    <t>tigon</t>
  </si>
  <si>
    <t>8 tuoi</t>
  </si>
  <si>
    <t>tháng 11 chăm sóc lại</t>
  </si>
  <si>
    <t>Ha Nguyen (mẹ Nguyên Bảo VUI06 giới thiệu)</t>
  </si>
  <si>
    <t>Lớp Giao tiếp phản xạ</t>
  </si>
  <si>
    <t>13t</t>
  </si>
  <si>
    <t>gọi lại</t>
  </si>
  <si>
    <t>Mẹ Thủy (Mẹ Hiệp -Nhật Thi VUI04 giới thiệu)</t>
  </si>
  <si>
    <t>14t</t>
  </si>
  <si>
    <t>kiều phương - Mẹ của Thảo Kim giới thiệu</t>
  </si>
  <si>
    <t>nhắc lich</t>
  </si>
  <si>
    <t>Giao tiếp phản xạ với gvnn</t>
  </si>
  <si>
    <t>30-1-2012</t>
  </si>
  <si>
    <t>8/5/2013</t>
  </si>
  <si>
    <t>Su Su - Thầy Tuấn đưa về</t>
  </si>
  <si>
    <t>Võ Triều (Mẹ Phượng - Ngọc Sang VUI04 giới thiệu trên FP)</t>
  </si>
  <si>
    <t>Giang Hiền( mẹ Khánh Vy - Su Su giới thiệu)</t>
  </si>
  <si>
    <t>Mandy</t>
  </si>
  <si>
    <r>
      <rPr>
        <rFont val="Cambria"/>
        <color theme="1"/>
        <sz val="11.0"/>
      </rPr>
      <t xml:space="preserve">Hà Nội        Chỉ học trên trường
</t>
    </r>
    <r>
      <rPr>
        <rFont val="Cambria"/>
        <b/>
        <color theme="1"/>
        <sz val="11.0"/>
      </rPr>
      <t>NP0Đ</t>
    </r>
  </si>
  <si>
    <r>
      <rPr>
        <rFont val="Cambria"/>
        <color theme="1"/>
        <sz val="11.0"/>
      </rPr>
      <t xml:space="preserve">Tay Ninh        Tự học chương trình homeschool  Muốn Ngữ pháp tốt để nói và viết tốt
</t>
    </r>
    <r>
      <rPr>
        <rFont val="Cambria"/>
        <b/>
        <color theme="1"/>
        <sz val="11.0"/>
      </rPr>
      <t xml:space="preserve"> NP0Đ</t>
    </r>
  </si>
  <si>
    <r>
      <rPr>
        <rFont val="Cambria"/>
        <color theme="1"/>
        <sz val="11.0"/>
      </rPr>
      <t xml:space="preserve">Hà Nội         Chỉ học trên trường
</t>
    </r>
    <r>
      <rPr>
        <rFont val="Cambria"/>
        <b/>
        <color theme="1"/>
        <sz val="11.0"/>
      </rPr>
      <t>NP0Đ</t>
    </r>
  </si>
  <si>
    <r>
      <rPr>
        <rFont val="Cambria"/>
        <color theme="1"/>
        <sz val="11.0"/>
      </rPr>
      <t xml:space="preserve">Nghệ An        Học trên trường và học thêm ở ngoài (Trung tâm, gia sư riêng, ...)   Thứ 3&amp;5
</t>
    </r>
    <r>
      <rPr>
        <rFont val="Cambria"/>
        <b/>
        <color theme="1"/>
        <sz val="11.0"/>
      </rPr>
      <t>NP0Đ</t>
    </r>
  </si>
  <si>
    <t>Xuân Hồng (Mẹ Phượng - Ngọc Sang VUI04 giới thiệu trên FP)</t>
  </si>
  <si>
    <t>Hanh Ngo( mẹ Teresa gt)</t>
  </si>
  <si>
    <t>gtpx - 25b</t>
  </si>
  <si>
    <t>Kỳ Duyên (mẹ Hanh Ngo gt)</t>
  </si>
  <si>
    <t>9/10: mẹ quan tâm lớp gtpx gv Auu mỹ cân đối hp sẽ liên lạc lại sau. ko học gv Phi</t>
  </si>
  <si>
    <t>Hà Phan Tuệ Lâm\</t>
  </si>
  <si>
    <t>Lê Tuấn Anh ( mẹ Hoàng Bách gt)</t>
  </si>
  <si>
    <t>17/10: gọi trao đổi về 2 khoá học gtpx ng lớn và toeic, bạn tham khảo sẽ báo lại muốn học offline</t>
  </si>
  <si>
    <t>quan tâm lớp gtpx cho bạn lớp 2</t>
  </si>
  <si>
    <t>19/10: xếp lịch test cho bạn sau khi trải nghiệm lớp npbt 1 tháng
để con chuyển sang lớp gtpx
23/10: đã trả kết quả test chưa thấy bố phản hồi
30/10: nt chưa tháy bố phản hồi</t>
  </si>
  <si>
    <r>
      <rPr>
        <rFont val="Cambria"/>
        <color theme="1"/>
        <sz val="11.0"/>
      </rPr>
      <t xml:space="preserve">Số check
</t>
    </r>
    <r>
      <rPr>
        <rFont val="Cambria"/>
        <b/>
        <color theme="1"/>
        <sz val="11.0"/>
      </rPr>
      <t>(Đợi mẹ rep tn trên Fanpage rồi gọi sau ạ)</t>
    </r>
  </si>
  <si>
    <t xml:space="preserve">quan tâm lớp gtpx </t>
  </si>
  <si>
    <t>lucy</t>
  </si>
  <si>
    <t>gtpx 1-3</t>
  </si>
  <si>
    <t>2018- 5 tuổi</t>
  </si>
  <si>
    <t>25/10: gọi trao đổi và gửi thông tin về khoá học gtpx
31/10: nt và gọi dt ko phản hồi</t>
  </si>
  <si>
    <t>25/10: gọi trao đổi về khoá học gtpx, mẹ bảo sẽ chủ động liên lạc lại để test</t>
  </si>
  <si>
    <t>chị Thoại( p/h Minh Son gt)</t>
  </si>
  <si>
    <t>Anh ngữ Key Means gửi</t>
  </si>
  <si>
    <r>
      <rPr>
        <rFont val="Cambria"/>
        <color rgb="FFFF0000"/>
        <sz val="11.0"/>
      </rPr>
      <t xml:space="preserve">"Con ngoan hiền, lễ phép.
Con tập trung khi tham gia buổi test.
Tốc độ phản xạ: Khá
</t>
    </r>
    <r>
      <rPr>
        <rFont val="Cambria"/>
        <color rgb="FFFF0000"/>
        <sz val="11.0"/>
      </rPr>
      <t>Con có thể nghe và trả lời những câu hỏi giao tiếp cơ bản tuy nhiên cấu trúc câu của con sử dụng chưa đúng.</t>
    </r>
    <r>
      <rPr>
        <rFont val="Cambria"/>
        <color rgb="FFFF0000"/>
        <sz val="11.0"/>
      </rPr>
      <t xml:space="preserve">
</t>
    </r>
    <r>
      <rPr>
        <rFont val="Cambria"/>
        <color rgb="FFFF0000"/>
        <sz val="11.0"/>
      </rPr>
      <t>Con cần luyện thêm về phát âm cả độ chính xác, ngữ điệu, lưu loát và nối âm.</t>
    </r>
    <r>
      <rPr>
        <rFont val="Cambria"/>
        <color rgb="FFFF0000"/>
        <sz val="11.0"/>
      </rPr>
      <t xml:space="preserve">
Con nắm được bảng chữ cái và đánh vần được các từ với tốc độ vừa phải.
Tuy nhiên con còn nhầm lẫn cách đọc chữ cái ví dụ như chữ J và Z
Con có thể nắm được số từ 1-1000. 
Con chưa nắm được số thứ tự.
Con dùng được một số cấu trúc câu cơ bản.
Con có vốn từ cơ bản về con vật, đồ vật, vị trí, thời gian, môn thể thao, so sánh,...
</t>
    </r>
    <r>
      <rPr>
        <rFont val="Cambria"/>
        <color rgb="FFFF0000"/>
        <sz val="11.0"/>
      </rPr>
      <t>Con có thể đọc hiểu và trả lời được chính xác một số câu hỏi nhưng vẫn còn một số câu con chưa hiểu được câu hỏi dẫn đến trả lời nhầm hoặc chưa trả lời được.
Con chưa nắm chắc kiến thức về các thì.</t>
    </r>
    <r>
      <rPr>
        <rFont val="Cambria"/>
        <color rgb="FFFF0000"/>
        <sz val="11.0"/>
      </rPr>
      <t xml:space="preserve">
Con cần rèn luyện thêm về từ vựng và ngữ pháp với chương trình GTPX Level: UP 2. "</t>
    </r>
  </si>
  <si>
    <t>khtd</t>
  </si>
  <si>
    <t>4.5 tuổi</t>
  </si>
  <si>
    <t>Hồng Nguyễn( mẹ Minh Tâm gt)</t>
  </si>
  <si>
    <t>Hiếu Phạm( mẹ Minh Tâm gt)</t>
  </si>
  <si>
    <t>chị trâm ( e họ chị Mỹ)</t>
  </si>
  <si>
    <t>Ngọc Tân Phú( mẹ THanh Trúc, Thanh Quỳnh gt)</t>
  </si>
  <si>
    <t>phát âm</t>
  </si>
  <si>
    <t>kio Pan( mẹ trí Nam gtpx gt)</t>
  </si>
  <si>
    <t>tatd</t>
  </si>
  <si>
    <t>check lại</t>
  </si>
  <si>
    <t>2020
3,5 tuổi</t>
  </si>
  <si>
    <t>Ngọc Anh ( mẹ Hải châu gt)</t>
  </si>
  <si>
    <t xml:space="preserve">7/12: test trực tiếp tại trung tâm, báo hp theo 1-1 lớp gtpx
</t>
  </si>
  <si>
    <t>từ chối, ko có lộ trình phù hợp với học viên</t>
  </si>
  <si>
    <t>gọi trao đổi sau</t>
  </si>
  <si>
    <t>chị Yến( mẹ Nhật Nam lớp VUI)</t>
  </si>
  <si>
    <t>gtpx người lớn</t>
  </si>
  <si>
    <t>Mẹ Lan (từ data cần chăm sóc)</t>
  </si>
  <si>
    <t>tìm bạn ghép lớp</t>
  </si>
  <si>
    <t>qt gtpx</t>
  </si>
  <si>
    <t>xếp lịch test</t>
  </si>
  <si>
    <t>xếp lịch test, nhắc lịch</t>
  </si>
  <si>
    <t>quan tâm lớp gtpx cho con</t>
  </si>
  <si>
    <t>BÁO CÁO DATA THEO NGÀY</t>
  </si>
  <si>
    <t>SỐ LƯỢNG HỌC VIÊN ĐÓNG HỌC PHÍ THEO NGÀY VÀ NGUỒN</t>
  </si>
  <si>
    <t>NGÀY</t>
  </si>
  <si>
    <t>NHÂN VIÊN</t>
  </si>
  <si>
    <t>Doanh thu theo ngày</t>
  </si>
  <si>
    <t>NGUỒN DATA</t>
  </si>
  <si>
    <t>SỐ LƯỢNG HỌC VIÊN ĐÓNG HỌC PHÍ tháng 7/2023</t>
  </si>
  <si>
    <t>LOAN</t>
  </si>
  <si>
    <t>Tin nhắn từ FP</t>
  </si>
  <si>
    <t>Fanpage Kids</t>
  </si>
  <si>
    <t>Fanpage TOEIC</t>
  </si>
  <si>
    <t>TỔNG</t>
  </si>
  <si>
    <t>DOANH THU HỌC VIÊN ĐÓNG HỌC PHÍ THÁNG 7/2023</t>
  </si>
  <si>
    <t>Tỉ lệ chuyển đổi data từ ads</t>
  </si>
  <si>
    <t>Số lượng học viên đăng ký tháng 12</t>
  </si>
  <si>
    <t>DOANH THU HỌC VIÊN ĐÓNG HỌC PHÍ THEO NGÀY VÀ NGUỒN</t>
  </si>
  <si>
    <t>Trạngthái</t>
  </si>
  <si>
    <t>Đãđónghọcphí</t>
  </si>
  <si>
    <t>+84</t>
  </si>
  <si>
    <t>0905569559</t>
  </si>
  <si>
    <t>0905235035</t>
  </si>
  <si>
    <t>0358082055</t>
  </si>
  <si>
    <t>0935047245</t>
  </si>
  <si>
    <t>0905727679</t>
  </si>
  <si>
    <t>0982300399</t>
  </si>
  <si>
    <t>0966264686</t>
  </si>
  <si>
    <t>0779501655</t>
  </si>
  <si>
    <t>0983310959</t>
  </si>
  <si>
    <t>0395495654</t>
  </si>
  <si>
    <t>0901146444</t>
  </si>
  <si>
    <t>0963408999</t>
  </si>
  <si>
    <t>0905425600</t>
  </si>
  <si>
    <t>0935216190</t>
  </si>
  <si>
    <t>0934870060</t>
  </si>
  <si>
    <t>0906401401</t>
  </si>
  <si>
    <t>0971062099</t>
  </si>
  <si>
    <t>0914288348</t>
  </si>
  <si>
    <t>0397537709</t>
  </si>
  <si>
    <t>0915911943</t>
  </si>
  <si>
    <t>0905629379</t>
  </si>
  <si>
    <t>0983099895</t>
  </si>
  <si>
    <t>0937067612</t>
  </si>
  <si>
    <t>0989886221</t>
  </si>
  <si>
    <t>0905499930</t>
  </si>
  <si>
    <t>0906468428</t>
  </si>
  <si>
    <t>0988825768</t>
  </si>
  <si>
    <t>0978179762</t>
  </si>
  <si>
    <t>0868216305</t>
  </si>
  <si>
    <t>0901120779</t>
  </si>
  <si>
    <t>0979554764</t>
  </si>
  <si>
    <t>0905463348</t>
  </si>
  <si>
    <t>0987656009</t>
  </si>
  <si>
    <t>0905865866</t>
  </si>
  <si>
    <t>0982190195</t>
  </si>
  <si>
    <t>0905211333</t>
  </si>
  <si>
    <t>0937603206</t>
  </si>
  <si>
    <t>0935046093</t>
  </si>
  <si>
    <t>0932574633</t>
  </si>
  <si>
    <t>0925298698</t>
  </si>
  <si>
    <t>0982758736</t>
  </si>
  <si>
    <t>0914153035</t>
  </si>
  <si>
    <t>0919364244</t>
  </si>
  <si>
    <t>0984131906</t>
  </si>
  <si>
    <t>0919154588</t>
  </si>
  <si>
    <t>0984431043</t>
  </si>
  <si>
    <t>0768671855</t>
  </si>
  <si>
    <t>0792004599</t>
  </si>
  <si>
    <t>0399736160</t>
  </si>
  <si>
    <t>0986632769</t>
  </si>
  <si>
    <t>0979094666</t>
  </si>
  <si>
    <t>0933676566</t>
  </si>
  <si>
    <t>0935880857</t>
  </si>
  <si>
    <t>0935343464</t>
  </si>
  <si>
    <t>0935890055</t>
  </si>
  <si>
    <t>0765152145</t>
  </si>
  <si>
    <t>0905233229</t>
  </si>
  <si>
    <t>0989444179</t>
  </si>
  <si>
    <t>0963221287</t>
  </si>
  <si>
    <t>0973563172</t>
  </si>
  <si>
    <t>0903594979</t>
  </si>
  <si>
    <t>0355230093</t>
  </si>
  <si>
    <t>0393713496</t>
  </si>
  <si>
    <t>0905905941</t>
  </si>
  <si>
    <t>0983864959</t>
  </si>
  <si>
    <t>0915554367</t>
  </si>
  <si>
    <t>0932580630</t>
  </si>
  <si>
    <t>0914292196</t>
  </si>
  <si>
    <t>0905985699</t>
  </si>
  <si>
    <t>0862855455</t>
  </si>
  <si>
    <t>0932526163</t>
  </si>
  <si>
    <t>0983234781</t>
  </si>
  <si>
    <t>0905791166</t>
  </si>
  <si>
    <t>0901129779</t>
  </si>
  <si>
    <t>0905760505</t>
  </si>
  <si>
    <t>0948464456</t>
  </si>
  <si>
    <t>0763732820</t>
  </si>
  <si>
    <t>0905801668</t>
  </si>
  <si>
    <t>0905157500</t>
  </si>
  <si>
    <t>0985535919</t>
  </si>
  <si>
    <t>0979334825</t>
  </si>
  <si>
    <t>0947949885</t>
  </si>
  <si>
    <t>0774545455</t>
  </si>
  <si>
    <t>0986049358</t>
  </si>
  <si>
    <t>0815606070</t>
  </si>
  <si>
    <t>0914916788</t>
  </si>
  <si>
    <t>0979413317</t>
  </si>
  <si>
    <t>0905860155</t>
  </si>
  <si>
    <t>0982558094</t>
  </si>
  <si>
    <t>0914649977</t>
  </si>
  <si>
    <t>0905494799</t>
  </si>
  <si>
    <t>Số lượng học viên đăng ký tháng 11</t>
  </si>
  <si>
    <t>Số lượng học viên đăng ký tháng 10</t>
  </si>
  <si>
    <t>Số lượng học viên đăng ký tháng 9</t>
  </si>
  <si>
    <t>I. BÁO CÁO DOANH THU THEO NHÂN VIÊN</t>
  </si>
  <si>
    <t>Số lượng học viên đăng ký tháng 8</t>
  </si>
  <si>
    <t>Số lượng học viên đăng ký tháng 6</t>
  </si>
  <si>
    <t>SỐ LƯỢNG HỌC VIÊN ĐÓNG HỌC PHÍ tháng 6/2023</t>
  </si>
  <si>
    <t>DOANH THU HỌC VIÊN ĐÓNG HỌC PHÍ THÁNG 6/2023</t>
  </si>
  <si>
    <t>stt</t>
  </si>
  <si>
    <t>Tên học viên</t>
  </si>
  <si>
    <t>Ngày đóng phí</t>
  </si>
  <si>
    <t>Khóa đề xuất</t>
  </si>
  <si>
    <t>Tình trạng</t>
  </si>
  <si>
    <t>Tình trạng xếp lớp</t>
  </si>
  <si>
    <t>Lịch học đề xuất</t>
  </si>
  <si>
    <t>Note</t>
  </si>
  <si>
    <t xml:space="preserve">Nhân viên </t>
  </si>
  <si>
    <t>Thống kê năm 2023</t>
  </si>
  <si>
    <t>Người thống kê</t>
  </si>
  <si>
    <t>THỐNG KÊ SỐ HỌC VIÊN ĐĂNG KÝ 2023 CỦA TỪNG NHÂN VIÊN SALES</t>
  </si>
  <si>
    <t>Tháng liên hệ</t>
  </si>
  <si>
    <t>Tổng</t>
  </si>
  <si>
    <t>STT</t>
  </si>
  <si>
    <t>Nhân viên sales</t>
  </si>
  <si>
    <t>t7: có 3 học viên đóng lần 2</t>
  </si>
  <si>
    <t>t8: có 1 học viên đóng lần 2</t>
  </si>
  <si>
    <t>Dòng 628 -&gt; Linh
Dòng 550 -&gt; Ánh</t>
  </si>
  <si>
    <t>Đã học thử</t>
  </si>
  <si>
    <t>THỐNG KÊ DATA 2023 PHÂN BỔ CHO TỪNG NHÂN VIÊN SALES</t>
  </si>
  <si>
    <t>THỐNG KÊ DOANH THU 2023 CỦA TỪNG NHÂN VIÊN SALES</t>
  </si>
  <si>
    <t>THỐNG KÊ DATA 2023 PHÂN BỔ THEO NGUỒN</t>
  </si>
  <si>
    <t>THỐNG KÊ DOANH THU 2023 THEO NGUỒN</t>
  </si>
  <si>
    <t>Fanpage kids</t>
  </si>
  <si>
    <t>Fanpage Toeic</t>
  </si>
  <si>
    <t>THỐNG KÊ HỌC VIÊN THEO NGUỒN</t>
  </si>
  <si>
    <t>QUẢN LÝ NGUỒN DATA 2023</t>
  </si>
  <si>
    <t>Tháng 6</t>
  </si>
  <si>
    <t>Tháng 7</t>
  </si>
  <si>
    <t>Tháng 8</t>
  </si>
  <si>
    <t>Tháng 9</t>
  </si>
  <si>
    <t>Tháng 10</t>
  </si>
  <si>
    <t>Tháng 11</t>
  </si>
  <si>
    <t>Tháng 12</t>
  </si>
  <si>
    <t>QUẢN LÝ NGUỒN DOANH THU 2023</t>
  </si>
  <si>
    <t>Tháng 5</t>
  </si>
  <si>
    <t>Giao cho nhân viên Sales</t>
  </si>
  <si>
    <t>Trần Minh Thuận</t>
  </si>
  <si>
    <t>Dương Bảo Uyên</t>
  </si>
  <si>
    <t>Đã học ở trung tâm khác rồi</t>
  </si>
  <si>
    <t>Đinh Thụy An Nhiên</t>
  </si>
  <si>
    <t>Hoàng Nguyên Anh Thư</t>
  </si>
  <si>
    <t>Hồ Mạnh Cường</t>
  </si>
  <si>
    <t>Hồ Xuân Quỳnh</t>
  </si>
  <si>
    <t>Huỳnh Thị Như Ý</t>
  </si>
  <si>
    <t>Huỳnh Văn Bảo Long</t>
  </si>
  <si>
    <t>Lê Anh Kiệt</t>
  </si>
  <si>
    <t>Không nhu cầu</t>
  </si>
  <si>
    <t>Lê Đình Thái</t>
  </si>
  <si>
    <t>Bé học ở trung tâm khác rồi</t>
  </si>
  <si>
    <t>Lê Ngọc Như Quỳnh</t>
  </si>
  <si>
    <t>LÊ NGUYỄN NGỌC ANH</t>
  </si>
  <si>
    <t>Đã chuyển qua file tổng</t>
  </si>
  <si>
    <t>Lê Quang Nhật</t>
  </si>
  <si>
    <t>Lê Thị Thảo Nguyên</t>
  </si>
  <si>
    <t>Đã liên lạc được</t>
  </si>
  <si>
    <t>Chị đang bận, không hẹn được thời gian gọi lại</t>
  </si>
  <si>
    <t>Lê Trọng Đức</t>
  </si>
  <si>
    <t>Anh không có thời gian nghe tư vấn</t>
  </si>
  <si>
    <t>Lưu Tâm Mẫn</t>
  </si>
  <si>
    <t>Mai đăng khoa</t>
  </si>
  <si>
    <t>Mai Khánh Ngọc</t>
  </si>
  <si>
    <t>Thuê bao</t>
  </si>
  <si>
    <t>Đã học ở trung tâm khác r</t>
  </si>
  <si>
    <t>Mai Lê Phương Ngân</t>
  </si>
  <si>
    <t>Anh bảo anh rất là bận, k để lại thời gian gọi tiếo theo</t>
  </si>
  <si>
    <t>Mai Lê Thảo Nguyên</t>
  </si>
  <si>
    <t>Ngô Anh Khoa</t>
  </si>
  <si>
    <r>
      <rPr>
        <rFont val="Arial"/>
        <b/>
        <color rgb="FF0000FF"/>
        <sz val="11.0"/>
      </rPr>
      <t>Chiều 4h gọi lại</t>
    </r>
    <r>
      <rPr>
        <rFont val="Arial"/>
        <b/>
        <color theme="1"/>
        <sz val="11.0"/>
      </rPr>
      <t xml:space="preserve"> </t>
    </r>
  </si>
  <si>
    <t>Bố đi công tác xa rồi, k ở gần con</t>
  </si>
  <si>
    <t>Nguyễn Anh Kiệt</t>
  </si>
  <si>
    <t>Nguyễn Bảo Hoàng</t>
  </si>
  <si>
    <t>Số máy không có</t>
  </si>
  <si>
    <t>Nguyễn Bảo Uyên</t>
  </si>
  <si>
    <t>Bé đã học trung tâm khác r</t>
  </si>
  <si>
    <t>Nguyễn Cao Khánh Nhã</t>
  </si>
  <si>
    <t>Đang gửi thông tin cho mẹ, mẹ cũng đăng tìm hiểu 1 trung tâm khác</t>
  </si>
  <si>
    <t>Nguyễn Đoàn Nhật Thư</t>
  </si>
  <si>
    <t>Mẹ nói mẹ không cần</t>
  </si>
  <si>
    <t>Nguyễn Hải Huân</t>
  </si>
  <si>
    <t>Nguyễn Hoàng Ngọc Đan</t>
  </si>
  <si>
    <t>Anh từ chối vì mệt</t>
  </si>
  <si>
    <t>Nguyễn Lê Gia Hưng</t>
  </si>
  <si>
    <t>Nguyễn Lê Huy</t>
  </si>
  <si>
    <t>Nguyễn Minh Trí</t>
  </si>
  <si>
    <t>Mẹ không có nhu cầu</t>
  </si>
  <si>
    <t>Nguyễn Ngọc Bảo Hân</t>
  </si>
  <si>
    <t>Bé đã học tiếng Anh rồi</t>
  </si>
  <si>
    <t>Nguyễn Ngọc Hà Vi</t>
  </si>
  <si>
    <t>Nguyễn Ngọc Minh Tiến</t>
  </si>
  <si>
    <t>Nguyễn Ngọc Thanh Phong</t>
  </si>
  <si>
    <t>Nguyễn Ngọc Thanh Sang</t>
  </si>
  <si>
    <t>Không có nhu cầu</t>
  </si>
  <si>
    <t>Nguyễn Nhật Hạ</t>
  </si>
  <si>
    <t>Số máy k tồn tại</t>
  </si>
  <si>
    <t>Nguyễn Phạm Khánh Vân</t>
  </si>
  <si>
    <t>Mẹ nói bé không học</t>
  </si>
  <si>
    <t>Nguyễn Quang Khôi</t>
  </si>
  <si>
    <t>Bé đang học trung tâm khác rồi</t>
  </si>
  <si>
    <t>Bé nói đã từng học và ấn tượng k tốt lắm</t>
  </si>
  <si>
    <t>Nguyễn Quỳnh Như</t>
  </si>
  <si>
    <t xml:space="preserve">Hẹn tối gọi lại </t>
  </si>
  <si>
    <t>Nguyễn Thanh Châu</t>
  </si>
  <si>
    <t>Anh không có nhu cầu</t>
  </si>
  <si>
    <t>Không muốn con học ở trung tâm</t>
  </si>
  <si>
    <t>Nguyễn Thế Thắng</t>
  </si>
  <si>
    <t>Từ chối, không hẹn được lịch gọi lại</t>
  </si>
  <si>
    <t>Nguyễn Thị Mai Khanh</t>
  </si>
  <si>
    <t>K kịp nói gì thì tắt máy</t>
  </si>
  <si>
    <t>Nguyễn Thùy Dương</t>
  </si>
  <si>
    <t>Em đã học trung tâm rồi ạ</t>
  </si>
  <si>
    <t>Nguyễn Trọng Thanh</t>
  </si>
  <si>
    <t>Nguyễn Xuân Minh</t>
  </si>
  <si>
    <t>Anh đang bận, có gì anh liên hệ sau</t>
  </si>
  <si>
    <t>NGUYỄN BẢO HOÀNG</t>
  </si>
  <si>
    <t>Phạm Mai Quốc Trung</t>
  </si>
  <si>
    <t>Con không có thời gian để học</t>
  </si>
  <si>
    <t>Phạm Minh Tuệ</t>
  </si>
  <si>
    <t>0935616054/788794454</t>
  </si>
  <si>
    <t>Không nghe máy</t>
  </si>
  <si>
    <t>Phạm Ngọc Khải</t>
  </si>
  <si>
    <t>Mẹ bận quá, không tiếp chuyện được</t>
  </si>
  <si>
    <t>Phạm Trần Anh Vũ</t>
  </si>
  <si>
    <t>thuê bao</t>
  </si>
  <si>
    <t>Phạm Văn Trí Bảo</t>
  </si>
  <si>
    <t>gọi lại vào buổi tối</t>
  </si>
  <si>
    <t>Phạm Việt Anh</t>
  </si>
  <si>
    <t>con đang học ở trung tâm khác</t>
  </si>
  <si>
    <t>Phan Anh Huyền Thư</t>
  </si>
  <si>
    <t>Phan Đình Gia Bảo</t>
  </si>
  <si>
    <t>muốn con học trực tiếp ko có nhu cầu học onl</t>
  </si>
  <si>
    <t>Phan Ngọc Diệu Thảo</t>
  </si>
  <si>
    <t>không có nhu câug cho con học online. đang học trực tiếp ở trung tâm</t>
  </si>
  <si>
    <t>Phan Thị Yến Nhi</t>
  </si>
  <si>
    <t>Phan Trần Quốc Khánh</t>
  </si>
  <si>
    <t>học ở trung tâm khác</t>
  </si>
  <si>
    <t>Tạ Thiên Kỳ</t>
  </si>
  <si>
    <t>Thanh Khôi</t>
  </si>
  <si>
    <t>Tran Huy Tan Phat</t>
  </si>
  <si>
    <t>gọi lại lúc khác</t>
  </si>
  <si>
    <t>Trần an nguyên</t>
  </si>
  <si>
    <t>không nhu cầu</t>
  </si>
  <si>
    <t>Trần Bảo Ánh Dương</t>
  </si>
  <si>
    <t>gọi lại sau buổi tối</t>
  </si>
  <si>
    <t>Trần Đình phước sang</t>
  </si>
  <si>
    <t>Trần Gia Bảo</t>
  </si>
  <si>
    <t>Trần Hồ Bảo Ngọc</t>
  </si>
  <si>
    <t>đang học trung tâm khác</t>
  </si>
  <si>
    <t>Trần Ngọc Thiên Ân</t>
  </si>
  <si>
    <t>không nhu cầu con đã có chỗ học</t>
  </si>
  <si>
    <t>Trần Quang Thiện</t>
  </si>
  <si>
    <t>Trần Thị Hoàng Yến</t>
  </si>
  <si>
    <t>Trần Trung Dũng</t>
  </si>
  <si>
    <t>Trần Xuân San</t>
  </si>
  <si>
    <t>Võ duy khoa</t>
  </si>
  <si>
    <t>chửi đừng làm phiền người khác</t>
  </si>
  <si>
    <t>Võ Đặng Nhã Uyên</t>
  </si>
  <si>
    <t>Võ Nguyễn Trân Trân</t>
  </si>
  <si>
    <t>Võ Thị Hồng Ngọc</t>
  </si>
  <si>
    <t>làm phiền người khác quá. knc</t>
  </si>
  <si>
    <t>Lâm Thị Thắm</t>
  </si>
  <si>
    <t>Lê Quỳnh Anh</t>
  </si>
  <si>
    <t>đã học trung tâm khác</t>
  </si>
  <si>
    <t>Lê Trung Châu</t>
  </si>
  <si>
    <t>Nguyễn gia Long</t>
  </si>
  <si>
    <t>cúp ngang</t>
  </si>
  <si>
    <t>Nguyễn hiếu nghĩa</t>
  </si>
  <si>
    <t>Phan Phuc Huy</t>
  </si>
  <si>
    <t>knc</t>
  </si>
  <si>
    <t>Trần Ngọc Hoàng Quân</t>
  </si>
  <si>
    <t>Huỳnh Đinh Công Khánh</t>
  </si>
  <si>
    <t>buổi tối gọi lại ạ.</t>
  </si>
  <si>
    <t>Lê Nguyễn Hoàng Long</t>
  </si>
  <si>
    <t>Lê Nguyễn Quốc Khánh</t>
  </si>
  <si>
    <t>mẹ đã kiếm được chỗ học</t>
  </si>
  <si>
    <t>Lê Thị Bảo Châu</t>
  </si>
  <si>
    <t>Mai Tấn Phong</t>
  </si>
  <si>
    <t>Nguyễn bá tấn thanh</t>
  </si>
  <si>
    <t>trưa gọi lại</t>
  </si>
  <si>
    <t>Nguyễn Hà Hạnh Nguyên</t>
  </si>
  <si>
    <t>Nguyễn Huỳnh Nhật Nam</t>
  </si>
  <si>
    <t xml:space="preserve">gọi lại sau </t>
  </si>
  <si>
    <t>Nguyễn Khánh Nguyên</t>
  </si>
  <si>
    <t>Nguyễn Ngọc Cẩm</t>
  </si>
  <si>
    <t>Nguyễn Thị Như Ngọc</t>
  </si>
  <si>
    <t>Nguyễn Thị Thanh Trúc</t>
  </si>
  <si>
    <t>Phạm Đỗ Anh Tú</t>
  </si>
  <si>
    <t>đã tìm dc chỗ học</t>
  </si>
  <si>
    <t>Phạm Tường Phúc Nguyên</t>
  </si>
  <si>
    <t>đã tìm được chỗ học cho con</t>
  </si>
  <si>
    <t>Phan Hải Đăng</t>
  </si>
  <si>
    <t>Trần Nguyễn Trí Nguyên</t>
  </si>
  <si>
    <t>Hương duyên</t>
  </si>
  <si>
    <t>Bé đã học rồi</t>
  </si>
  <si>
    <t>Khanh dan</t>
  </si>
  <si>
    <t>Bố đang bận rồi</t>
  </si>
  <si>
    <t>lã nguyễn thảo chi</t>
  </si>
  <si>
    <t>Số này k có</t>
  </si>
  <si>
    <t>Lâm Nguyễn ánh Dương</t>
  </si>
  <si>
    <t>Chị k có thời gian</t>
  </si>
  <si>
    <t>Lê  Nguyễn Bảo Uyên</t>
  </si>
  <si>
    <t xml:space="preserve">Chị đang bận r </t>
  </si>
  <si>
    <t>Lê Bảo Giang</t>
  </si>
  <si>
    <t>Lịch học cấn lịch, k học được</t>
  </si>
  <si>
    <t>Lê Bảo Ngân</t>
  </si>
  <si>
    <t>Bé đã học ở chỗ khác r</t>
  </si>
  <si>
    <t>Lê Cao Thanh Trường</t>
  </si>
  <si>
    <t>Lê Doãn Xuân Khôi</t>
  </si>
  <si>
    <t>Lê Duy Hiếu</t>
  </si>
  <si>
    <t>Lê Đăng Khánh</t>
  </si>
  <si>
    <t>Lê Đăng Khoa</t>
  </si>
  <si>
    <t>Lê Đặng Quỳnh Nhi</t>
  </si>
  <si>
    <t>KNM</t>
  </si>
  <si>
    <t>LÊ ĐỨC DUY</t>
  </si>
  <si>
    <t xml:space="preserve">Mẹ đang bận </t>
  </si>
  <si>
    <t>Lê Đức Đăng Khoa</t>
  </si>
  <si>
    <t>Chị từ chối k cần</t>
  </si>
  <si>
    <t>Lê Đức Quốc Nguyên</t>
  </si>
  <si>
    <t>909096053
778082469</t>
  </si>
  <si>
    <t>Đã từng học r</t>
  </si>
  <si>
    <t>Lê Gia Hân</t>
  </si>
  <si>
    <t>Lê Hoàng Phương Anh</t>
  </si>
  <si>
    <t>BÀ NỘI NÓI SẼ LIÊN LẠC VỚI MẸ SAU (Uyên)</t>
  </si>
  <si>
    <t>Lê Hoàng Quân</t>
  </si>
  <si>
    <t>Lê hồ như ý</t>
  </si>
  <si>
    <t xml:space="preserve">Chị đang bận </t>
  </si>
  <si>
    <t>Lê Huỳnh Anh</t>
  </si>
  <si>
    <t>Bé đang học chỗ khác r</t>
  </si>
  <si>
    <t>LÊ HUỲNH BẢO NGUYÊN</t>
  </si>
  <si>
    <t>Anh k có nhu cầu</t>
  </si>
  <si>
    <t>Lê Huỳnh Bảo Nguyên</t>
  </si>
  <si>
    <t xml:space="preserve">Chị đang bận, k hẹn được lịch </t>
  </si>
  <si>
    <t>Lê Huỳnh Bảo Trân</t>
  </si>
  <si>
    <t>lê huỳnh khánh ngọc</t>
  </si>
  <si>
    <t>Lê Hữu Minh Quân</t>
  </si>
  <si>
    <t>Anh đang bận, chưa có thời gian</t>
  </si>
  <si>
    <t>Lê Kiều Anh Nhi</t>
  </si>
  <si>
    <t>Bé đã đi học rồi</t>
  </si>
  <si>
    <t>Lê Mai Phong Vũ</t>
  </si>
  <si>
    <t>0905114929/0905117887</t>
  </si>
  <si>
    <t>Lê Minh Hà</t>
  </si>
  <si>
    <t>Lê Ngọc An Nhiên</t>
  </si>
  <si>
    <t>Lê Ngọc Ánh Dương</t>
  </si>
  <si>
    <t>Mẹ đang bận</t>
  </si>
  <si>
    <t>0775 418 438</t>
  </si>
  <si>
    <t>Lê Ngọc Gia Long</t>
  </si>
  <si>
    <t>Mẹ k nhu cầu</t>
  </si>
  <si>
    <t>Lê Ngọc Hân</t>
  </si>
  <si>
    <t>Bố k có nhu cầu</t>
  </si>
  <si>
    <t>Lê Ngọc Huy</t>
  </si>
  <si>
    <t>Mẹ đang làm việc, knc</t>
  </si>
  <si>
    <t>May k đổ chuông</t>
  </si>
  <si>
    <t>Lê Ngọc Thanh Vương</t>
  </si>
  <si>
    <t>Hẹn tối gọi</t>
  </si>
  <si>
    <t>Lê Ngọc Thảo Duyên</t>
  </si>
  <si>
    <t>Bé đã học hết bên trung tâm r</t>
  </si>
  <si>
    <t>Lê Ngọc Thu Uyên</t>
  </si>
  <si>
    <t>Lê Ngọc Trung</t>
  </si>
  <si>
    <t>Lê Ngô Quốc Vĩ</t>
  </si>
  <si>
    <t>bé nhà mình không học.</t>
  </si>
  <si>
    <t>Lê Nguyễn Bảo Nguyên</t>
  </si>
  <si>
    <t>chặn số dt</t>
  </si>
  <si>
    <t>Lê Nguyễn Diễm Quỳnh</t>
  </si>
  <si>
    <t>từ chối</t>
  </si>
  <si>
    <t>Lê Nguyễn Đức Tiến</t>
  </si>
  <si>
    <t>Lê Nguyễn Hoàng Yến</t>
  </si>
  <si>
    <t>Lê Nguyễn Khắc Huy</t>
  </si>
  <si>
    <t>knm</t>
  </si>
  <si>
    <t>Lê Nguyên Phương</t>
  </si>
  <si>
    <t>cúp máy ngang</t>
  </si>
  <si>
    <t>LÊ NGUYỄN THỊ MINH HOÀNG</t>
  </si>
  <si>
    <t>LÊ NGUYỄN THỊ THANH VÂN</t>
  </si>
  <si>
    <t>sai số dt</t>
  </si>
  <si>
    <t>Lê Nguyễn Thị Thanh Vân</t>
  </si>
  <si>
    <t>Lê Nguyễn Thủy Trúc</t>
  </si>
  <si>
    <t>LÊ NHẬT HUY</t>
  </si>
  <si>
    <t>con đã đăng kí học lớp khác rồi</t>
  </si>
  <si>
    <t>Lê Như Kiều Anh</t>
  </si>
  <si>
    <t>con có chỗ học r</t>
  </si>
  <si>
    <t>Lê Phạm  Ngọc Uyên</t>
  </si>
  <si>
    <t>Lê Phạm Hải Nam</t>
  </si>
  <si>
    <t>Lê Phạm Quỳnh Thư</t>
  </si>
  <si>
    <t>Lê Phạm Quỳnh Trâm</t>
  </si>
  <si>
    <t>Lê Phan Bảo Nguyên</t>
  </si>
  <si>
    <t>để về hỏi con</t>
  </si>
  <si>
    <t>Lê Phan Bảo Trâm</t>
  </si>
  <si>
    <t>đã có chỗ học r</t>
  </si>
  <si>
    <t>Lê Phước Bảo Châu</t>
  </si>
  <si>
    <t>Lê Quang Đạt</t>
  </si>
  <si>
    <t>Lê Quang Khang</t>
  </si>
  <si>
    <t>Lê Quang khang</t>
  </si>
  <si>
    <t>Lê Tấn Minh Khang</t>
  </si>
  <si>
    <t>Lê Tấn Trung</t>
  </si>
  <si>
    <t>con có lop học r</t>
  </si>
  <si>
    <t>Lê Thành Đạt</t>
  </si>
  <si>
    <t>Lê thảo nguyên</t>
  </si>
  <si>
    <t>Lê Thị Bảo Ngọc</t>
  </si>
  <si>
    <t>Lê Thị cẩm ly</t>
  </si>
  <si>
    <t>Lê Thị Hoàng Diệu</t>
  </si>
  <si>
    <t>Lê Thị Khánh Hiền</t>
  </si>
  <si>
    <t>Lê thị khánh linh</t>
  </si>
  <si>
    <t>LÊ THỊ MỸ DUNG</t>
  </si>
  <si>
    <t>Lê Thị Ngọc Hà</t>
  </si>
  <si>
    <t>Lê Thị Ngọc Nhi</t>
  </si>
  <si>
    <t>Lê Thị Phương Ly</t>
  </si>
  <si>
    <t>Lê thị phương Thảo</t>
  </si>
  <si>
    <t>Lê thị thanh Duyên</t>
  </si>
  <si>
    <t>Lê Thị Thủy Tiên</t>
  </si>
  <si>
    <t>Lê Thị Yến Nhi</t>
  </si>
  <si>
    <t>0762644628</t>
  </si>
  <si>
    <t>gọi ko nghe máy</t>
  </si>
  <si>
    <t>Lê Trần Anh Tú</t>
  </si>
  <si>
    <t>Lê Trần Minh Nhật</t>
  </si>
  <si>
    <t>Lê Trần Thanh Trúc</t>
  </si>
  <si>
    <t>Lê Trần Thu Hoài</t>
  </si>
  <si>
    <t>ko nghe máy</t>
  </si>
  <si>
    <t>Lê Trịnh Yến Ngân</t>
  </si>
  <si>
    <t>Lê Trọng Tấn</t>
  </si>
  <si>
    <t>LÊ TRUNG CHÂU</t>
  </si>
  <si>
    <t>LÊ TRUNG CHÍ</t>
  </si>
  <si>
    <t>Lê Trung Nam</t>
  </si>
  <si>
    <t>con đang học trung tâm khác</t>
  </si>
  <si>
    <t>Lê Trung Nguyên</t>
  </si>
  <si>
    <t>Lê Trung Trường Thịnh</t>
  </si>
  <si>
    <t>ko nhu cầu</t>
  </si>
  <si>
    <t>Lê Trương Hồng Đăng</t>
  </si>
  <si>
    <t>Lê Tuệ Minh</t>
  </si>
  <si>
    <t>đã cho bé đi học r</t>
  </si>
  <si>
    <t>Lê Uyên Châu</t>
  </si>
  <si>
    <t>Lê Văn Đạt</t>
  </si>
  <si>
    <t>LÊ VĂN NHẬT</t>
  </si>
  <si>
    <t>Lê Văn Phúc Lâm</t>
  </si>
  <si>
    <t>Lê Văn Trung</t>
  </si>
  <si>
    <t>Lê Xuân Nam</t>
  </si>
  <si>
    <t>Linh Bảo Trinh</t>
  </si>
  <si>
    <t>Lương Bảo Uyên</t>
  </si>
  <si>
    <t>Lương Đăng Khoa</t>
  </si>
  <si>
    <t>Lương Hoàng Long</t>
  </si>
  <si>
    <t>Lương Khánh My</t>
  </si>
  <si>
    <t>Lương Minh Khuê</t>
  </si>
  <si>
    <t>ko phản hồi</t>
  </si>
  <si>
    <t>Lương Ngọc Bảo Uyên</t>
  </si>
  <si>
    <t>Lương Nguyên Ngọc</t>
  </si>
  <si>
    <t>Lương nguyễn nhật minh</t>
  </si>
  <si>
    <t>Lương Quang Tuấn</t>
  </si>
  <si>
    <t>Lương Thanh Hương</t>
  </si>
  <si>
    <t>Lương Thị Hoàng My</t>
  </si>
  <si>
    <t xml:space="preserve">bé đang học trung tâm khác </t>
  </si>
  <si>
    <t>Lương Thị Hồng Phúc</t>
  </si>
  <si>
    <t>Lương tùng quân</t>
  </si>
  <si>
    <t>Lưu Bảo Quyên</t>
  </si>
  <si>
    <t>Lưu Gia Hân</t>
  </si>
  <si>
    <t>Mã Ngọc Như Ý</t>
  </si>
  <si>
    <t>các con học ở trung tâm hết r</t>
  </si>
  <si>
    <t>con lớn r ko nhu cầu nó tự kiếm chỗ học</t>
  </si>
  <si>
    <t>Mai  đăng  khoa</t>
  </si>
  <si>
    <t>tối gọi lại</t>
  </si>
  <si>
    <t>Mai Bảo Thi</t>
  </si>
  <si>
    <t>Mai Công An</t>
  </si>
  <si>
    <t>Mai Đăng Khang</t>
  </si>
  <si>
    <t>bận gọi lại sau</t>
  </si>
  <si>
    <t>Mai Đăng Quân</t>
  </si>
  <si>
    <t>con học ở trung tâm khác r</t>
  </si>
  <si>
    <t>Mai Đăng Quốc Thịnh</t>
  </si>
  <si>
    <t>Mai Đăng Trung</t>
  </si>
  <si>
    <t>sdt ko có</t>
  </si>
  <si>
    <t>Mai Hoàng Bảo Ngọc</t>
  </si>
  <si>
    <t>Mai Hoàng Nam</t>
  </si>
  <si>
    <t>Mai Hồng Linh</t>
  </si>
  <si>
    <t>con còn nhỏ mới 3 tuổi chưa học dc</t>
  </si>
  <si>
    <t>Mai Hương Giang</t>
  </si>
  <si>
    <t>Mai lê đăng khoa</t>
  </si>
  <si>
    <t>knc.</t>
  </si>
  <si>
    <t>Chị đang bận rồi cúp máy luôn</t>
  </si>
  <si>
    <t>Mai Nguyễn Thiên Trí</t>
  </si>
  <si>
    <t>sai số</t>
  </si>
  <si>
    <t>Mai Phan Như Quỳnh</t>
  </si>
  <si>
    <t>bé đã học trung tâm r</t>
  </si>
  <si>
    <t>mai phuong</t>
  </si>
  <si>
    <t>Mai Phương Ngọc Diệp</t>
  </si>
  <si>
    <t>Mai Thị Ánh Minh</t>
  </si>
  <si>
    <t>Mai Thị Anh Thư</t>
  </si>
  <si>
    <t>Mẹ k có nhu cầu</t>
  </si>
  <si>
    <t>Mai Thị Diễm Phúc</t>
  </si>
  <si>
    <t>Mai Thị Thanh Hiền</t>
  </si>
  <si>
    <t>Mai Thị Thanh Trúc</t>
  </si>
  <si>
    <t>Bố cho bé học chỗ khác r</t>
  </si>
  <si>
    <t>11h30 gọi lại</t>
  </si>
  <si>
    <t>Mai Văn Gia Huy</t>
  </si>
  <si>
    <t>Mai Văn Tú</t>
  </si>
  <si>
    <t>Mai Võ Quỳnh Anh</t>
  </si>
  <si>
    <t>Chị đang bận, k có thời gian</t>
  </si>
  <si>
    <t>Mai Xuân Bách</t>
  </si>
  <si>
    <t>Mai Xuân Triều</t>
  </si>
  <si>
    <t>Mai Xuân Trường</t>
  </si>
  <si>
    <t>Min</t>
  </si>
  <si>
    <t>Nghiêm Bảo Nam</t>
  </si>
  <si>
    <t>Mẹ cắt ngang điện thoại</t>
  </si>
  <si>
    <t>Ngọc Oanh</t>
  </si>
  <si>
    <t>KNC</t>
  </si>
  <si>
    <t>ngọc tuấn</t>
  </si>
  <si>
    <t>Số máy k có</t>
  </si>
  <si>
    <t xml:space="preserve">Bé bận k có thời gian học </t>
  </si>
  <si>
    <t>Ngô Anh Quân</t>
  </si>
  <si>
    <t>Ngô Bảo Châu</t>
  </si>
  <si>
    <t>Ngô Bảo Trân</t>
  </si>
  <si>
    <t>Mẹ cắt ngang máy</t>
  </si>
  <si>
    <t>Ngô Cát Tiên</t>
  </si>
  <si>
    <t>Bé đã học ở trung tâm rồi</t>
  </si>
  <si>
    <t>Ngô đào thảo uyên</t>
  </si>
  <si>
    <t>Ngô Long Vũ</t>
  </si>
  <si>
    <t>Ngô ngọc bảo thy</t>
  </si>
  <si>
    <t>Tối gọi lại. Gọi thì phụ huynh cúp máy</t>
  </si>
  <si>
    <t>Ngô Ngọc Quân</t>
  </si>
  <si>
    <t>Ngô Nguyễn Hải Đăng</t>
  </si>
  <si>
    <t>Tối gọi lại. Gọi k được</t>
  </si>
  <si>
    <t>Ngô Nguyễn Hải Yến</t>
  </si>
  <si>
    <t>Ngô Nguyễn Lan Anh</t>
  </si>
  <si>
    <t>NGÔ NGUYÊN TÂM</t>
  </si>
  <si>
    <t>Ngô Phúc Huy</t>
  </si>
  <si>
    <t>Ngô phúc huyền vy</t>
  </si>
  <si>
    <t>Chị k nghe</t>
  </si>
  <si>
    <t>Ngô Quỳnh Phương Thảo</t>
  </si>
  <si>
    <t>Mẹ có 2 bé lớp 6 và lớp 9</t>
  </si>
  <si>
    <t>NGÔ THANH LÂM</t>
  </si>
  <si>
    <t xml:space="preserve">Mẹ hẹn tối gọi </t>
  </si>
  <si>
    <t>Ngô Thảo Nhi</t>
  </si>
  <si>
    <t>Ngô Thị Hà Giang</t>
  </si>
  <si>
    <t>Ngô Thị Ngọc Vân</t>
  </si>
  <si>
    <t>Bé học trung tâm r</t>
  </si>
  <si>
    <t>Ngô Thị Thanh Thuỷ</t>
  </si>
  <si>
    <t>Ngô Thiên Hoàng Yến</t>
  </si>
  <si>
    <t>Ngô Thiện Minh</t>
  </si>
  <si>
    <t>ngô trần hiểu min</t>
  </si>
  <si>
    <t>Ngô Văn Quang</t>
  </si>
  <si>
    <t>số máy k có</t>
  </si>
  <si>
    <t>bé đã học r</t>
  </si>
  <si>
    <t>Ngô Văn Tài</t>
  </si>
  <si>
    <t>Bố bận, bố quạu</t>
  </si>
  <si>
    <t>Ngô Vũ Hoàng Minh</t>
  </si>
  <si>
    <t>NGUYEN LE GIA PHAT</t>
  </si>
  <si>
    <t>Nguyen Mai Ngoc Han</t>
  </si>
  <si>
    <t>TỐI GỌI</t>
  </si>
  <si>
    <t>Nguyen ngoc phuong thảo</t>
  </si>
  <si>
    <t>Nguyen Thien Toan</t>
  </si>
  <si>
    <t>Bé đã học r</t>
  </si>
  <si>
    <t>Nguyễn Ánh Nhi</t>
  </si>
  <si>
    <t xml:space="preserve">CÚP NGANG </t>
  </si>
  <si>
    <t>Nguyễn Anh Quân</t>
  </si>
  <si>
    <t>Mẹ bận r, k hẹn được lịch test</t>
  </si>
  <si>
    <t>Hồ Anh Bảo Ngân</t>
  </si>
  <si>
    <t>Bé có giáo viên dạy r</t>
  </si>
  <si>
    <t>Nguyễn Hoàng Hà</t>
  </si>
  <si>
    <t>Nguyễn Thị Thuỳ Linh</t>
  </si>
  <si>
    <t>0905823417</t>
  </si>
  <si>
    <t>Võ Thị Bích Ngọc</t>
  </si>
  <si>
    <t>0899857934</t>
  </si>
  <si>
    <t>Phạm Viết Tiến</t>
  </si>
  <si>
    <t>0905926271</t>
  </si>
  <si>
    <t>Nguyễn Ngọc Trà My</t>
  </si>
  <si>
    <t>0086206121</t>
  </si>
  <si>
    <t>SỐ TRUNG QUỐC</t>
  </si>
  <si>
    <t>Nguyễn Phạm Đăng Khoa</t>
  </si>
  <si>
    <t>0983096327</t>
  </si>
  <si>
    <t>CÚP NGANG</t>
  </si>
  <si>
    <t>Nguyễn Phùng HươngGiang</t>
  </si>
  <si>
    <t>0935602777</t>
  </si>
  <si>
    <t>Nguyễn thị bảo uyên</t>
  </si>
  <si>
    <t>0909036641</t>
  </si>
  <si>
    <t>Nguyễn Văn Phi Long</t>
  </si>
  <si>
    <t>0852446001</t>
  </si>
  <si>
    <t>Nguyễn Viết Khôi</t>
  </si>
  <si>
    <t>0905870906</t>
  </si>
  <si>
    <t>Nguyễn Vũ Bảo Trâm</t>
  </si>
  <si>
    <t>0935335612</t>
  </si>
  <si>
    <t>0935335613</t>
  </si>
  <si>
    <t>Phụ huynh cực kì quạu</t>
  </si>
  <si>
    <t>Phạm Hà Trang</t>
  </si>
  <si>
    <t>0905882884</t>
  </si>
  <si>
    <t>Bé đã học ở trung tâm r</t>
  </si>
  <si>
    <t>Phạm Tấn Trường Minh</t>
  </si>
  <si>
    <t>0905286717</t>
  </si>
  <si>
    <t>Phạm Thị Ngọc Bích</t>
  </si>
  <si>
    <t>0914736679</t>
  </si>
  <si>
    <t>Thái Nguyễn Thanh Ngọc</t>
  </si>
  <si>
    <t>0983090442</t>
  </si>
  <si>
    <t>Trần Bảo Hân</t>
  </si>
  <si>
    <t>0978577202</t>
  </si>
  <si>
    <t>Trương Uyên Linh</t>
  </si>
  <si>
    <t>0935155855</t>
  </si>
  <si>
    <t>Nguyễn Hà Trang Thư</t>
  </si>
  <si>
    <t>0935696477</t>
  </si>
  <si>
    <t xml:space="preserve"> bé đã học ngoài r</t>
  </si>
  <si>
    <t>Nguyễn Hồ Quỳnh Hương</t>
  </si>
  <si>
    <t>0906728055</t>
  </si>
  <si>
    <t>Nguyễn Ngọc Cẩm Nhung</t>
  </si>
  <si>
    <t>0905179116</t>
  </si>
  <si>
    <t>Nguyễn Phúc Lâm</t>
  </si>
  <si>
    <t>0396988332</t>
  </si>
  <si>
    <t>nguyễn quang hiếu</t>
  </si>
  <si>
    <t>0917818122</t>
  </si>
  <si>
    <t>Nguyễn Thị Kim Ngân</t>
  </si>
  <si>
    <t>0935065638</t>
  </si>
  <si>
    <t>Nguyễn thị thanh huyền</t>
  </si>
  <si>
    <t>0343403138</t>
  </si>
  <si>
    <t>Nguyễn Vũ Lâm</t>
  </si>
  <si>
    <t>0867759356</t>
  </si>
  <si>
    <t>0978691795</t>
  </si>
  <si>
    <t>Nông Lê Thảo My</t>
  </si>
  <si>
    <t>0926871770</t>
  </si>
  <si>
    <t>Phạm Huỳnh Phương Ngọc</t>
  </si>
  <si>
    <t>0914250339</t>
  </si>
  <si>
    <t>PHAN LÊ KHÁNH QUỲNH</t>
  </si>
  <si>
    <t>0905258334</t>
  </si>
  <si>
    <t>Phan Thị Bích Ngọc</t>
  </si>
  <si>
    <t>0982222992</t>
  </si>
  <si>
    <t>Phùng thị ngân vy</t>
  </si>
  <si>
    <t>0905738245</t>
  </si>
  <si>
    <t>Thái Vĩnh Hoàng</t>
  </si>
  <si>
    <t>0905680703</t>
  </si>
  <si>
    <t>Trần Cát Thiên Kim</t>
  </si>
  <si>
    <t>0935555357</t>
  </si>
  <si>
    <t>Trần Đăng Khôi</t>
  </si>
  <si>
    <t>0354455579</t>
  </si>
  <si>
    <t>Trần Đình Nguyên Vũ</t>
  </si>
  <si>
    <t>0936 282 727</t>
  </si>
  <si>
    <t>Trần Ngọc Thịnh</t>
  </si>
  <si>
    <t>0905590618</t>
  </si>
  <si>
    <t>trương kiến thành</t>
  </si>
  <si>
    <t>0932544468</t>
  </si>
  <si>
    <t>Trương Trần Anh Kiệt</t>
  </si>
  <si>
    <t>0905578713</t>
  </si>
  <si>
    <t>Huy Nhật</t>
  </si>
  <si>
    <t>0796773132</t>
  </si>
  <si>
    <t>KHÁNH NHI</t>
  </si>
  <si>
    <t>0395583117</t>
  </si>
  <si>
    <t>LÊ TRẦN KA THY</t>
  </si>
  <si>
    <t>0932441037</t>
  </si>
  <si>
    <t>Nguyễn Hải Nam</t>
  </si>
  <si>
    <t>0905066022</t>
  </si>
  <si>
    <t>Nguyễn Hoàng Ngọc Hân</t>
  </si>
  <si>
    <t>0935424908</t>
  </si>
  <si>
    <t>NGUYỄN HỒ MINH ANH</t>
  </si>
  <si>
    <t>0918684689</t>
  </si>
  <si>
    <t>NGUYỄN NGỌC MINH CHÂU</t>
  </si>
  <si>
    <t>0934899568</t>
  </si>
  <si>
    <t>Nguyễn Nữ Anh Tiên</t>
  </si>
  <si>
    <t>0905056406</t>
  </si>
  <si>
    <t>NGUYỄN PHƯƠNG LINH</t>
  </si>
  <si>
    <t>0905242455</t>
  </si>
  <si>
    <t>Nguyễn Thảo My</t>
  </si>
  <si>
    <t>0935915897</t>
  </si>
  <si>
    <t>Nguyễn Thị Bảo Trân</t>
  </si>
  <si>
    <t>nguyễn thị khánh linh</t>
  </si>
  <si>
    <t>0901998124</t>
  </si>
  <si>
    <t>NGUYỄN THỊ KHÁNH NHI</t>
  </si>
  <si>
    <t>Nguyễn Thị Trà Giang</t>
  </si>
  <si>
    <t>0392466535</t>
  </si>
  <si>
    <t>Nguyễn Trần Nam Khánh</t>
  </si>
  <si>
    <t>0979061625</t>
  </si>
  <si>
    <t>Nguyễn Trọng Minh Hoàng</t>
  </si>
  <si>
    <t>0905414046</t>
  </si>
  <si>
    <t>con đang học tại tt ila</t>
  </si>
  <si>
    <t>Nguyễn Trung Quân</t>
  </si>
  <si>
    <t>0935343488</t>
  </si>
  <si>
    <t>con đang học tại tt khác</t>
  </si>
  <si>
    <t>Nguyễn Xuân Khoa</t>
  </si>
  <si>
    <t>0905999165</t>
  </si>
  <si>
    <t>con học ở trung tâm khác</t>
  </si>
  <si>
    <t>Phan Ngọc Như Thảo</t>
  </si>
  <si>
    <t>0365588349</t>
  </si>
  <si>
    <t>Phan Vương Bảo Trâm</t>
  </si>
  <si>
    <t>0935209094</t>
  </si>
  <si>
    <t>Thanh tuyền</t>
  </si>
  <si>
    <t>0935587378</t>
  </si>
  <si>
    <t>Trác Võ Đan</t>
  </si>
  <si>
    <t>0985353133</t>
  </si>
  <si>
    <t>Trần Hoàng Long</t>
  </si>
  <si>
    <t>0932553062</t>
  </si>
  <si>
    <t>Trần Kỳ bảo trâm</t>
  </si>
  <si>
    <t>0905185876</t>
  </si>
  <si>
    <t>Trần Nhật Khang</t>
  </si>
  <si>
    <t>0834315369</t>
  </si>
  <si>
    <t>0934315369</t>
  </si>
  <si>
    <t>Trần Như Ý</t>
  </si>
  <si>
    <t>0798833421</t>
  </si>
  <si>
    <t>Trần Thanh Hưng</t>
  </si>
  <si>
    <t>0983017762</t>
  </si>
  <si>
    <t>0934732776</t>
  </si>
  <si>
    <t>Trương Gia Hân</t>
  </si>
  <si>
    <t>0983115454</t>
  </si>
  <si>
    <t>Võ Nhật Mnh</t>
  </si>
  <si>
    <t>0975992345</t>
  </si>
  <si>
    <t>Xuân Mạnh</t>
  </si>
  <si>
    <t>0705973032</t>
  </si>
  <si>
    <t>0905762883</t>
  </si>
  <si>
    <t>Hạ Lưu Thành Trung</t>
  </si>
  <si>
    <t>0903528850</t>
  </si>
  <si>
    <t>Hoàng ngọc kiều dung</t>
  </si>
  <si>
    <t>0905010086</t>
  </si>
  <si>
    <t>Huỳnh Đông</t>
  </si>
  <si>
    <t>0799333558</t>
  </si>
  <si>
    <t>Huỳnh Thị Linh Nhi</t>
  </si>
  <si>
    <t>0793570128</t>
  </si>
  <si>
    <t>0905501428</t>
  </si>
  <si>
    <t>Ngô Phạm Bảo Khuyên</t>
  </si>
  <si>
    <t>0769477333</t>
  </si>
  <si>
    <t>Nguyễn Đức Thịnh</t>
  </si>
  <si>
    <t>0905163366</t>
  </si>
  <si>
    <t>NGUYỄN HÀ MY</t>
  </si>
  <si>
    <t>O352445523</t>
  </si>
  <si>
    <t>nguyễn linh trúc</t>
  </si>
  <si>
    <t>0866633886</t>
  </si>
  <si>
    <t>0906515999</t>
  </si>
  <si>
    <t>Nguyễn Ngọc Bảo Trân</t>
  </si>
  <si>
    <t>0905811767</t>
  </si>
  <si>
    <t>NGUYỄN NGỌC HÀ YÊN</t>
  </si>
  <si>
    <t>0935570580</t>
  </si>
  <si>
    <t>Nguyễn Thị Khánh Ly</t>
  </si>
  <si>
    <t>0905806987</t>
  </si>
  <si>
    <t>Nguyễn Thị Thu Giang</t>
  </si>
  <si>
    <t>0971688046</t>
  </si>
  <si>
    <t>Phạm Hữu Trọng</t>
  </si>
  <si>
    <t>0787613165</t>
  </si>
  <si>
    <t>Phạm Nguyễn Hà An</t>
  </si>
  <si>
    <t>0949447984</t>
  </si>
  <si>
    <t>PHAN NHẬT MINH</t>
  </si>
  <si>
    <t>0975945313</t>
  </si>
  <si>
    <t>Phan thị vân nhi</t>
  </si>
  <si>
    <t>0905629699</t>
  </si>
  <si>
    <t>Phần Võ Như Tâm</t>
  </si>
  <si>
    <t>0978659691</t>
  </si>
  <si>
    <t>Trần Khánh Quỳnh</t>
  </si>
  <si>
    <t>0905598929</t>
  </si>
  <si>
    <t>0909132220</t>
  </si>
  <si>
    <t>Trần Thị Ngọc Trâm</t>
  </si>
  <si>
    <t>0788557571</t>
  </si>
  <si>
    <t>Trịnh Nguyễn Đan Linh</t>
  </si>
  <si>
    <t>0935295952</t>
  </si>
  <si>
    <t>Trương Hà Phúc Khang</t>
  </si>
  <si>
    <t>0905923607</t>
  </si>
  <si>
    <t>Trường Huỳnh Mai Phương</t>
  </si>
  <si>
    <t>0905559895</t>
  </si>
  <si>
    <t>Cao Minh Khang</t>
  </si>
  <si>
    <t>Bé đã đi học r</t>
  </si>
  <si>
    <t>DOÀN LÊ GIA PHONG</t>
  </si>
  <si>
    <t>Bé kín lịch r</t>
  </si>
  <si>
    <t>Đinh Thanh Thảo My</t>
  </si>
  <si>
    <t>Bé học r</t>
  </si>
  <si>
    <t>Đỗ Thảo Anh</t>
  </si>
  <si>
    <t xml:space="preserve">Bố hẹn sáng mai gọi </t>
  </si>
  <si>
    <t>Hà Lê Bảo Ngọc</t>
  </si>
  <si>
    <t>Hồ Trúc Quỳnh</t>
  </si>
  <si>
    <t>090 655 97 27</t>
  </si>
  <si>
    <t>Bé đang học r</t>
  </si>
  <si>
    <t>Huỳnh Nguyễn Kim Ngân</t>
  </si>
  <si>
    <t>Huỳnh quốc Hùng</t>
  </si>
  <si>
    <t>K có nhu cầu</t>
  </si>
  <si>
    <t>K có số</t>
  </si>
  <si>
    <t>Nguyễn Bùi Nhật Nam</t>
  </si>
  <si>
    <t>Nguyễn Bùi Tuệ Lâm</t>
  </si>
  <si>
    <t>Nguyễn Cao Thủy Trúc</t>
  </si>
  <si>
    <t>Nguyễn Chiếm Minh Hiếu</t>
  </si>
  <si>
    <t>k có nhu cầu</t>
  </si>
  <si>
    <t>nguyễn như phượng</t>
  </si>
  <si>
    <t>Nguyễn Phú Trọng</t>
  </si>
  <si>
    <t>Nguyễn Phùng Nhã Quyên</t>
  </si>
  <si>
    <t>Nguyễn quốc đại</t>
  </si>
  <si>
    <t>Bé học trung tâm khác r</t>
  </si>
  <si>
    <t>Nguyễn Võ Phương Ngọc</t>
  </si>
  <si>
    <t>0905749324
 0914444570</t>
  </si>
  <si>
    <t>bé k có nhu cầu</t>
  </si>
  <si>
    <t>PHẠM GIA KHÁNH</t>
  </si>
  <si>
    <t>Pham Phuong Anh</t>
  </si>
  <si>
    <t>11h trưa gọi lại  + Gọi lại nhưng mẹ knm</t>
  </si>
  <si>
    <t>Phạm Yến Nhi</t>
  </si>
  <si>
    <t>Hẹn tối gọi lại</t>
  </si>
  <si>
    <t>Trần Ngọc Trâm Anh</t>
  </si>
  <si>
    <t>Trần nguyên anh</t>
  </si>
  <si>
    <t>Võ Đức Anh Khoa</t>
  </si>
  <si>
    <t>Võ văn Hoàng Long</t>
  </si>
  <si>
    <t>Đã kết bạn Zalo nhưng mẹ chưa đồng ý</t>
  </si>
  <si>
    <t>Phạm Hoài Anh</t>
  </si>
  <si>
    <t>nguyễn nam khải</t>
  </si>
  <si>
    <t>nguyễn thị thanh tuyền</t>
  </si>
  <si>
    <t>Nguyễn Trần Tấn Thắng</t>
  </si>
  <si>
    <t>Nguyễn Văn Ngọc Nam</t>
  </si>
  <si>
    <t>Phan Đinh Tâm</t>
  </si>
  <si>
    <t>SỐ SAI</t>
  </si>
  <si>
    <t>Trần Bình Minh</t>
  </si>
  <si>
    <t>Trương Minh Trí</t>
  </si>
  <si>
    <t>Tran Ngoc Phu</t>
  </si>
  <si>
    <t>Thue bao</t>
  </si>
  <si>
    <t>Trần Thị Anh Thảo</t>
  </si>
  <si>
    <t xml:space="preserve"> Bé học giỏi r</t>
  </si>
  <si>
    <t>Võ Trương Văn Toàn</t>
  </si>
  <si>
    <t>đặng quốc trung</t>
  </si>
  <si>
    <t>Đặng Quỳnh Hương</t>
  </si>
  <si>
    <t>Nguyễn đình Huy</t>
  </si>
  <si>
    <t>Nguyễn Hoài Phương</t>
  </si>
  <si>
    <t>Nguyễn Quang Khang</t>
  </si>
  <si>
    <t>Nguyễn Thị Liên Chi</t>
  </si>
  <si>
    <t>Nguyễn Thị Thùy Dương</t>
  </si>
  <si>
    <t>Nguyễn Trung Hải</t>
  </si>
  <si>
    <t>Nguyễn Việt Hà</t>
  </si>
  <si>
    <t>Phạm Đinh Châu Giang</t>
  </si>
  <si>
    <t>Phạm Mai Quốc Bảo</t>
  </si>
  <si>
    <t>Phạm viết anh Tuấn</t>
  </si>
  <si>
    <t>Phan Mai Ngân Khánh</t>
  </si>
  <si>
    <t>Tô Huỳnh Minh Nguyệt</t>
  </si>
  <si>
    <t>Trần Thanh Nam</t>
  </si>
  <si>
    <t>Trần Văn Nhân</t>
  </si>
  <si>
    <t>Trương Thị Thảo Vy</t>
  </si>
  <si>
    <t>Võ Lê Minh Quân</t>
  </si>
  <si>
    <t>Nguyễn Bảo Trúc</t>
  </si>
  <si>
    <t>Nguyễn Đặng Văn Khánh</t>
  </si>
  <si>
    <t>Nguyễn lê ngọc trâm</t>
  </si>
  <si>
    <t>Nguyễn Thị Kim Hà</t>
  </si>
  <si>
    <t>Nguyễn Trọng Thiện</t>
  </si>
  <si>
    <t>Phạm Lê Tuấn Anh</t>
  </si>
  <si>
    <t>Thái Võ Phong Thuận</t>
  </si>
  <si>
    <t>Trần Thị Nhật Vy</t>
  </si>
  <si>
    <t>Trần Thị Thanh Qúy</t>
  </si>
  <si>
    <t>Trịnh Quỳnh Thy</t>
  </si>
  <si>
    <t>Bùi Viết Tuấn Tài</t>
  </si>
  <si>
    <t>Hồ thị ngọc Dung</t>
  </si>
  <si>
    <t>Huỳnh Bá Ngọc</t>
  </si>
  <si>
    <t>Huỳnh Đức Ân</t>
  </si>
  <si>
    <t>huỳnh nguyễn bảo hân</t>
  </si>
  <si>
    <t>Huỳnh Phạm Như Ý</t>
  </si>
  <si>
    <t>Lã Nguyễn Thảo Chi</t>
  </si>
  <si>
    <t>Ngô Tống Anh Khôi</t>
  </si>
  <si>
    <t>Nguyễn Đào Đăng Khoa</t>
  </si>
  <si>
    <t>Nguyễn Đình Khôi Nguyên</t>
  </si>
  <si>
    <t>Nguyễn Hồng Diệp</t>
  </si>
  <si>
    <t>Nguyễn Mai Anh</t>
  </si>
  <si>
    <t>Nguyễn Phạm Hương Giang</t>
  </si>
  <si>
    <t>Nguyễn Phạm Ngọc Hải</t>
  </si>
  <si>
    <t>Nguyễn Phương Ly</t>
  </si>
  <si>
    <t>Nguyễn Thanh Huy</t>
  </si>
  <si>
    <t>NGUYỄN THÀNH KHANG</t>
  </si>
  <si>
    <t>Nguyễn Thị Hoàng Vy</t>
  </si>
  <si>
    <t>NGUYỄN TRẦN NGỌC DIỆP</t>
  </si>
  <si>
    <t>Nguyễn Tuấn Kiệt</t>
  </si>
  <si>
    <t>Nguyễn Văn Thanh Tùng</t>
  </si>
  <si>
    <t>Phạm Thị Mỹ Hân</t>
  </si>
  <si>
    <t>0917 448 237</t>
  </si>
  <si>
    <t>Phan trần nhã uyên</t>
  </si>
  <si>
    <t>Phùng thị thùy linh</t>
  </si>
  <si>
    <t>con đã có chỗ học</t>
  </si>
  <si>
    <t>Phùng Thị Thùy Linh</t>
  </si>
  <si>
    <t>Thái Hoàng Đạt</t>
  </si>
  <si>
    <t>Trần Hậu Danh</t>
  </si>
  <si>
    <t>Trần Thảo Nhi</t>
  </si>
  <si>
    <t>Văn Phú Huy</t>
  </si>
  <si>
    <t>Võ Đặng Phương Linh</t>
  </si>
  <si>
    <t>0916 520 854</t>
  </si>
  <si>
    <t>Võ trương gia huy</t>
  </si>
  <si>
    <t>Vũ Mạnh Quân</t>
  </si>
  <si>
    <t>con nghe máy, con học tiếng anh rồi</t>
  </si>
  <si>
    <t>CAO THỊ NHẬT LINH</t>
  </si>
  <si>
    <t>Hà Minh Tuấn</t>
  </si>
  <si>
    <t>Huỳnh đức mạnh</t>
  </si>
  <si>
    <t>Bé đã có chỗ học</t>
  </si>
  <si>
    <t>Huỳnh Lê Quang Hiếu</t>
  </si>
  <si>
    <t>Huỳnh Mai Tri Giao</t>
  </si>
  <si>
    <t>HUỲNH MY LINH</t>
  </si>
  <si>
    <t>Huỳnh Ngọc Khánh Ngân</t>
  </si>
  <si>
    <t>Nguyễn Thị Phương Thảo</t>
  </si>
  <si>
    <t>Trần Lê Gia Hân</t>
  </si>
  <si>
    <t>Trương Thị Phương Nhi</t>
  </si>
  <si>
    <t>Võ Song Gia Bảo</t>
  </si>
  <si>
    <t>Bùi Thị Quỳnh Như</t>
  </si>
  <si>
    <t>Cao Gia Bảo</t>
  </si>
  <si>
    <t>Cao Xuân Khải hưng</t>
  </si>
  <si>
    <t>Dương Hoàng Dung</t>
  </si>
  <si>
    <t>Đinh thái thùy linh</t>
  </si>
  <si>
    <t>Hoàng Nguyễn Tràng An</t>
  </si>
  <si>
    <t>Hồ Nguyễn Quý Phúc</t>
  </si>
  <si>
    <t>Hồ Thị Thanh Hiếu</t>
  </si>
  <si>
    <t>Huỳnh Thị Kim Thủy</t>
  </si>
  <si>
    <t>Nguyễn Gia Long</t>
  </si>
  <si>
    <t>nguyễn Hoàng Nam</t>
  </si>
  <si>
    <t>Nguyễn Hữu Gia Khang</t>
  </si>
  <si>
    <t>Nguyễn Hữu Khải</t>
  </si>
  <si>
    <t>Nguyễn Lê Linh Đan</t>
  </si>
  <si>
    <t>Nguyễn Linh Khôi</t>
  </si>
  <si>
    <t>Nguyễn Ngọc Long</t>
  </si>
  <si>
    <t>Nguyễn Ngọc Nguyên My</t>
  </si>
  <si>
    <t>Nguyễn Thanh Hoàng</t>
  </si>
  <si>
    <t>Nguyễn Vĩnh Gia Ân</t>
  </si>
  <si>
    <t>Nguyễn Võ Minh Nghĩa</t>
  </si>
  <si>
    <t>Tạ Trần Uyển Đan</t>
  </si>
  <si>
    <t>Trần Bảo Châu</t>
  </si>
  <si>
    <t>Trần đình phước</t>
  </si>
  <si>
    <t>Trần Hoàng Trí</t>
  </si>
  <si>
    <t>Trần Hữu Hưng</t>
  </si>
  <si>
    <t>Trần Hữu Phước Quân</t>
  </si>
  <si>
    <t>Trần Nguyễn Hoàng Duyên</t>
  </si>
  <si>
    <t xml:space="preserve"> sẽ liên lạc khi cần thiết</t>
  </si>
  <si>
    <t>TRẦN THANH AN</t>
  </si>
  <si>
    <t>quá tuổi học</t>
  </si>
  <si>
    <t>Vo Ha Tuan Thinh</t>
  </si>
  <si>
    <t xml:space="preserve"> đã học</t>
  </si>
  <si>
    <t xml:space="preserve">Link tin nhắn </t>
  </si>
  <si>
    <t>TT</t>
  </si>
  <si>
    <t>HỌ VÀ TÊN</t>
  </si>
  <si>
    <t>NGÀY SINH</t>
  </si>
  <si>
    <t>SỐ ĐIỆN THOẠI</t>
  </si>
  <si>
    <t>NƠI Ở</t>
  </si>
  <si>
    <t>PHÂN CÔNG NHÂN VIÊN</t>
  </si>
  <si>
    <t>TÌNH TRẠNG</t>
  </si>
  <si>
    <t>Yến Trang</t>
  </si>
  <si>
    <t>Hưng Yên</t>
  </si>
  <si>
    <t>lịch học của con đều dấn với lịch của trung tâm ko theo học được. từ chối</t>
  </si>
  <si>
    <t>Chăm sóc lại  với Lớp học ngữ pháp 0 đồng</t>
  </si>
  <si>
    <t>Trương Thuỳ Dương</t>
  </si>
  <si>
    <t>con đang theo học  ở trung tâm khác</t>
  </si>
  <si>
    <t>DATA TỪ HOMESCHOOLING</t>
  </si>
  <si>
    <t xml:space="preserve">Nguyễn Đình Minh Nhật </t>
  </si>
  <si>
    <t xml:space="preserve">TP HCM </t>
  </si>
  <si>
    <t>Vũ Thế Anh</t>
  </si>
  <si>
    <t>Hải Dương</t>
  </si>
  <si>
    <t>Không có nhu  cầu</t>
  </si>
  <si>
    <t>Nhập thông tin vào sheet sau (các cột được tô màu cam)</t>
  </si>
  <si>
    <t>võ thị thảo nguyên</t>
  </si>
  <si>
    <t>Hà tĩnh</t>
  </si>
  <si>
    <t>DATA O ĐỒNG</t>
  </si>
  <si>
    <t>Lê Văn Dũng</t>
  </si>
  <si>
    <t>Bình Dương</t>
  </si>
  <si>
    <t>không có nhu cầu</t>
  </si>
  <si>
    <t>võ huy hiệu nghĩa</t>
  </si>
  <si>
    <t>hà tĩnh</t>
  </si>
  <si>
    <t>ồn gọi lại sau</t>
  </si>
  <si>
    <t>Hồ Lý Thảo Duyên</t>
  </si>
  <si>
    <t>Quảng Nam</t>
  </si>
  <si>
    <t>ĐỖ NHẬT LINH</t>
  </si>
  <si>
    <t>HÀ NỘI</t>
  </si>
  <si>
    <t>con đang theo học tt khác</t>
  </si>
  <si>
    <t>ĐỖ MINH KHÔI</t>
  </si>
  <si>
    <t>Bac Ninh</t>
  </si>
  <si>
    <t>Nguyễn Văn Hiếu</t>
  </si>
  <si>
    <t>Trần Đỗ Đông Trà</t>
  </si>
  <si>
    <t>lương hoàng khánh huyền</t>
  </si>
  <si>
    <t>0962649392</t>
  </si>
  <si>
    <t>thanh hóa</t>
  </si>
  <si>
    <t>Đỗ Thuỳ Dương</t>
  </si>
  <si>
    <t>Phan Thái An</t>
  </si>
  <si>
    <t>Hà Tĩnh</t>
  </si>
  <si>
    <t>con đang theo học 2 chỗ ở trung tâm và cô giáo trên trường, từ chối</t>
  </si>
  <si>
    <t>Phan Thủy Tiên</t>
  </si>
  <si>
    <t xml:space="preserve">Lê Quang Thịnh </t>
  </si>
  <si>
    <t xml:space="preserve">Huế </t>
  </si>
  <si>
    <t>Phạm Đức Phúc</t>
  </si>
  <si>
    <t>đã có trung tâm cho con</t>
  </si>
  <si>
    <t>Nguyễn Mai Chi</t>
  </si>
  <si>
    <t>Thái Bình</t>
  </si>
  <si>
    <t>Nguyễn Khánh Vy</t>
  </si>
  <si>
    <t>Hà nội</t>
  </si>
  <si>
    <t>Lê Sỹ Minh Hoàng</t>
  </si>
  <si>
    <t>ko nhu cầu cúp ngang</t>
  </si>
  <si>
    <t>Ngô Phúc Hưng</t>
  </si>
  <si>
    <t>hà nội</t>
  </si>
  <si>
    <t>knc cúp ngang</t>
  </si>
  <si>
    <t>Ngô Phúc Vinh</t>
  </si>
  <si>
    <t>knc cúp ngang\</t>
  </si>
  <si>
    <t>Nguyễn Khuê Liên</t>
  </si>
  <si>
    <t>hải Dương</t>
  </si>
  <si>
    <t>Trần Công Minh Khôi</t>
  </si>
  <si>
    <t>0905588121</t>
  </si>
  <si>
    <t>Bùi Nguyễn Ngọc An Nhiên</t>
  </si>
  <si>
    <t>TP HCM</t>
  </si>
  <si>
    <t>Nguyễn Thanh Hà</t>
  </si>
  <si>
    <t>0987486928</t>
  </si>
  <si>
    <t>Bắc Giang</t>
  </si>
  <si>
    <t>đang bận gọi lại vào lúc trưa</t>
  </si>
  <si>
    <t>Nguyễn Minh Hải</t>
  </si>
  <si>
    <t>Ngô Quỳnh Anh</t>
  </si>
  <si>
    <t>Nguyễn Ngọc Quỳnh</t>
  </si>
  <si>
    <t>Hải Phòng</t>
  </si>
  <si>
    <t xml:space="preserve">Nguyễn Hồng Chi </t>
  </si>
  <si>
    <t>Nguyễn Bá Bảo Nam</t>
  </si>
  <si>
    <t>Trần Nguyên Bình</t>
  </si>
  <si>
    <t xml:space="preserve">Vũ Phương Thảo </t>
  </si>
  <si>
    <t xml:space="preserve">Hải Phòng </t>
  </si>
  <si>
    <t xml:space="preserve">Nguyễn Minh Khang </t>
  </si>
  <si>
    <t xml:space="preserve">Nguyễn Hoàng Nguyên </t>
  </si>
  <si>
    <t>Nguyễn Hoàng Ngọc Diệp</t>
  </si>
  <si>
    <t>Lê Nguyên Bảo</t>
  </si>
  <si>
    <t>0385156686</t>
  </si>
  <si>
    <t>Thanh Hoá</t>
  </si>
  <si>
    <t>Nguyễn Hồng Linh</t>
  </si>
  <si>
    <t>Bùi Duy Phong</t>
  </si>
  <si>
    <t>Hồ Vũ Bá Quyết</t>
  </si>
  <si>
    <t>Nghệ An</t>
  </si>
  <si>
    <t>mẹ là gv tiếng anh nên ko cần học thêm</t>
  </si>
  <si>
    <t>Đỗ duy tuấn</t>
  </si>
  <si>
    <t>thanh hoá</t>
  </si>
  <si>
    <t xml:space="preserve">Đà Nẵng </t>
  </si>
  <si>
    <t xml:space="preserve">Nguyễn An Nhiên </t>
  </si>
  <si>
    <t>chưa nhu cầu</t>
  </si>
  <si>
    <t>Đỗ Nhật Minh</t>
  </si>
  <si>
    <t>Sơn La</t>
  </si>
  <si>
    <t>Đỗ Phương Uyên</t>
  </si>
  <si>
    <t>Nguyễn Đắc Tín</t>
  </si>
  <si>
    <t>nha trang</t>
  </si>
  <si>
    <t>Bùi Nguyễn Thảo Linh</t>
  </si>
  <si>
    <t>BRVT</t>
  </si>
  <si>
    <t xml:space="preserve"> Hà Nguyên Đức</t>
  </si>
  <si>
    <t>Phú Thọ</t>
  </si>
  <si>
    <t>Hà Gia Khánh</t>
  </si>
  <si>
    <t>Đỗ Tuệ Mẫn</t>
  </si>
  <si>
    <t>0396811862</t>
  </si>
  <si>
    <t>Hồ Chí Minh</t>
  </si>
  <si>
    <t>con còn nhỏ chưa học dc</t>
  </si>
  <si>
    <t>Đặng Nguyễn Quỳnh Trâm</t>
  </si>
  <si>
    <t>Nguyễn Phương Chi</t>
  </si>
  <si>
    <t>Chu Thị Khánh Ngọc</t>
  </si>
  <si>
    <t>0968132793</t>
  </si>
  <si>
    <t>Nguyễn Phương Quỳnh Chi</t>
  </si>
  <si>
    <t>Bắc Ninh</t>
  </si>
  <si>
    <t>0963131434</t>
  </si>
  <si>
    <t>Nguyễn Thanh Tùng</t>
  </si>
  <si>
    <t>Đoàn Hạnh Nguyên</t>
  </si>
  <si>
    <t xml:space="preserve">Quảng Nam
</t>
  </si>
  <si>
    <t xml:space="preserve">Nguyễn Thảo Như </t>
  </si>
  <si>
    <t>Nghệ An</t>
  </si>
  <si>
    <t>Nguyễn Như Trang</t>
  </si>
  <si>
    <t>Nguyễn Hoàng Minh Anh</t>
  </si>
  <si>
    <t>0778886036</t>
  </si>
  <si>
    <t>Tây Ninh</t>
  </si>
  <si>
    <t>con mới 3t chưa có nhu cầu</t>
  </si>
  <si>
    <t>Nguyễn Hoàng Kim Thuy</t>
  </si>
  <si>
    <t>0907972947</t>
  </si>
  <si>
    <t xml:space="preserve">Nguyễn Minh Ngọc </t>
  </si>
  <si>
    <t xml:space="preserve">Hà Nội </t>
  </si>
  <si>
    <t>Nguyễn Phương Nghi</t>
  </si>
  <si>
    <t>Lê Nhân Kiệt</t>
  </si>
  <si>
    <t>0903322463</t>
  </si>
  <si>
    <t>Lê Đức Anh</t>
  </si>
  <si>
    <t>0938867829</t>
  </si>
  <si>
    <t xml:space="preserve">NGUYỄN KHÔI NGUYÊN </t>
  </si>
  <si>
    <t xml:space="preserve">hà Tĩnh </t>
  </si>
  <si>
    <t>Nguyễn Hoàng Lâm</t>
  </si>
  <si>
    <t>Đoàn Anh Khôi</t>
  </si>
  <si>
    <t>Thái Nguyên</t>
  </si>
  <si>
    <t>Nguyễn Xuân Nghi</t>
  </si>
  <si>
    <t>Nguyễn thị mai anh</t>
  </si>
  <si>
    <t>Hoàng Chi Phong</t>
  </si>
  <si>
    <t>Long An</t>
  </si>
  <si>
    <t xml:space="preserve">Ngô Phúc Phương Nguyên </t>
  </si>
  <si>
    <t>Nguyễn Đức Hùng</t>
  </si>
  <si>
    <t>0354164446</t>
  </si>
  <si>
    <t>Trần Ngọc Diệp</t>
  </si>
  <si>
    <t>0354419360</t>
  </si>
  <si>
    <t>Nguyen  Cam Truc</t>
  </si>
  <si>
    <t>NINH THUAN</t>
  </si>
  <si>
    <t>Sẽ gọi lại sau</t>
  </si>
  <si>
    <t xml:space="preserve">Trần Bảo Thư </t>
  </si>
  <si>
    <t>Nguyễn Minh Đăng</t>
  </si>
  <si>
    <t>Nguyễn Hà Nguyên</t>
  </si>
  <si>
    <t>0399440501</t>
  </si>
  <si>
    <t>con nhỏ chưa biết chữ</t>
  </si>
  <si>
    <t>Quang Hiếu</t>
  </si>
  <si>
    <t>con nỏ mới biết chữ</t>
  </si>
  <si>
    <t>Đỗ Hải Đăng</t>
  </si>
  <si>
    <t>Trần Thiên Kim</t>
  </si>
  <si>
    <t>Khánh Hoà</t>
  </si>
  <si>
    <t>Nguyễn Phúc Ngân Trâm</t>
  </si>
  <si>
    <t>TPHCM</t>
  </si>
  <si>
    <t>Vũ Hồng Minh Khang</t>
  </si>
  <si>
    <t>Trần Huyền Ly</t>
  </si>
  <si>
    <t>Lê Ngọc Thuỳ Nhi</t>
  </si>
  <si>
    <t>Đạt Thuỵ Hoàng Quỳnh</t>
  </si>
  <si>
    <t>Đạt Quang Hoàng Khang</t>
  </si>
  <si>
    <t>Phạm Bảo Ngọc</t>
  </si>
  <si>
    <t>Phạm Thu Ngân</t>
  </si>
  <si>
    <t>Đặng Tùng Lâm</t>
  </si>
  <si>
    <t>Nguyễn Ngọc Thảo Linh</t>
  </si>
  <si>
    <t>0368579034</t>
  </si>
  <si>
    <t>con đang học r</t>
  </si>
  <si>
    <t>Đinh Tuấn Tú</t>
  </si>
  <si>
    <t>Lào Cai</t>
  </si>
  <si>
    <t>Nguyễn Ngọc Vân</t>
  </si>
  <si>
    <t>Nam Định</t>
  </si>
  <si>
    <t>Trần Thi Thanh Tâm</t>
  </si>
  <si>
    <t>Đồng Nai</t>
  </si>
  <si>
    <t>Trần Mạnh Quân</t>
  </si>
  <si>
    <t>Nguyễn Hương Ly</t>
  </si>
  <si>
    <t>Nguyễn Quang Phúc</t>
  </si>
  <si>
    <t>Phùng Quang Tú</t>
  </si>
  <si>
    <t>Vũ Diệp Anh</t>
  </si>
  <si>
    <t>0974002559</t>
  </si>
  <si>
    <t>Quách Anh Tú</t>
  </si>
  <si>
    <t>Ninh Bình</t>
  </si>
  <si>
    <t>Lê Toàn Thắng</t>
  </si>
  <si>
    <t>Nguyễn Cảnh Tường</t>
  </si>
  <si>
    <t xml:space="preserve">Hải phòng </t>
  </si>
  <si>
    <t xml:space="preserve">Phạm Doãn Bình </t>
  </si>
  <si>
    <t>Đào Hồng Quân</t>
  </si>
  <si>
    <t xml:space="preserve">Nguyễn Thị Hải Anh </t>
  </si>
  <si>
    <t>Nguyễn Hà Anh</t>
  </si>
  <si>
    <t>Trần Nam Khánh</t>
  </si>
  <si>
    <t>nguyễn trâm anh</t>
  </si>
  <si>
    <t>con còn nhỏ, chưa biết chũw</t>
  </si>
  <si>
    <t>Hạ Khánh Chi</t>
  </si>
  <si>
    <t>Hạ Hà An</t>
  </si>
  <si>
    <t>Đặng Ngọc Vy Khanh</t>
  </si>
  <si>
    <t>0935314700</t>
  </si>
  <si>
    <t>Lê Bùi Ngọc Nhi</t>
  </si>
  <si>
    <t>HCM</t>
  </si>
  <si>
    <t>Nguyễn Phúc Khang</t>
  </si>
  <si>
    <t>Nguyễn Huyền Thư</t>
  </si>
  <si>
    <t xml:space="preserve">Lê Minh Sơn </t>
  </si>
  <si>
    <t>Vương Nguyễn Bảo Linh</t>
  </si>
  <si>
    <t>*097233603</t>
  </si>
  <si>
    <t xml:space="preserve">Nguyễn Duy Nam </t>
  </si>
  <si>
    <t>#0975924717</t>
  </si>
  <si>
    <t>Vương Nguyễn Bảo Lâm</t>
  </si>
  <si>
    <t>*0972330603</t>
  </si>
  <si>
    <t>Lê Vũ Hà Như</t>
  </si>
  <si>
    <t>0936529771</t>
  </si>
  <si>
    <t>Tp.HCM</t>
  </si>
  <si>
    <t xml:space="preserve">Vũ Thanh Trà </t>
  </si>
  <si>
    <t>Lê Gia Linh</t>
  </si>
  <si>
    <t>H0916306395</t>
  </si>
  <si>
    <t>Bùi Khôi Nguyên</t>
  </si>
  <si>
    <t>Nguyễn Đăng Hoàng Huy</t>
  </si>
  <si>
    <t>Đặng Minh Lâm</t>
  </si>
  <si>
    <t>Hanoi</t>
  </si>
  <si>
    <t>Hoàng Nam Cường</t>
  </si>
  <si>
    <t>0378602129</t>
  </si>
  <si>
    <t>Hồ Bảo Hân</t>
  </si>
  <si>
    <t>Bùi Minh Khang</t>
  </si>
  <si>
    <t xml:space="preserve">Bùi Khôi Nguyên </t>
  </si>
  <si>
    <t>Thanh Hóa</t>
  </si>
  <si>
    <t xml:space="preserve">Nguyễn Thương Hoài An </t>
  </si>
  <si>
    <t>Trần hải ngân</t>
  </si>
  <si>
    <t>Nguyễn Võ Uy Phát</t>
  </si>
  <si>
    <t>Nguyễn Minh Nhật</t>
  </si>
  <si>
    <t>Lê Thuỷ Nguyên</t>
  </si>
  <si>
    <t>Phạm Đan Quyên</t>
  </si>
  <si>
    <t>bắc ninh</t>
  </si>
  <si>
    <t>Nguyen Hoang Anh</t>
  </si>
  <si>
    <t>Nguyễn Ngọc Anh Thư</t>
  </si>
  <si>
    <t>Nguyễn hồng nhật thư</t>
  </si>
  <si>
    <t>nam định</t>
  </si>
  <si>
    <t>Nguyễn Duy Minh</t>
  </si>
  <si>
    <t>nguyễn Huữ Minh Khang</t>
  </si>
  <si>
    <t>kiên giang</t>
  </si>
  <si>
    <t>Nguyễn Khánh Chi</t>
  </si>
  <si>
    <t>Lê Phùng Khánh Vy</t>
  </si>
  <si>
    <t xml:space="preserve">Hoàng Nguyễn Hải Băng </t>
  </si>
  <si>
    <t xml:space="preserve">Khánh Hòa </t>
  </si>
  <si>
    <t xml:space="preserve">Nguyễn Tâm An </t>
  </si>
  <si>
    <t>Nguyễn Lan Chi</t>
  </si>
  <si>
    <t>Bui Nghien Ha</t>
  </si>
  <si>
    <t>Nguyễn Phương Khánh Ngọc</t>
  </si>
  <si>
    <t>LÊ DIỆP CHI</t>
  </si>
  <si>
    <t>HÀ Nội</t>
  </si>
  <si>
    <t>An Ngọc Tường Vy</t>
  </si>
  <si>
    <t>Ninh binh</t>
  </si>
  <si>
    <t>An Ngọc Minh Đăng</t>
  </si>
  <si>
    <t>Đỗ Hồng Bảo Trân</t>
  </si>
  <si>
    <t>Đỗ Hồng An Nhiên</t>
  </si>
  <si>
    <t>Nguyễn Đức Bình</t>
  </si>
  <si>
    <t>Đỗ Bảo Ngọc</t>
  </si>
  <si>
    <t>Đỗ Phương Nhi</t>
  </si>
  <si>
    <t>Trương Minh Anh</t>
  </si>
  <si>
    <t>Hòa Bình</t>
  </si>
  <si>
    <t>Trương Minh Trang</t>
  </si>
  <si>
    <t>Phạm Khánh Hà</t>
  </si>
  <si>
    <t xml:space="preserve">Nguyễn Viết Thanh </t>
  </si>
  <si>
    <t>Lê Lâm Nhi</t>
  </si>
  <si>
    <t>Đặng Gia Bảo</t>
  </si>
  <si>
    <t>Dư Trung Đức</t>
  </si>
  <si>
    <t>Nguyễn Ngọc Diễm Quỳnh</t>
  </si>
  <si>
    <t>Phạm Nhật Mai</t>
  </si>
  <si>
    <t>Đỗ Hồng Minh</t>
  </si>
  <si>
    <t>Đỗ Trà Giang</t>
  </si>
  <si>
    <t>Nguyễn Ngọc Nhã Uyên</t>
  </si>
  <si>
    <t>Vũng Tàu</t>
  </si>
  <si>
    <t>Nguyễn Bá Hùng</t>
  </si>
  <si>
    <t>0982314992</t>
  </si>
  <si>
    <t>Phú Quốc</t>
  </si>
  <si>
    <t>Lê Minh Đăng</t>
  </si>
  <si>
    <t>Gia Lai</t>
  </si>
  <si>
    <t>Lê Minh Trí</t>
  </si>
  <si>
    <t>Nguyễn Tuấn Khang</t>
  </si>
  <si>
    <t>Nguyễn Minh Khang</t>
  </si>
  <si>
    <t>Trần Thanh Hoàng Quân</t>
  </si>
  <si>
    <t>Nguyễn Khắc Gia Bảo</t>
  </si>
  <si>
    <t>0976006878</t>
  </si>
  <si>
    <t>Nguyễn Khắc Gia Khánh</t>
  </si>
  <si>
    <t>Nguyễn Ngọc Thảo Nguyên</t>
  </si>
  <si>
    <t>lương Ngọc Khánh Ngân</t>
  </si>
  <si>
    <t>Quảng nam</t>
  </si>
  <si>
    <t>Lê Lan Chi</t>
  </si>
  <si>
    <t>Nguyễn Cao Thục Anh</t>
  </si>
  <si>
    <t>Quảng Trị</t>
  </si>
  <si>
    <t>Nguyễn Vũ Anh Khôi</t>
  </si>
  <si>
    <t>Nguyễn Hương Chi</t>
  </si>
  <si>
    <t>Vũng tàu</t>
  </si>
  <si>
    <t>Vũ Minh Dũng</t>
  </si>
  <si>
    <t>Cao Khả Minh Phát</t>
  </si>
  <si>
    <t>0972156667</t>
  </si>
  <si>
    <t>Hoàng Đăng Nguyên</t>
  </si>
  <si>
    <t>0349733121</t>
  </si>
  <si>
    <t xml:space="preserve">Đoàn Ngọc Thái </t>
  </si>
  <si>
    <t>Đào Trần Hà Nguyên</t>
  </si>
  <si>
    <t>Nguyễn Thiện An</t>
  </si>
  <si>
    <t>Phạm Hùng Cường</t>
  </si>
  <si>
    <t>0977631328</t>
  </si>
  <si>
    <t>Nguyễn Minh Khôi</t>
  </si>
  <si>
    <t>Bùi Nguyễn Khôi Nguyên</t>
  </si>
  <si>
    <t>0984341796</t>
  </si>
  <si>
    <t>Minh Châu ( Sóc)</t>
  </si>
  <si>
    <t>Bùi Trúc Linh</t>
  </si>
  <si>
    <t>Đoàn Việt Anh (Roy)</t>
  </si>
  <si>
    <t>Nguyễn Đăng Khôi</t>
  </si>
  <si>
    <t>Luna</t>
  </si>
  <si>
    <t>Lucy</t>
  </si>
  <si>
    <t xml:space="preserve">Quảng Trị </t>
  </si>
  <si>
    <t>Ngyễn Minh Khôi</t>
  </si>
  <si>
    <t>Nguyễn Trâm Anh</t>
  </si>
  <si>
    <t>0983253493</t>
  </si>
  <si>
    <t>bình dương</t>
  </si>
  <si>
    <t xml:space="preserve"> nguyễn phúc  kim ngân</t>
  </si>
  <si>
    <t>hải dương</t>
  </si>
  <si>
    <t>Hoàng Vĩnh Khang</t>
  </si>
  <si>
    <t>Lê Minh Khôi</t>
  </si>
  <si>
    <t>Bảo An</t>
  </si>
  <si>
    <t>Nguyễn Thế Hải</t>
  </si>
  <si>
    <t>Nguyễn Thế Dương</t>
  </si>
  <si>
    <t>Lê Minh Trường</t>
  </si>
  <si>
    <t>Lê Ngọc Quỳnh Mai</t>
  </si>
  <si>
    <t>Lê Sơn Tùng</t>
  </si>
  <si>
    <t>Lê Thái Quỳnh Như</t>
  </si>
  <si>
    <t>NGUYỄN AN AN</t>
  </si>
  <si>
    <t>BẮC GIANG</t>
  </si>
  <si>
    <t>Phạm Hoàng Minh Triết</t>
  </si>
  <si>
    <t>Phạm Nhật Minh</t>
  </si>
  <si>
    <r>
      <rPr>
        <rFont val="Cambria"/>
        <color rgb="FF1155CC"/>
        <sz val="11.0"/>
        <u/>
      </rPr>
      <t>https://www.facebook.com/suri.huong.73</t>
    </r>
    <r>
      <rPr>
        <rFont val="Cambria"/>
        <sz val="11.0"/>
      </rPr>
      <t xml:space="preserve"> </t>
    </r>
  </si>
  <si>
    <r>
      <rPr>
        <rFont val="Cambria"/>
        <color rgb="FF1155CC"/>
        <sz val="11.0"/>
        <u/>
      </rPr>
      <t>https://business.facebook.com/latest/inbox/all?asset_id=140924759399774&amp;nav_ref=pages_classic_isolated_section_inbox_redirect&amp;entry_exp=sodhniwgpb&amp;mailbox_id=&amp;selected_item_id=1336917631</t>
    </r>
    <r>
      <rPr>
        <rFont val="Cambria"/>
        <sz val="11.0"/>
      </rPr>
      <t xml:space="preserve"> </t>
    </r>
  </si>
  <si>
    <r>
      <rPr>
        <rFont val="Cambria"/>
        <color rgb="FFFF0000"/>
        <sz val="11.0"/>
      </rPr>
      <t>11/5: Bé đang thi học kỳ nên chưa có thời gian test, hẹn hết tuần bé thi xong thì test</t>
    </r>
    <r>
      <rPr>
        <rFont val="Cambria"/>
        <color theme="1"/>
        <sz val="11.0"/>
      </rPr>
      <t xml:space="preserve">
13/5 hỏi lại bé thi xong chưa mẹ nói vẫn chưa, xong thì mẹ báo lại
17/05: Học sinh không hợp tác để test
14/6: goi bận đang đi ngoài đường cúp ngang. 
22/6: Bé không muốn học
</t>
    </r>
  </si>
  <si>
    <t>10/5: Tư vấn khóa học và ưu đãi, gửi video mẫu của lớp học. Mẹ nói để mẹ xem xét.
11/5: Gợi ý lớp 1:4
19/5: gọi điện cho mẹ để mẹ để ghép 1 kèm 2 nhưng mẹ muốn cho con học chương trình cambridge
22/5: Gọi điện tư vấn lại cho mẹ về chương trình Everybody UP. Mẹ nói để mẹ tham khảo thêm
14/6: gọi nhunge bận kb zalo để gửi thông tin
16/6: gọi tắt máy</t>
  </si>
  <si>
    <t>17/6/2023 gọi lại buổi tối</t>
  </si>
  <si>
    <t>https://business.facebook.com/latest/inbox/all?asset_id=140924759399774&amp;nav_ref=your_pages_sidebar_inbox&amp;mailbox_id=&amp;selected_item_id=100004389731162</t>
  </si>
  <si>
    <t>https://business.facebook.com/latest/inbox/all?bpn_id=379583696189108&amp;asset_id=1758677824390097&amp;nav_ref=pages_classic_isolated_section_inbox_diode&amp;entry_exp=sodhniwgpb&amp;mailbox_id=&amp;selected_item_id=100034713750835</t>
  </si>
  <si>
    <t>test t2, bé chưa học ta ở đâu ngoiaf trên trg</t>
  </si>
  <si>
    <r>
      <rPr>
        <rFont val="Cambria"/>
        <color theme="1"/>
        <sz val="11.0"/>
      </rPr>
      <t xml:space="preserve">Muốn hỏi về buổi học thử 1 kèm 2
</t>
    </r>
    <r>
      <rPr>
        <rFont val="Cambria"/>
        <b/>
        <color theme="1"/>
        <sz val="11.0"/>
      </rPr>
      <t>Phụ huynh là giáo viên tiếng Anh cho trẻ em</t>
    </r>
  </si>
  <si>
    <t>https://business.facebook.com/latest/inbox/all?bpn_id=363372930910989&amp;asset_id=140924759399774&amp;nav_ref=pages_classic_isolated_section_inbox_diode&amp;entry_exp=sodhniwgpb&amp;mailbox_id=&amp;selected_item_id=100006996737287</t>
  </si>
  <si>
    <t>978489096( zalo)</t>
  </si>
  <si>
    <t>https://business.facebook.com/latest/inbox/all?asset_id=140924759399774&amp;nav_ref=redirect_biz_inbox_reminder_notif%3Fnotif_m%3Dalerts_page&amp;folder=unread&amp;mailbox_id=&amp;selected_item_id=100002329494649</t>
  </si>
  <si>
    <r>
      <rPr>
        <rFont val="Cambria"/>
        <color theme="1"/>
        <sz val="11.0"/>
      </rPr>
      <t xml:space="preserve">hiện tại e đang theo học du lịch nhưng e đang bị mất gốc, muốn cải thiện tiếng Anh. Bạn đang cân nhắc thông tin lớp
</t>
    </r>
    <r>
      <rPr>
        <rFont val="Cambria"/>
        <b/>
        <color theme="1"/>
        <sz val="11.0"/>
      </rPr>
      <t>NHẮN TIN TRỰC TIẾP TRÊN FANPAGE</t>
    </r>
  </si>
  <si>
    <t>Meta Business Suite (facebook.com)</t>
  </si>
  <si>
    <t>https://business.facebook.com/latest/inbox/all?bpn_id=379583696189108&amp;asset_id=1758677824390097&amp;nav_ref=pages_classic_isolated_section_inbox_diode&amp;entry_exp=sodhniwgpb&amp;mailbox_id=&amp;selected_item_id=100024586780287</t>
  </si>
  <si>
    <t>https://business.facebook.com/latest/inbox/all?asset_id=1758677824390097&amp;nav_ref=pages_classic_isolated_section_inbox_redirect&amp;entry_exp=sodhniwgpb&amp;mailbox_id=&amp;selected_item_id=100003660419240</t>
  </si>
  <si>
    <t>https://business.facebook.com/latest/inbox/all?bpn_id=363372930910989&amp;asset_id=140924759399774&amp;nav_ref=redirect_biz_inbox_comet_profile_plus_ap_page_inbox_message_button&amp;mailbox_id=&amp;selected_item_id=100034249131798</t>
  </si>
  <si>
    <r>
      <rPr>
        <rFont val="Cambria"/>
        <color rgb="FF1155CC"/>
        <sz val="11.0"/>
        <u/>
      </rPr>
      <t>https://business.facebook.com/latest/inbox/all?asset_id=140924759399774&amp;nav_ref=comment_notif&amp;selected_item_id=100011889556404&amp;mailbox_id=</t>
    </r>
    <r>
      <rPr>
        <rFont val="Cambria"/>
        <sz val="11.0"/>
      </rPr>
      <t xml:space="preserve"> </t>
    </r>
  </si>
  <si>
    <t>https://business.facebook.com/latest/inbox/messenger?asset_id=140924759399774&amp;bpn_id=363372930910989&amp;nav_ref=redirect_biz_inbox_comet_profile_plus_ap_page_inbox_message_button&amp;mailbox_id=&amp;selected_item_id=100005977634357</t>
  </si>
  <si>
    <t>https://business.facebook.com/latest/inbox/all?bpn_id=363372930910989&amp;asset_id=140924759399774&amp;nav_ref=redirect_biz_inbox_comet_profile_plus_ap_page_inbox_message_button&amp;mailbox_id=&amp;selected_item_id=100002333536609</t>
  </si>
  <si>
    <t>https://business.facebook.com/latest/inbox/all?asset_id=140924759399774&amp;nav_ref=your_pages_sidebar_inbox&amp;mailbox_id=&amp;selected_item_id=100004917570491</t>
  </si>
  <si>
    <t>https://business.facebook.com/latest/inbox/all?bpn_id=363372930910989&amp;asset_id=140924759399774&amp;nav_ref=redirect_biz_inbox_comet_profile_plus_ap_page_inbox_message_button&amp;mailbox_id=&amp;selected_item_id=100003761511727</t>
  </si>
  <si>
    <t>https://business.facebook.com/latest/inbox/all?bpn_id=363372930910989&amp;asset_id=140924759399774&amp;nav_ref=redirect_biz_inbox_comet_profile_plus_ap_page_inbox_message_button&amp;mailbox_id=&amp;selected_item_id=100002979341853</t>
  </si>
  <si>
    <t>https://business.facebook.com/latest/inbox/all?asset_id=1758677824390097&amp;bpn_id=363372930910989&amp;nav_ref=diode_page_inbox_comet_profile_plus_ap_page_inbox_message_button&amp;mailbox_id=&amp;selected_item_id=100001455521880</t>
  </si>
  <si>
    <t>https://business.facebook.com/latest/inbox/all?bpn_id=363372930910989&amp;asset_id=140924759399774&amp;nav_ref=redirect_biz_inbox_comet_profile_plus_ap_page_inbox_message_button&amp;mailbox_id=&amp;selected_item_id=100082089033566</t>
  </si>
  <si>
    <t>https://business.facebook.com/latest/inbox/all?bpn_id=363372930910989&amp;asset_id=140924759399774&amp;nav_ref=redirect_biz_inbox_comet_profile_plus_ap_page_inbox_message_button&amp;mailbox_id=&amp;selected_item_id=100001474038611</t>
  </si>
  <si>
    <t>https://business.facebook.com/latest/inbox/all?bpn_id=363372930910989&amp;asset_id=140924759399774&amp;nav_ref=redirect_biz_inbox_comet_profile_plus_ap_page_inbox_message_button&amp;mailbox_id=&amp;selected_item_id=100014593054853</t>
  </si>
  <si>
    <t>https://business.facebook.com/latest/inbox/all?bpn_id=363372930910989&amp;asset_id=140924759399774&amp;nav_ref=redirect_biz_inbox_comet_profile_plus_ap_page_inbox_message_button&amp;mailbox_id=&amp;selected_item_id=100077892761947</t>
  </si>
  <si>
    <t>https://business.facebook.com/latest/inbox/all?bpn_id=363372930910989&amp;asset_id=140924759399774&amp;nav_ref=redirect_biz_inbox_comet_profile_plus_ap_page_inbox_message_button&amp;mailbox_id=&amp;selected_item_id=100001596709333</t>
  </si>
  <si>
    <t>https://business.facebook.com/latest/inbox/all?bpn_id=363372930910989&amp;asset_id=140924759399774&amp;nav_ref=redirect_biz_inbox_comet_profile_plus_ap_page_inbox_message_button&amp;mailbox_id=&amp;selected_item_id=100003101389740</t>
  </si>
  <si>
    <t>https://business.facebook.com/latest/inbox/all?bpn_id=363372930910989&amp;asset_id=140924759399774&amp;nav_ref=redirect_biz_inbox&amp;mailbox_id=&amp;selected_item_id=100000181025933</t>
  </si>
  <si>
    <t>https://business.facebook.com/latest/inbox/all?bpn_id=363372930910989&amp;asset_id=140924759399774&amp;nav_ref=redirect_biz_inbox_comet_profile_plus_ap_page_inbox_message_button&amp;wtsid=rdr_0BaDZQb1Y5KIRr9n9&amp;mailbox_id=&amp;selected_item_id=100027398806799</t>
  </si>
  <si>
    <t>https://business.facebook.com/latest/inbox/all?bpn_id=363372930910989&amp;asset_id=140924759399774&amp;nav_ref=redirect_biz_inbox_comet_profile_plus_ap_page_inbox_message_button&amp;wtsid=rdr_0OJGimztJdZXaoS5l&amp;mailbox_id=&amp;selected_item_id=1576204040</t>
  </si>
  <si>
    <t>https://business.facebook.com/latest/inbox/all?asset_id=140924759399774&amp;bpn_id=363372930910989&amp;nav_ref=redirect_biz_inbox_comet_profile_plus_ap_page_inbox_message_button&amp;selected_item_id=100004660571436&amp;mailbox_id=</t>
  </si>
  <si>
    <t>https://business.facebook.com/latest/inbox/all?bpn_id=363372930910989&amp;asset_id=140924759399774&amp;nav_ref=redirect_biz_inbox_comet_profile_plus_ap_page_inbox_message_button&amp;wtsid=rdr_0MVObhnzyKKbepXHj&amp;mailbox_id=&amp;selected_item_id=100003515815314</t>
  </si>
  <si>
    <t>https://business.facebook.com/latest/inbox/all?bpn_id=363372930910989&amp;asset_id=140924759399774&amp;nav_ref=redirect_biz_inbox&amp;wtsid=rdr_0OBcRpT9OQfHp5N4j&amp;mailbox_id=&amp;selected_item_id=100004800014246</t>
  </si>
  <si>
    <r>
      <rPr>
        <rFont val="Cambria"/>
        <color theme="1"/>
        <sz val="11.0"/>
      </rPr>
      <t xml:space="preserve">Quan tâm khóa giao tiếp phản xạ, đã tư vấn sơ về khóa 1:4 nhưng ba bảo thời gian dài, sợ con ngồi lâu không được. Muốn tư vấn khóa 30 phút. Đã hẹn lịch test 11h sáng thứ 5 ngày 8/6.
Đợi xác nhận lịch test 
Về học phí: đã nói với ba chương trình ưu đãi giảm 15% trên toàn bộ khóa học kết thúc vào 15/6.
</t>
    </r>
    <r>
      <rPr>
        <rFont val="Cambria"/>
        <b/>
        <color theme="1"/>
        <sz val="11.0"/>
      </rPr>
      <t>GIÚP EM XÁC NHẬN LỊCH TEST QUA ZALO VỚI BA LUÔN Ạ</t>
    </r>
  </si>
  <si>
    <t>https://business.facebook.com/latest/inbox/all?bpn_id=363372930910989&amp;asset_id=140924759399774&amp;nav_ref=redirect_biz_inbox_comet_profile_plus_ap_page_inbox_message_button&amp;mailbox_id=&amp;selected_item_id=100000292464874</t>
  </si>
  <si>
    <r>
      <rPr>
        <rFont val="Cambria"/>
        <color theme="1"/>
        <sz val="11.0"/>
      </rPr>
      <t xml:space="preserve">Quan tâm khóa Phonics Fun
</t>
    </r>
    <r>
      <rPr>
        <rFont val="Cambria"/>
        <b/>
        <color theme="1"/>
        <sz val="11.0"/>
      </rPr>
      <t>Liên lạc trong ngày hôm nay (7/6) nhé!</t>
    </r>
  </si>
  <si>
    <t>Điền form</t>
  </si>
  <si>
    <t>https://business.facebook.com/latest/inbox/all?asset_id=140924759399774&amp;bpn_id=363372930910989&amp;nav_ref=redirect_biz_inbox_comet_profile_plus_ap_page_inbox_message_button&amp;mailbox_id=&amp;selected_item_id=100009703441012</t>
  </si>
  <si>
    <t>https://business.facebook.com/latest/inbox/all?bpn_id=363372930910989&amp;asset_id=140924759399774&amp;nav_ref=redirect_biz_inbox_comet_profile_plus_ap_page_inbox_message_button&amp;wtsid=rdr_0hj2A3ljKe4MaFwSW&amp;mailbox_id=&amp;selected_item_id=100007223414499</t>
  </si>
  <si>
    <t>https://business.facebook.com/latest/inbox/all?bpn_id=363372930910989&amp;asset_id=140924759399774&amp;nav_ref=redirect_biz_inbox_comet_profile_plus_ap_page_inbox_message_button&amp;wtsid=rdr_0hj2A3ljKe4MaFwSW&amp;mailbox_id=&amp;selected_item_id=100003599691313</t>
  </si>
  <si>
    <t>https://business.facebook.com/latest/inbox/all?bpn_id=363372930910989&amp;asset_id=140924759399774&amp;nav_ref=redirect_biz_inbox_comet_profile_plus_ap_page_inbox_message_button&amp;wtsid=rdr_0hj2A3ljKe4MaFwSW&amp;mailbox_id=&amp;selected_item_id=100015843066749</t>
  </si>
  <si>
    <t>https://business.facebook.com/latest/inbox/all?bpn_id=363372930910989&amp;asset_id=140924759399774&amp;nav_ref=redirect_biz_inbox_comet_profile_plus_ap_page_inbox_message_button&amp;wtsid=rdr_0w6FheUPKzriBmzH5&amp;mailbox_id=&amp;selected_item_id=100004168652110</t>
  </si>
  <si>
    <t>https://business.facebook.com/latest/inbox/all?bpn_id=363372930910989&amp;asset_id=140924759399774&amp;nav_ref=redirect_biz_inbox_comet_profile_plus_ap_page_inbox_message_button&amp;mailbox_id=&amp;selected_item_id=100006532060369</t>
  </si>
  <si>
    <t>https://business.facebook.com/latest/inbox/all?bpn_id=363372930910989&amp;asset_id=140924759399774&amp;nav_ref=redirect_biz_inbox_comet_profile_plus_ap_page_inbox_message_button&amp;mailbox_id=&amp;selected_item_id=100005588442246</t>
  </si>
  <si>
    <t>https://business.facebook.com/latest/inbox/all?bpn_id=363372930910989&amp;asset_id=140924759399774&amp;nav_ref=redirect_biz_inbox_comet_profile_plus_ap_page_inbox_message_button&amp;mailbox_id=&amp;selected_item_id=100001644750645</t>
  </si>
  <si>
    <t>https://business.facebook.com/latest/inbox/all?bpn_id=363372930910989&amp;asset_id=140924759399774&amp;nav_ref=redirect_biz_inbox_comet_profile_plus_ap_page_inbox_message_button&amp;mailbox_id=&amp;selected_item_id=100079297695545</t>
  </si>
  <si>
    <t>https://business.facebook.com/latest/inbox/all?bpn_id=363372930910989&amp;asset_id=140924759399774&amp;nav_ref=redirect_biz_inbox_comet_profile_plus_ap_page_inbox_message_button&amp;mailbox_id=&amp;selected_item_id=100029754840304</t>
  </si>
  <si>
    <t>https://business.facebook.com/latest/inbox/all?bpn_id=363372930910989&amp;asset_id=140924759399774&amp;nav_ref=redirect_biz_inbox_comet_profile_plus_ap_page_inbox_message_button&amp;mailbox_id=&amp;selected_item_id=100000206158440</t>
  </si>
  <si>
    <t>https://business.facebook.com/latest/inbox/all?bpn_id=363372930910989&amp;asset_id=140924759399774&amp;nav_ref=redirect_biz_inbox_comet_profile_plus_ap_page_inbox_message_button&amp;mailbox_id=&amp;selected_item_id=100002672618431</t>
  </si>
  <si>
    <t>https://business.facebook.com/latest/inbox/all?bpn_id=363372930910989&amp;asset_id=140924759399774&amp;nav_ref=redirect_biz_inbox_comet_profile_plus_ap_page_inbox_message_button&amp;mailbox_id=&amp;selected_item_id=100035403301127</t>
  </si>
  <si>
    <t>https://business.facebook.com/latest/inbox/all?bpn_id=363372930910989&amp;asset_id=140924759399774&amp;nav_ref=redirect_biz_inbox_comet_profile_plus_ap_page_inbox_message_button&amp;mailbox_id=&amp;selected_item_id=100008130192032</t>
  </si>
  <si>
    <t>https://www.facebook.com/profile.php?id=100009615101828</t>
  </si>
  <si>
    <t>https://business.facebook.com/latest/inbox/all?bpn_id=363372930910989&amp;asset_id=140924759399774&amp;nav_ref=redirect_biz_inbox_comet_profile_plus_ap_page_inbox_message_button&amp;mailbox_id=&amp;selected_item_id=100001206863903</t>
  </si>
  <si>
    <t>https://business.facebook.com/latest/inbox/all?bpn_id=363372930910989&amp;asset_id=140924759399774&amp;nav_ref=redirect_biz_inbox_comet_profile_plus_ap_page_inbox_message_button&amp;mailbox_id=&amp;selected_item_id=100003700571547</t>
  </si>
  <si>
    <t>https://business.facebook.com/latest/inbox/all?bpn_id=363372930910989&amp;asset_id=140924759399774&amp;nav_ref=redirect_biz_inbox_comet_profile_plus_ap_page_inbox_message_button&amp;mailbox_id=&amp;selected_item_id=100001580872946</t>
  </si>
  <si>
    <t>https://business.facebook.com/latest/inbox/all?bpn_id=363372930910989&amp;asset_id=140924759399774&amp;nav_ref=redirect_biz_inbox_comet_profile_plus_ap_page_inbox_message_button&amp;mailbox_id=&amp;selected_item_id=100002798795133</t>
  </si>
  <si>
    <t>https://business.facebook.com/latest/inbox/all?asset_id=140924759399774&amp;nav_ref=pages_classic_isolated_section_inbox_redirect&amp;mailbox_id=&amp;selected_item_id=100002068973991</t>
  </si>
  <si>
    <r>
      <rPr>
        <rFont val="Cambria"/>
        <color theme="1"/>
        <sz val="12.0"/>
      </rPr>
      <t>19/6: đã liên lạc, kb zalo chia sẻ lớp GTPX, xếp lịch test chiều 15h thứ 2. 20/6 đã trả kq test, mẹ cân nhắc
21/6: gọi điện nhưng mẹ bận không nghe máy
30/6: liên lạc lại hiện tại bạn đâng nghỉ hè đi</t>
    </r>
    <r>
      <rPr>
        <rFont val="Cambria"/>
        <b/>
        <color theme="1"/>
        <sz val="12.0"/>
      </rPr>
      <t xml:space="preserve"> chơi sau 20/7 về đăng kí học</t>
    </r>
    <r>
      <rPr>
        <rFont val="Cambria"/>
        <color theme="1"/>
        <sz val="12.0"/>
      </rPr>
      <t xml:space="preserve">
</t>
    </r>
  </si>
  <si>
    <t>Ba làm tập đoàn Mai Linh (account manager) - khả năng chốt sale cao hihi</t>
  </si>
  <si>
    <r>
      <rPr>
        <rFont val="Cambria"/>
        <color rgb="FFFFFFFF"/>
        <sz val="11.0"/>
      </rPr>
      <t xml:space="preserve">Mẹ quan tâm tư vấn khóa GPTX - ghép được lớp 1 kèm 4 càng tốt  
</t>
    </r>
    <r>
      <rPr>
        <rFont val="Cambria"/>
        <b/>
        <color rgb="FFFFFFFF"/>
        <sz val="11.0"/>
      </rPr>
      <t>NHẮN TIN ZALO - MẸ KO TIỆN NGHE MÁY</t>
    </r>
  </si>
  <si>
    <r>
      <rPr>
        <rFont val="Cambria"/>
        <b/>
        <color rgb="FFFFFFFF"/>
        <sz val="11.0"/>
      </rPr>
      <t xml:space="preserve">Nhắn tin ZALO </t>
    </r>
    <r>
      <rPr>
        <rFont val="Cambria"/>
        <color rgb="FFFFFFFF"/>
        <sz val="11.0"/>
      </rPr>
      <t>cho bố, tư vấn học phí chương trình học cho bạn 12 tuổi qua Zalo cho bố</t>
    </r>
  </si>
  <si>
    <r>
      <rPr>
        <rFont val="Cambria"/>
        <b/>
        <color rgb="FFFFFFFF"/>
        <sz val="11.0"/>
      </rPr>
      <t>Nhắn tin ZALO</t>
    </r>
    <r>
      <rPr>
        <rFont val="Cambria"/>
        <color rgb="FFFFFFFF"/>
        <sz val="11.0"/>
      </rPr>
      <t xml:space="preserve"> cho mẹ tư vấn khóa học phù hợp cho bé lớp 3 </t>
    </r>
  </si>
  <si>
    <t>27/6: đã gọi điện, kết bạn zalo và sắp xếp lịch test
4/7: đã theo chăm sóc mấy hôm, chốt lịch cho con học thử lớp vườn ươm 06 2 buổi để mẹ cân nhắc
19/7: trao đổi với mẹ cho con làm bài test để phân lớp vườn ươm</t>
  </si>
  <si>
    <t>27/6: đã gọi điện, kết bạn zalo và sắp xếp lịch test
4/7: mẹ bảo sẽ sắp xếp cho bạn học sau</t>
  </si>
  <si>
    <t>https://business.facebook.com/latest/inbox/all?asset_id=140924759399774&amp;nav_ref=pages_classic_isolated_section_inbox_redirect&amp;selected_item_id=100013239126514&amp;mailbox_id=</t>
  </si>
  <si>
    <r>
      <rPr>
        <rFont val="Cambria"/>
        <color theme="1"/>
        <sz val="11.0"/>
      </rPr>
      <t>24/6: gọi nhưng knm. 26/6</t>
    </r>
    <r>
      <rPr>
        <rFont val="Cambria"/>
        <b/>
        <color theme="1"/>
        <sz val="11.0"/>
      </rPr>
      <t xml:space="preserve"> gọi nghe máy hẹn tối gọi lại
</t>
    </r>
    <r>
      <rPr>
        <rFont val="Cambria"/>
        <color theme="1"/>
        <sz val="11.0"/>
      </rPr>
      <t>28/6 gọi lại vẫn ko nghe máy. nt zalo ko phản hồi</t>
    </r>
  </si>
  <si>
    <t>Người lớn</t>
  </si>
  <si>
    <r>
      <rPr>
        <rFont val="Cambria"/>
        <color theme="1"/>
        <sz val="11.0"/>
      </rPr>
      <t xml:space="preserve">Gửi thông tin khóa giao tiếp quốc tế qua </t>
    </r>
    <r>
      <rPr>
        <rFont val="Cambria"/>
        <b/>
        <color theme="1"/>
        <sz val="11.0"/>
      </rPr>
      <t>ZALO</t>
    </r>
    <r>
      <rPr>
        <rFont val="Cambria"/>
        <color theme="1"/>
        <sz val="11.0"/>
      </rPr>
      <t xml:space="preserve"> (gửi bảng giá GTPX) hoặc hỏi lại chị Yến giúp em</t>
    </r>
  </si>
  <si>
    <r>
      <rPr>
        <rFont val="Cambria"/>
        <color theme="1"/>
        <sz val="11.0"/>
      </rPr>
      <t xml:space="preserve">Gửi thông tin tư vấn lớp </t>
    </r>
    <r>
      <rPr>
        <rFont val="Cambria"/>
        <b/>
        <color theme="1"/>
        <sz val="11.0"/>
      </rPr>
      <t>TOEIC qua ZALO</t>
    </r>
  </si>
  <si>
    <t>https://business.facebook.com/latest/inbox/all?asset_id=140924759399774&amp;nav_ref=diode_page_inbox_message_notif%3Fnotif_m%3Dalerts_page&amp;mailbox_id=&amp;selected_item_id=100003707881910</t>
  </si>
  <si>
    <r>
      <rPr>
        <rFont val="Cambria"/>
        <color theme="1"/>
        <sz val="11.0"/>
      </rPr>
      <t xml:space="preserve">Cmt bài viết
</t>
    </r>
    <r>
      <rPr>
        <rFont val="Cambria"/>
        <color rgb="FFFF0000"/>
        <sz val="11.0"/>
      </rPr>
      <t>Mẹ lại nhắn tin trên FP, chăm sóc lại nhé</t>
    </r>
  </si>
  <si>
    <t>https://business.facebook.com/latest/inbox/all?bpn_id=363372930910989&amp;asset_id=140924759399774&amp;nav_ref=redirect_biz_inbox_comet_profile_plus_ap_page_inbox_message_button&amp;mailbox_id=&amp;selected_item_id=571771763</t>
  </si>
  <si>
    <r>
      <rPr>
        <rFont val="Cambria"/>
        <color theme="1"/>
        <sz val="11.0"/>
      </rPr>
      <t xml:space="preserve">Đăng ký khóa Giao tiếp phản xạ (học 100% với giáo viên nước ngoài)
</t>
    </r>
    <r>
      <rPr>
        <rFont val="Cambria"/>
        <b/>
        <color theme="1"/>
        <sz val="11.0"/>
      </rPr>
      <t>Bé học lớp 4 nhưng đã học ngữ pháp lớp 6 r</t>
    </r>
  </si>
  <si>
    <r>
      <rPr>
        <rFont val="Cambria"/>
        <color theme="1"/>
        <sz val="11.0"/>
      </rPr>
      <t xml:space="preserve">5/8: Gọi thì máy báo thuê bao
</t>
    </r>
    <r>
      <rPr>
        <rFont val="Cambria"/>
        <b/>
        <color rgb="FFFF0000"/>
        <sz val="11.0"/>
      </rPr>
      <t xml:space="preserve">Nhắn qua ZALO </t>
    </r>
  </si>
  <si>
    <r>
      <rPr>
        <rFont val="Cambria"/>
        <sz val="11.0"/>
      </rPr>
      <t xml:space="preserve">Muốn đăng ký thi thử Mover
Làm việc tại </t>
    </r>
    <r>
      <rPr>
        <rFont val="Cambria"/>
        <color rgb="FF1155CC"/>
        <sz val="11.0"/>
        <u/>
      </rPr>
      <t>Hocmai.vn</t>
    </r>
  </si>
  <si>
    <t>Con ngoan hiền, lễ phép. Con tập trung khi tham gia test. Tuy nhiên con đã khá mệt và đói khi đến giờ test rồi.
Tốc độ phản xạ: Khá nhanh. 
Con nghe hiểu các câu hỏi và trả lời được ở mức căn bản. Con có ý thức sử dụng câu đầy đủ. Tuy nhiên cần học thêm để áp dụng được ngữ pháp, cấu trúc câu phức tạp vào giao tiếp.
Con cần cố gắng mở rộng ý tưởng hơn nữa khi giao tiếp.
Con chưa tự tin về phát âm, cần cố gắng cải thiện thêm về độ chính xác, âm nhấn và lưu loát.
Có vốn từ khá tốt về các chủ đề: thông tin cá nhân, đồ dùng, màu sắc, hoạt động, động vật, ... 
Khả năng đọc hiểu, nghe hiểu của con khá tốt và con có thể làm được đúng gần hết các câu hỏi trong bài test.
Con cần rèn luyện thêm về từ vựng và cấu trúc với chương trình GTPX Level 5</t>
  </si>
  <si>
    <t>https://business.facebook.com/latest/inbox/all?asset_id=140924759399774&amp;mailbox_id=&amp;selected_item_id=100001357471759</t>
  </si>
  <si>
    <r>
      <rPr>
        <rFont val="Cambria"/>
        <color theme="1"/>
        <sz val="11.0"/>
      </rPr>
      <t xml:space="preserve">Hà Nội        Chỉ học trên trường
</t>
    </r>
    <r>
      <rPr>
        <rFont val="Cambria"/>
        <b/>
        <color theme="1"/>
        <sz val="11.0"/>
      </rPr>
      <t>NP0Đ</t>
    </r>
  </si>
  <si>
    <r>
      <rPr>
        <rFont val="Cambria"/>
        <color theme="1"/>
        <sz val="11.0"/>
      </rPr>
      <t xml:space="preserve">Tay Ninh        Tự học chương trình homeschool  Muốn Ngữ pháp tốt để nói và viết tốt
</t>
    </r>
    <r>
      <rPr>
        <rFont val="Cambria"/>
        <b/>
        <color theme="1"/>
        <sz val="11.0"/>
      </rPr>
      <t xml:space="preserve"> NP0Đ</t>
    </r>
  </si>
  <si>
    <r>
      <rPr>
        <rFont val="Cambria"/>
        <color theme="1"/>
        <sz val="11.0"/>
      </rPr>
      <t xml:space="preserve">Hà Nội         Chỉ học trên trường
</t>
    </r>
    <r>
      <rPr>
        <rFont val="Cambria"/>
        <b/>
        <color theme="1"/>
        <sz val="11.0"/>
      </rPr>
      <t>NP0Đ</t>
    </r>
  </si>
  <si>
    <r>
      <rPr>
        <rFont val="Cambria"/>
        <color theme="1"/>
        <sz val="11.0"/>
      </rPr>
      <t xml:space="preserve">Nghệ An        Học trên trường và học thêm ở ngoài (Trung tâm, gia sư riêng, ...)   Thứ 3&amp;5
</t>
    </r>
    <r>
      <rPr>
        <rFont val="Cambria"/>
        <b/>
        <color theme="1"/>
        <sz val="11.0"/>
      </rPr>
      <t>NP0Đ</t>
    </r>
  </si>
  <si>
    <r>
      <rPr>
        <rFont val="Cambria"/>
        <color theme="1"/>
        <sz val="11.0"/>
      </rPr>
      <t xml:space="preserve">Số check
</t>
    </r>
    <r>
      <rPr>
        <rFont val="Cambria"/>
        <b/>
        <color theme="1"/>
        <sz val="11.0"/>
      </rPr>
      <t>(Đợi mẹ rep tn trên Fanpage rồi gọi sau ạ)</t>
    </r>
  </si>
  <si>
    <t xml:space="preserve">30/10: xếp lịch test tối thứ 3 khung giờ 19h
1/11: trả kq test, mẹ cần thương thảo vs con, sẽ liên lạc sau
2/11: tuần sau nhác lịch demo và sắp xếp học thử cho con
</t>
  </si>
  <si>
    <t>7/11: xếp lịch test chiều thứ 4 
8/11: trả kq test, bạn chưa phản hồi</t>
  </si>
  <si>
    <t>16/11: gọi chưa nghe máy
20/11: gọi thuê bao</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</si>
</sst>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dd/MM/yyyy"/>
    <numFmt numFmtId="165" formatCode="#,##0\ [$đ-42A]"/>
    <numFmt numFmtId="166" formatCode="dd/mm/yyyy"/>
    <numFmt numFmtId="167" formatCode="d/m/yy"/>
    <numFmt numFmtId="168" formatCode="d/m/yyyy"/>
    <numFmt numFmtId="169" formatCode="dd/mm"/>
    <numFmt numFmtId="170" formatCode="dd/mm/yy"/>
    <numFmt numFmtId="171" formatCode="d/m"/>
    <numFmt numFmtId="172" formatCode="hh:mm"/>
    <numFmt numFmtId="173" formatCode="dd/mm/yyyy hh:mm:ss"/>
    <numFmt numFmtId="174" formatCode="d.m.yyyy"/>
    <numFmt numFmtId="175" formatCode="dd.mm.yyyy"/>
    <numFmt numFmtId="176" formatCode="dd-mm-yyyy"/>
    <numFmt numFmtId="177" formatCode="#,##0[$VND]"/>
    <numFmt numFmtId="178" formatCode="mm/yyyy"/>
  </numFmts>
  <fonts count="87">
    <font>
      <sz val="10.0"/>
      <color rgb="FF000000"/>
      <name val="Arial"/>
      <scheme val="minor"/>
    </font>
    <font>
      <b/>
      <sz val="11.0"/>
      <color theme="1"/>
      <name val="Cambria"/>
    </font>
    <font>
      <b/>
      <sz val="11.0"/>
      <color rgb="FF000000"/>
      <name val="Cambria"/>
    </font>
    <font/>
    <font>
      <sz val="11.0"/>
      <color theme="1"/>
      <name val="Cambria"/>
    </font>
    <font>
      <u/>
      <sz val="11.0"/>
      <color rgb="FF0000FF"/>
      <name val="Cambria"/>
    </font>
    <font>
      <sz val="11.0"/>
      <color rgb="FF000000"/>
      <name val="Cambria"/>
    </font>
    <font>
      <sz val="11.0"/>
      <color rgb="FFFF0000"/>
      <name val="Cambria"/>
    </font>
    <font>
      <u/>
      <sz val="11.0"/>
      <color rgb="FF0000FF"/>
      <name val="Cambria"/>
    </font>
    <font>
      <b/>
      <sz val="11.0"/>
      <color rgb="FFFF0000"/>
      <name val="Cambria"/>
    </font>
    <font>
      <sz val="11.0"/>
      <color rgb="FF1C1E21"/>
      <name val="Cambria"/>
    </font>
    <font>
      <sz val="12.0"/>
      <color theme="1"/>
      <name val="Times New Roman"/>
    </font>
    <font>
      <sz val="11.0"/>
      <color rgb="FF1F1F1F"/>
      <name val="Cambria"/>
    </font>
    <font>
      <sz val="11.0"/>
      <color rgb="FFFFFFFF"/>
      <name val="Cambria"/>
    </font>
    <font>
      <sz val="11.0"/>
      <color rgb="FF050505"/>
      <name val="Cambria"/>
    </font>
    <font>
      <b/>
      <sz val="11.0"/>
      <color rgb="FFFFFFFF"/>
      <name val="Cambria"/>
    </font>
    <font>
      <sz val="11.0"/>
      <color rgb="FF081C36"/>
      <name val="Cambria"/>
    </font>
    <font>
      <sz val="11.0"/>
      <color rgb="FF1C1E21"/>
      <name val="Roboto"/>
    </font>
    <font>
      <sz val="11.0"/>
      <color rgb="FFFF0000"/>
      <name val="Docs-Cambria"/>
    </font>
    <font>
      <sz val="11.0"/>
      <color theme="1"/>
      <name val="Times New Roman"/>
    </font>
    <font>
      <sz val="11.0"/>
      <color rgb="FF000000"/>
      <name val="Roboto"/>
    </font>
    <font>
      <sz val="11.0"/>
      <color theme="1"/>
      <name val="Arial"/>
    </font>
    <font>
      <sz val="11.0"/>
      <color rgb="FFFF0000"/>
      <name val="Arial"/>
    </font>
    <font>
      <sz val="11.0"/>
      <color rgb="FFFF0000"/>
      <name val="Roboto"/>
    </font>
    <font>
      <sz val="11.0"/>
      <color rgb="FF000000"/>
      <name val="Times New Roman"/>
    </font>
    <font>
      <u/>
      <sz val="11.0"/>
      <color theme="1"/>
      <name val="Cambria"/>
    </font>
    <font>
      <u/>
      <sz val="11.0"/>
      <color theme="1"/>
      <name val="Cambria"/>
    </font>
    <font>
      <sz val="11.0"/>
      <color rgb="FF1C1E21"/>
      <name val="Helvetica Neue"/>
    </font>
    <font>
      <color theme="1"/>
      <name val="Cambria"/>
    </font>
    <font>
      <color rgb="FF000000"/>
      <name val="Cambria"/>
    </font>
    <font>
      <sz val="10.0"/>
      <color rgb="FF000000"/>
      <name val="Cambria"/>
    </font>
    <font>
      <color rgb="FFFF0000"/>
      <name val="Cambria"/>
    </font>
    <font>
      <sz val="10.0"/>
      <color theme="1"/>
      <name val="Cambria"/>
    </font>
    <font>
      <sz val="12.0"/>
      <color rgb="FF000000"/>
      <name val="Cambria"/>
    </font>
    <font>
      <sz val="12.0"/>
      <color theme="1"/>
      <name val="Cambria"/>
    </font>
    <font>
      <sz val="13.0"/>
      <color rgb="FFFF0000"/>
      <name val="Cambria"/>
    </font>
    <font>
      <color rgb="FF050505"/>
      <name val="Cambria"/>
    </font>
    <font>
      <sz val="12.0"/>
      <color rgb="FF1C1E21"/>
      <name val="Roboto"/>
    </font>
    <font>
      <sz val="12.0"/>
      <color rgb="FF000000"/>
      <name val="Roboto"/>
    </font>
    <font>
      <color theme="1"/>
      <name val="Arial"/>
    </font>
    <font>
      <color rgb="FFFF0000"/>
      <name val="Arial"/>
    </font>
    <font>
      <sz val="12.0"/>
      <color rgb="FFFF0000"/>
      <name val="Roboto"/>
    </font>
    <font>
      <color theme="1"/>
      <name val="Arial"/>
      <scheme val="minor"/>
    </font>
    <font>
      <sz val="13.0"/>
      <color rgb="FF000000"/>
      <name val="Times New Roman"/>
    </font>
    <font>
      <color rgb="FF1C1E21"/>
      <name val="Roboto"/>
    </font>
    <font>
      <sz val="9.0"/>
      <color rgb="FF1C1E21"/>
      <name val="Helvetica Neue"/>
    </font>
    <font>
      <b/>
      <color rgb="FFFFFFFF"/>
      <name val="Arial"/>
    </font>
    <font>
      <b/>
      <color rgb="FF000000"/>
      <name val="Arial"/>
    </font>
    <font>
      <b/>
      <color theme="1"/>
      <name val="Arial"/>
    </font>
    <font>
      <sz val="10.0"/>
      <color theme="1"/>
      <name val="Arial"/>
    </font>
    <font>
      <b/>
      <sz val="11.0"/>
      <color theme="1"/>
      <name val="Arial"/>
    </font>
    <font>
      <b/>
      <sz val="20.0"/>
      <color rgb="FFFFFFFF"/>
      <name val="Arial"/>
    </font>
    <font>
      <sz val="13.0"/>
      <color theme="1"/>
      <name val="Times New Roman"/>
    </font>
    <font>
      <b/>
      <sz val="12.0"/>
      <color theme="1"/>
      <name val="Times New Roman"/>
    </font>
    <font>
      <color theme="1"/>
      <name val="Times New Roman"/>
    </font>
    <font>
      <b/>
      <color theme="1"/>
      <name val="Times New Roman"/>
    </font>
    <font>
      <b/>
      <sz val="15.0"/>
      <color rgb="FFFFFFFF"/>
      <name val="Times New Roman"/>
    </font>
    <font>
      <b/>
      <sz val="7.0"/>
      <color theme="1"/>
      <name val="Times New Roman"/>
    </font>
    <font>
      <color rgb="FFFFFFFF"/>
      <name val="Times New Roman"/>
    </font>
    <font>
      <b/>
      <sz val="13.0"/>
      <color theme="1"/>
      <name val="Times New Roman"/>
    </font>
    <font>
      <sz val="9.0"/>
      <color rgb="FF000000"/>
      <name val="Times New Roman"/>
    </font>
    <font>
      <b/>
      <sz val="11.0"/>
      <color rgb="FF0000FF"/>
      <name val="Arial"/>
    </font>
    <font>
      <b/>
      <color rgb="FF0000FF"/>
      <name val="Arial"/>
    </font>
    <font>
      <b/>
      <sz val="29.0"/>
      <color theme="1"/>
      <name val="Arial"/>
    </font>
    <font>
      <b/>
      <color rgb="FFFF0000"/>
      <name val="Arial"/>
    </font>
    <font>
      <b/>
      <sz val="24.0"/>
      <color theme="1"/>
      <name val="Arial"/>
    </font>
    <font>
      <sz val="14.0"/>
      <color theme="1"/>
      <name val="Cambria"/>
    </font>
    <font>
      <sz val="26.0"/>
      <color theme="1"/>
      <name val="Arial"/>
    </font>
    <font>
      <sz val="25.0"/>
      <color theme="1"/>
      <name val="Arial"/>
    </font>
    <font>
      <sz val="9.0"/>
      <color rgb="FF000000"/>
      <name val="Arial"/>
    </font>
    <font>
      <u/>
      <color rgb="FF0000FF"/>
    </font>
    <font>
      <b/>
      <sz val="12.0"/>
      <color theme="1"/>
      <name val="Arial"/>
    </font>
    <font>
      <sz val="12.0"/>
      <color theme="1"/>
      <name val="Arial"/>
    </font>
    <font>
      <color rgb="FFFFFFFF"/>
      <name val="Arial"/>
    </font>
    <font>
      <u/>
      <color theme="1"/>
      <name val="Arial"/>
    </font>
    <font>
      <b/>
      <sz val="11.0"/>
      <color rgb="FFFFFFFF"/>
      <name val="Times New Roman"/>
    </font>
    <font>
      <b/>
      <sz val="11.0"/>
      <color theme="1"/>
      <name val="Times New Roman"/>
    </font>
    <font>
      <u/>
      <sz val="11.0"/>
      <color rgb="FF0000FF"/>
      <name val="Cambria"/>
    </font>
    <font>
      <u/>
      <sz val="11.0"/>
      <color rgb="FF0000FF"/>
      <name val="Cambria"/>
    </font>
    <font>
      <u/>
      <color rgb="FF0000FF"/>
      <name val="Cambria"/>
    </font>
    <font>
      <sz val="11.0"/>
      <color rgb="FF1C1E21"/>
      <name val="Times New Roman"/>
    </font>
    <font>
      <sz val="11.0"/>
      <color rgb="FF1F1F1F"/>
      <name val="Times New Roman"/>
    </font>
    <font>
      <u/>
      <sz val="11.0"/>
      <color rgb="FF0000FF"/>
      <name val="Cambria"/>
    </font>
    <font>
      <u/>
      <sz val="11.0"/>
      <color rgb="FF0000FF"/>
      <name val="Cambria"/>
    </font>
    <font>
      <sz val="11.0"/>
      <color rgb="FF050505"/>
      <name val="Times New Roman"/>
    </font>
    <font>
      <sz val="12.0"/>
      <color rgb="FF1C1E21"/>
      <name val="Times New Roman"/>
    </font>
    <font>
      <sz val="11.0"/>
      <color rgb="FF081C36"/>
      <name val="Times New Roman"/>
    </font>
  </fonts>
  <fills count="38">
    <fill>
      <patternFill patternType="none"/>
    </fill>
    <fill>
      <patternFill patternType="lightGray"/>
    </fill>
    <fill>
      <patternFill patternType="solid">
        <fgColor rgb="FFFFC000"/>
        <bgColor rgb="FFFFC000"/>
      </patternFill>
    </fill>
    <fill>
      <patternFill patternType="solid">
        <fgColor rgb="FFFDD868"/>
        <bgColor rgb="FFFDD868"/>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F4CCCC"/>
        <bgColor rgb="FFF4CCCC"/>
      </patternFill>
    </fill>
    <fill>
      <patternFill patternType="solid">
        <fgColor rgb="FFEFEFEF"/>
        <bgColor rgb="FFEFEFEF"/>
      </patternFill>
    </fill>
    <fill>
      <patternFill patternType="solid">
        <fgColor rgb="FFFF9900"/>
        <bgColor rgb="FFFF9900"/>
      </patternFill>
    </fill>
    <fill>
      <patternFill patternType="solid">
        <fgColor rgb="FF93C47D"/>
        <bgColor rgb="FF93C47D"/>
      </patternFill>
    </fill>
    <fill>
      <patternFill patternType="solid">
        <fgColor rgb="FFB7E1CD"/>
        <bgColor rgb="FFB7E1CD"/>
      </patternFill>
    </fill>
    <fill>
      <patternFill patternType="solid">
        <fgColor rgb="FFB6D7A8"/>
        <bgColor rgb="FFB6D7A8"/>
      </patternFill>
    </fill>
    <fill>
      <patternFill patternType="solid">
        <fgColor theme="0"/>
        <bgColor theme="0"/>
      </patternFill>
    </fill>
    <fill>
      <patternFill patternType="solid">
        <fgColor rgb="FFCC4125"/>
        <bgColor rgb="FFCC4125"/>
      </patternFill>
    </fill>
    <fill>
      <patternFill patternType="solid">
        <fgColor rgb="FFFFF2CC"/>
        <bgColor rgb="FFFFF2CC"/>
      </patternFill>
    </fill>
    <fill>
      <patternFill patternType="solid">
        <fgColor rgb="FF6D9EEB"/>
        <bgColor rgb="FF6D9EEB"/>
      </patternFill>
    </fill>
    <fill>
      <patternFill patternType="solid">
        <fgColor rgb="FFF1C232"/>
        <bgColor rgb="FFF1C232"/>
      </patternFill>
    </fill>
    <fill>
      <patternFill patternType="solid">
        <fgColor rgb="FFFFFF00"/>
        <bgColor rgb="FFFFFF00"/>
      </patternFill>
    </fill>
    <fill>
      <patternFill patternType="solid">
        <fgColor rgb="FFE5EFFF"/>
        <bgColor rgb="FFE5EFFF"/>
      </patternFill>
    </fill>
    <fill>
      <patternFill patternType="solid">
        <fgColor rgb="FFF5F5F5"/>
        <bgColor rgb="FFF5F5F5"/>
      </patternFill>
    </fill>
    <fill>
      <patternFill patternType="solid">
        <fgColor rgb="FFE4E6EB"/>
        <bgColor rgb="FFE4E6EB"/>
      </patternFill>
    </fill>
    <fill>
      <patternFill patternType="solid">
        <fgColor rgb="FFFFE599"/>
        <bgColor rgb="FFFFE599"/>
      </patternFill>
    </fill>
    <fill>
      <patternFill patternType="solid">
        <fgColor rgb="FFFCE5CD"/>
        <bgColor rgb="FFFCE5CD"/>
      </patternFill>
    </fill>
    <fill>
      <patternFill patternType="solid">
        <fgColor rgb="FFEA9999"/>
        <bgColor rgb="FFEA9999"/>
      </patternFill>
    </fill>
    <fill>
      <patternFill patternType="solid">
        <fgColor rgb="FFD9EAD3"/>
        <bgColor rgb="FFD9EAD3"/>
      </patternFill>
    </fill>
    <fill>
      <patternFill patternType="solid">
        <fgColor rgb="FF6AA84F"/>
        <bgColor rgb="FF6AA84F"/>
      </patternFill>
    </fill>
    <fill>
      <patternFill patternType="solid">
        <fgColor rgb="FFE06666"/>
        <bgColor rgb="FFE06666"/>
      </patternFill>
    </fill>
    <fill>
      <patternFill patternType="solid">
        <fgColor theme="9"/>
        <bgColor theme="9"/>
      </patternFill>
    </fill>
    <fill>
      <patternFill patternType="solid">
        <fgColor rgb="FFD9D2E9"/>
        <bgColor rgb="FFD9D2E9"/>
      </patternFill>
    </fill>
    <fill>
      <patternFill patternType="solid">
        <fgColor rgb="FF9FC5E8"/>
        <bgColor rgb="FF9FC5E8"/>
      </patternFill>
    </fill>
    <fill>
      <patternFill patternType="solid">
        <fgColor rgb="FFB4A7D6"/>
        <bgColor rgb="FFB4A7D6"/>
      </patternFill>
    </fill>
    <fill>
      <patternFill patternType="solid">
        <fgColor rgb="FF38761D"/>
        <bgColor rgb="FF38761D"/>
      </patternFill>
    </fill>
    <fill>
      <patternFill patternType="solid">
        <fgColor rgb="FFCC0000"/>
        <bgColor rgb="FFCC0000"/>
      </patternFill>
    </fill>
    <fill>
      <patternFill patternType="solid">
        <fgColor rgb="FF274E13"/>
        <bgColor rgb="FF274E13"/>
      </patternFill>
    </fill>
    <fill>
      <patternFill patternType="solid">
        <fgColor rgb="FFFFD966"/>
        <bgColor rgb="FFFFD966"/>
      </patternFill>
    </fill>
    <fill>
      <patternFill patternType="solid">
        <fgColor rgb="FFF9CB9C"/>
        <bgColor rgb="FFF9CB9C"/>
      </patternFill>
    </fill>
    <fill>
      <patternFill patternType="solid">
        <fgColor rgb="FFF3F3F3"/>
        <bgColor rgb="FFF3F3F3"/>
      </patternFill>
    </fill>
  </fills>
  <borders count="37">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right style="thin">
        <color rgb="FF000000"/>
      </right>
      <top style="double">
        <color rgb="FF000000"/>
      </top>
    </border>
    <border>
      <left style="thin">
        <color rgb="FF000000"/>
      </left>
      <right style="thin">
        <color rgb="FF000000"/>
      </right>
      <top style="double">
        <color rgb="FF000000"/>
      </top>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rder>
    <border>
      <left style="double">
        <color rgb="FF000000"/>
      </left>
      <right style="thin">
        <color rgb="FF000000"/>
      </right>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style="double">
        <color rgb="FF000000"/>
      </left>
      <top style="thin">
        <color rgb="FF000000"/>
      </top>
      <bottom style="double">
        <color rgb="FF000000"/>
      </bottom>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style="double">
        <color rgb="FF000000"/>
      </left>
      <top style="thin">
        <color rgb="FF000000"/>
      </top>
    </border>
    <border>
      <left style="double">
        <color rgb="FF000000"/>
      </left>
      <right style="thin">
        <color rgb="FF000000"/>
      </right>
      <top style="thin">
        <color rgb="FF000000"/>
      </top>
    </border>
    <border>
      <left style="thin">
        <color rgb="FF000000"/>
      </left>
      <right style="double">
        <color rgb="FF000000"/>
      </right>
    </border>
    <border>
      <left style="double">
        <color rgb="FF000000"/>
      </left>
      <bottom style="thin">
        <color rgb="FF000000"/>
      </bottom>
    </border>
    <border>
      <left style="double">
        <color rgb="FF000000"/>
      </left>
      <right style="thin">
        <color rgb="FF000000"/>
      </right>
      <top style="thin">
        <color rgb="FF000000"/>
      </top>
      <bottom style="double">
        <color rgb="FF000000"/>
      </bottom>
    </border>
    <border>
      <left style="thin">
        <color rgb="FF999999"/>
      </left>
      <right style="thin">
        <color rgb="FF999999"/>
      </right>
      <top style="thin">
        <color rgb="FF999999"/>
      </top>
      <bottom style="thick">
        <color rgb="FF000000"/>
      </bottom>
    </border>
    <border>
      <right style="thin">
        <color rgb="FF999999"/>
      </right>
      <top style="thin">
        <color rgb="FF999999"/>
      </top>
      <bottom style="thick">
        <color rgb="FF000000"/>
      </bottom>
    </border>
    <border>
      <right style="thin">
        <color rgb="FF000000"/>
      </right>
      <top style="thin">
        <color rgb="FF000000"/>
      </top>
    </border>
    <border>
      <bottom style="thin">
        <color rgb="FF000000"/>
      </bottom>
    </border>
    <border>
      <right style="thin">
        <color rgb="FF000000"/>
      </right>
    </border>
  </borders>
  <cellStyleXfs count="1">
    <xf borderId="0" fillId="0" fontId="0" numFmtId="0" applyAlignment="1" applyFont="1"/>
  </cellStyleXfs>
  <cellXfs count="675">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2" fontId="1" numFmtId="49" xfId="0" applyAlignment="1" applyBorder="1" applyFont="1" applyNumberFormat="1">
      <alignment horizontal="center" readingOrder="0" shrinkToFit="0" vertical="center" wrapText="1"/>
    </xf>
    <xf borderId="1" fillId="3"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1" numFmtId="165" xfId="0" applyAlignment="1" applyBorder="1" applyFont="1" applyNumberFormat="1">
      <alignment horizontal="center" readingOrder="0" shrinkToFit="0" vertical="center" wrapText="1"/>
    </xf>
    <xf borderId="1" fillId="2" fontId="1" numFmtId="165" xfId="0" applyAlignment="1" applyBorder="1" applyFont="1" applyNumberFormat="1">
      <alignment horizontal="center" shrinkToFit="0" vertical="center" wrapText="1"/>
    </xf>
    <xf borderId="0" fillId="2" fontId="1" numFmtId="165" xfId="0" applyAlignment="1" applyFont="1" applyNumberFormat="1">
      <alignment horizontal="center" shrinkToFit="0" vertical="center" wrapText="1"/>
    </xf>
    <xf borderId="2" fillId="0" fontId="3" numFmtId="0" xfId="0" applyBorder="1" applyFont="1"/>
    <xf borderId="3" fillId="0" fontId="4" numFmtId="164" xfId="0" applyAlignment="1" applyBorder="1" applyFont="1" applyNumberFormat="1">
      <alignment horizontal="center" shrinkToFit="0" vertical="center" wrapText="1"/>
    </xf>
    <xf borderId="3" fillId="0" fontId="4" numFmtId="0" xfId="0" applyAlignment="1" applyBorder="1" applyFont="1">
      <alignment horizontal="center" readingOrder="0" shrinkToFit="0" vertical="center" wrapText="1"/>
    </xf>
    <xf borderId="3" fillId="0" fontId="4" numFmtId="0" xfId="0" applyAlignment="1" applyBorder="1" applyFont="1">
      <alignment horizontal="center" shrinkToFit="0" vertical="center" wrapText="1"/>
    </xf>
    <xf borderId="3" fillId="0" fontId="4" numFmtId="49" xfId="0" applyAlignment="1" applyBorder="1" applyFont="1" applyNumberFormat="1">
      <alignment horizontal="center" shrinkToFit="0" vertical="center" wrapText="1"/>
    </xf>
    <xf borderId="3" fillId="0" fontId="5" numFmtId="0" xfId="0" applyAlignment="1" applyBorder="1" applyFont="1">
      <alignment horizontal="center" shrinkToFit="0" vertical="center" wrapText="1"/>
    </xf>
    <xf borderId="3" fillId="0" fontId="6" numFmtId="164" xfId="0" applyAlignment="1" applyBorder="1" applyFont="1" applyNumberFormat="1">
      <alignment horizontal="center" shrinkToFit="0" vertical="center" wrapText="1"/>
    </xf>
    <xf borderId="3" fillId="0" fontId="4" numFmtId="165" xfId="0" applyAlignment="1" applyBorder="1" applyFont="1" applyNumberFormat="1">
      <alignment horizontal="center" shrinkToFit="0" vertical="center" wrapText="1"/>
    </xf>
    <xf borderId="0" fillId="0" fontId="4" numFmtId="3" xfId="0" applyAlignment="1" applyFont="1" applyNumberFormat="1">
      <alignment horizontal="center" shrinkToFit="0" vertical="center" wrapText="1"/>
    </xf>
    <xf borderId="3" fillId="4" fontId="6" numFmtId="0" xfId="0" applyAlignment="1" applyBorder="1" applyFill="1" applyFont="1">
      <alignment horizontal="left" shrinkToFit="0" vertical="center" wrapText="1"/>
    </xf>
    <xf borderId="3" fillId="5" fontId="4" numFmtId="49" xfId="0" applyAlignment="1" applyBorder="1" applyFill="1" applyFont="1" applyNumberFormat="1">
      <alignment horizontal="center" shrinkToFit="0" vertical="center" wrapText="1"/>
    </xf>
    <xf borderId="3" fillId="0" fontId="2" numFmtId="164" xfId="0" applyAlignment="1" applyBorder="1" applyFont="1" applyNumberFormat="1">
      <alignment horizontal="center" shrinkToFit="0" vertical="center" wrapText="1"/>
    </xf>
    <xf borderId="3" fillId="0" fontId="7" numFmtId="166" xfId="0" applyAlignment="1" applyBorder="1" applyFont="1" applyNumberFormat="1">
      <alignment horizontal="center" shrinkToFit="0" vertical="center" wrapText="1"/>
    </xf>
    <xf borderId="3" fillId="0" fontId="7" numFmtId="0" xfId="0" applyAlignment="1" applyBorder="1" applyFont="1">
      <alignment horizontal="center" readingOrder="0" shrinkToFit="0" vertical="center" wrapText="1"/>
    </xf>
    <xf borderId="3" fillId="0" fontId="7" numFmtId="165" xfId="0" applyAlignment="1" applyBorder="1" applyFont="1" applyNumberFormat="1">
      <alignment horizontal="center" shrinkToFit="0" vertical="center" wrapText="1"/>
    </xf>
    <xf borderId="3" fillId="0" fontId="7" numFmtId="164" xfId="0" applyAlignment="1" applyBorder="1" applyFont="1" applyNumberFormat="1">
      <alignment horizontal="center" shrinkToFit="0" vertical="center" wrapText="1"/>
    </xf>
    <xf borderId="3" fillId="0" fontId="7" numFmtId="0" xfId="0" applyAlignment="1" applyBorder="1" applyFont="1">
      <alignment horizontal="center" shrinkToFit="0" vertical="center" wrapText="1"/>
    </xf>
    <xf borderId="3" fillId="6" fontId="6" numFmtId="0" xfId="0" applyAlignment="1" applyBorder="1" applyFill="1" applyFont="1">
      <alignment horizontal="center" shrinkToFit="0" vertical="center" wrapText="1"/>
    </xf>
    <xf quotePrefix="1" borderId="3" fillId="0" fontId="7" numFmtId="49" xfId="0" applyAlignment="1" applyBorder="1" applyFont="1" applyNumberFormat="1">
      <alignment horizontal="center" shrinkToFit="0" vertical="center" wrapText="1"/>
    </xf>
    <xf borderId="3" fillId="0" fontId="7" numFmtId="167" xfId="0" applyAlignment="1" applyBorder="1" applyFont="1" applyNumberFormat="1">
      <alignment horizontal="center" shrinkToFit="0" vertical="center" wrapText="1"/>
    </xf>
    <xf borderId="3" fillId="0" fontId="7" numFmtId="49" xfId="0" applyAlignment="1" applyBorder="1" applyFont="1" applyNumberFormat="1">
      <alignment horizontal="center" readingOrder="0" shrinkToFit="0" vertical="center" wrapText="1"/>
    </xf>
    <xf borderId="3" fillId="0" fontId="7" numFmtId="168" xfId="0" applyAlignment="1" applyBorder="1" applyFont="1" applyNumberFormat="1">
      <alignment horizontal="center" shrinkToFit="0" vertical="center" wrapText="1"/>
    </xf>
    <xf borderId="3" fillId="4" fontId="7" numFmtId="0" xfId="0" applyAlignment="1" applyBorder="1" applyFont="1">
      <alignment horizontal="center" shrinkToFit="0" vertical="center" wrapText="1"/>
    </xf>
    <xf borderId="3" fillId="0" fontId="7" numFmtId="49" xfId="0" applyAlignment="1" applyBorder="1" applyFont="1" applyNumberFormat="1">
      <alignment horizontal="center" shrinkToFit="0" vertical="center" wrapText="1"/>
    </xf>
    <xf borderId="3" fillId="4" fontId="4" numFmtId="0" xfId="0" applyAlignment="1" applyBorder="1" applyFont="1">
      <alignment horizontal="center" readingOrder="0" shrinkToFit="0" vertical="center" wrapText="1"/>
    </xf>
    <xf borderId="3" fillId="4" fontId="6" numFmtId="164" xfId="0" applyAlignment="1" applyBorder="1" applyFont="1" applyNumberFormat="1">
      <alignment horizontal="center" shrinkToFit="0" vertical="center" wrapText="1"/>
    </xf>
    <xf borderId="3" fillId="4" fontId="4" numFmtId="0" xfId="0" applyAlignment="1" applyBorder="1" applyFont="1">
      <alignment horizontal="center" shrinkToFit="0" vertical="center" wrapText="1"/>
    </xf>
    <xf borderId="3" fillId="4" fontId="4" numFmtId="165" xfId="0" applyAlignment="1" applyBorder="1" applyFont="1" applyNumberFormat="1">
      <alignment horizontal="center" shrinkToFit="0" vertical="center" wrapText="1"/>
    </xf>
    <xf borderId="3" fillId="4" fontId="4" numFmtId="164" xfId="0" applyAlignment="1" applyBorder="1" applyFont="1" applyNumberFormat="1">
      <alignment horizontal="center" shrinkToFit="0" vertical="center" wrapText="1"/>
    </xf>
    <xf borderId="3" fillId="4" fontId="6" numFmtId="49" xfId="0" applyAlignment="1" applyBorder="1" applyFont="1" applyNumberFormat="1">
      <alignment horizontal="center" shrinkToFit="0" vertical="center" wrapText="1"/>
    </xf>
    <xf borderId="3" fillId="0" fontId="6" numFmtId="168" xfId="0" applyAlignment="1" applyBorder="1" applyFont="1" applyNumberFormat="1">
      <alignment horizontal="center" shrinkToFit="0" vertical="center" wrapText="1"/>
    </xf>
    <xf quotePrefix="1" borderId="3" fillId="0" fontId="4" numFmtId="49" xfId="0" applyAlignment="1" applyBorder="1" applyFont="1" applyNumberFormat="1">
      <alignment horizontal="center" shrinkToFit="0" vertical="center" wrapText="1"/>
    </xf>
    <xf borderId="3" fillId="0" fontId="1" numFmtId="0" xfId="0" applyAlignment="1" applyBorder="1" applyFont="1">
      <alignment horizontal="center" shrinkToFit="0" vertical="center" wrapText="1"/>
    </xf>
    <xf borderId="3" fillId="7" fontId="4" numFmtId="0" xfId="0" applyAlignment="1" applyBorder="1" applyFill="1" applyFont="1">
      <alignment horizontal="center" shrinkToFit="0" vertical="center" wrapText="1"/>
    </xf>
    <xf borderId="3" fillId="7" fontId="4" numFmtId="165" xfId="0" applyAlignment="1" applyBorder="1" applyFont="1" applyNumberFormat="1">
      <alignment horizontal="center" shrinkToFit="0" vertical="center" wrapText="1"/>
    </xf>
    <xf borderId="3" fillId="7" fontId="4" numFmtId="0" xfId="0" applyAlignment="1" applyBorder="1" applyFont="1">
      <alignment horizontal="center" readingOrder="0" shrinkToFit="0" vertical="center" wrapText="1"/>
    </xf>
    <xf borderId="3" fillId="7" fontId="4" numFmtId="49" xfId="0" applyAlignment="1" applyBorder="1" applyFont="1" applyNumberFormat="1">
      <alignment horizontal="center" shrinkToFit="0" vertical="center" wrapText="1"/>
    </xf>
    <xf borderId="3" fillId="7" fontId="6" numFmtId="164" xfId="0" applyAlignment="1" applyBorder="1" applyFont="1" applyNumberFormat="1">
      <alignment horizontal="center" shrinkToFit="0" vertical="center" wrapText="1"/>
    </xf>
    <xf borderId="1" fillId="0" fontId="4" numFmtId="164" xfId="0" applyAlignment="1" applyBorder="1" applyFont="1" applyNumberFormat="1">
      <alignment horizontal="center" shrinkToFit="0" vertical="center" wrapText="1"/>
    </xf>
    <xf borderId="1" fillId="0" fontId="4" numFmtId="0" xfId="0" applyAlignment="1" applyBorder="1" applyFont="1">
      <alignment horizontal="center" readingOrder="0" shrinkToFit="0" vertical="center" wrapText="1"/>
    </xf>
    <xf borderId="1" fillId="8" fontId="6" numFmtId="49" xfId="0" applyAlignment="1" applyBorder="1" applyFill="1" applyFont="1" applyNumberFormat="1">
      <alignment horizontal="center" shrinkToFit="0" vertical="center" wrapText="1"/>
    </xf>
    <xf borderId="1" fillId="0" fontId="8"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3" fillId="4" fontId="6" numFmtId="0" xfId="0" applyAlignment="1" applyBorder="1" applyFont="1">
      <alignment horizontal="center" readingOrder="0" shrinkToFit="0" vertical="center" wrapText="1"/>
    </xf>
    <xf borderId="3" fillId="0" fontId="4" numFmtId="49" xfId="0" applyAlignment="1" applyBorder="1" applyFont="1" applyNumberFormat="1">
      <alignment horizontal="center" readingOrder="0" shrinkToFit="0" vertical="center" wrapText="1"/>
    </xf>
    <xf borderId="3" fillId="8" fontId="6" numFmtId="49" xfId="0" applyAlignment="1" applyBorder="1" applyFont="1" applyNumberFormat="1">
      <alignment horizontal="center" shrinkToFit="0" vertical="center" wrapText="1"/>
    </xf>
    <xf borderId="3" fillId="0" fontId="9" numFmtId="0" xfId="0" applyAlignment="1" applyBorder="1" applyFont="1">
      <alignment horizontal="center" shrinkToFit="0" vertical="center" wrapText="1"/>
    </xf>
    <xf borderId="3" fillId="0" fontId="4" numFmtId="166" xfId="0" applyAlignment="1" applyBorder="1" applyFont="1" applyNumberFormat="1">
      <alignment horizontal="center" shrinkToFit="0" vertical="center" wrapText="1"/>
    </xf>
    <xf borderId="3" fillId="8" fontId="10" numFmtId="49" xfId="0" applyAlignment="1" applyBorder="1" applyFont="1" applyNumberFormat="1">
      <alignment horizontal="center" shrinkToFit="0" vertical="center" wrapText="1"/>
    </xf>
    <xf borderId="3" fillId="0" fontId="6"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9" fontId="7" numFmtId="165" xfId="0" applyAlignment="1" applyBorder="1" applyFill="1" applyFont="1" applyNumberFormat="1">
      <alignment horizontal="center" shrinkToFit="0" vertical="center" wrapText="1"/>
    </xf>
    <xf borderId="1" fillId="0" fontId="7" numFmtId="0" xfId="0" applyAlignment="1" applyBorder="1" applyFont="1">
      <alignment horizontal="center" shrinkToFit="0" vertical="center" wrapText="1"/>
    </xf>
    <xf borderId="1" fillId="0" fontId="7" numFmtId="49" xfId="0" applyAlignment="1" applyBorder="1" applyFont="1" applyNumberFormat="1">
      <alignment horizontal="center" shrinkToFit="0" vertical="center" wrapText="1"/>
    </xf>
    <xf borderId="1" fillId="0" fontId="7" numFmtId="164" xfId="0" applyAlignment="1" applyBorder="1" applyFont="1" applyNumberFormat="1">
      <alignment horizontal="center" shrinkToFit="0" vertical="center" wrapText="1"/>
    </xf>
    <xf borderId="3" fillId="0" fontId="4" numFmtId="166" xfId="0" applyAlignment="1" applyBorder="1" applyFont="1" applyNumberFormat="1">
      <alignment horizontal="center" readingOrder="0" shrinkToFit="0" vertical="center" wrapText="1"/>
    </xf>
    <xf borderId="3" fillId="0" fontId="11" numFmtId="3" xfId="0" applyAlignment="1" applyBorder="1" applyFont="1" applyNumberFormat="1">
      <alignment horizontal="center" vertical="center"/>
    </xf>
    <xf borderId="3" fillId="0" fontId="4" numFmtId="165" xfId="0" applyAlignment="1" applyBorder="1" applyFont="1" applyNumberFormat="1">
      <alignment horizontal="center" readingOrder="0" shrinkToFit="0" vertical="center" wrapText="1"/>
    </xf>
    <xf borderId="3" fillId="0" fontId="7" numFmtId="169" xfId="0" applyAlignment="1" applyBorder="1" applyFont="1" applyNumberFormat="1">
      <alignment horizontal="center" shrinkToFit="0" vertical="center" wrapText="1"/>
    </xf>
    <xf borderId="3" fillId="9" fontId="4" numFmtId="49" xfId="0" applyAlignment="1" applyBorder="1" applyFont="1" applyNumberFormat="1">
      <alignment horizontal="center" shrinkToFit="0" vertical="center" wrapText="1"/>
    </xf>
    <xf borderId="3" fillId="8" fontId="7" numFmtId="49" xfId="0" applyAlignment="1" applyBorder="1" applyFont="1" applyNumberFormat="1">
      <alignment horizontal="center" shrinkToFit="0" vertical="center" wrapText="1"/>
    </xf>
    <xf borderId="3" fillId="10" fontId="9" numFmtId="0" xfId="0" applyAlignment="1" applyBorder="1" applyFill="1" applyFont="1">
      <alignment horizontal="center" readingOrder="0" shrinkToFit="0" vertical="center" wrapText="1"/>
    </xf>
    <xf borderId="3" fillId="11" fontId="1" numFmtId="0" xfId="0" applyAlignment="1" applyBorder="1" applyFill="1" applyFont="1">
      <alignment horizontal="center" readingOrder="0" shrinkToFit="0" vertical="center" wrapText="1"/>
    </xf>
    <xf borderId="3" fillId="12" fontId="1" numFmtId="0" xfId="0" applyAlignment="1" applyBorder="1" applyFill="1" applyFont="1">
      <alignment horizontal="center" readingOrder="0" shrinkToFit="0" vertical="center" wrapText="1"/>
    </xf>
    <xf borderId="3" fillId="11" fontId="4" numFmtId="0" xfId="0" applyAlignment="1" applyBorder="1" applyFont="1">
      <alignment horizontal="center" readingOrder="0" shrinkToFit="0" vertical="center" wrapText="1"/>
    </xf>
    <xf borderId="3" fillId="0" fontId="9" numFmtId="0" xfId="0" applyAlignment="1" applyBorder="1" applyFont="1">
      <alignment horizontal="center" readingOrder="0" shrinkToFit="0" vertical="center" wrapText="1"/>
    </xf>
    <xf borderId="3" fillId="4" fontId="7" numFmtId="170" xfId="0" applyAlignment="1" applyBorder="1" applyFont="1" applyNumberFormat="1">
      <alignment horizontal="center" shrinkToFit="0" vertical="center" wrapText="1"/>
    </xf>
    <xf borderId="3" fillId="4" fontId="7" numFmtId="0" xfId="0" applyAlignment="1" applyBorder="1" applyFont="1">
      <alignment horizontal="center" readingOrder="0" shrinkToFit="0" vertical="center" wrapText="1"/>
    </xf>
    <xf borderId="3" fillId="4" fontId="7" numFmtId="165" xfId="0" applyAlignment="1" applyBorder="1" applyFont="1" applyNumberFormat="1">
      <alignment horizontal="center" shrinkToFit="0" vertical="center" wrapText="1"/>
    </xf>
    <xf borderId="3" fillId="4" fontId="7" numFmtId="164" xfId="0" applyAlignment="1" applyBorder="1" applyFont="1" applyNumberFormat="1">
      <alignment horizontal="center" shrinkToFit="0" vertical="center" wrapText="1"/>
    </xf>
    <xf borderId="3" fillId="4" fontId="7" numFmtId="49" xfId="0" applyAlignment="1" applyBorder="1" applyFont="1" applyNumberFormat="1">
      <alignment horizontal="center" shrinkToFit="0" vertical="center" wrapText="1"/>
    </xf>
    <xf borderId="3" fillId="13" fontId="6" numFmtId="0" xfId="0" applyAlignment="1" applyBorder="1" applyFill="1" applyFont="1">
      <alignment horizontal="center" shrinkToFit="0" vertical="center" wrapText="1"/>
    </xf>
    <xf borderId="3" fillId="13" fontId="6" numFmtId="49" xfId="0" applyAlignment="1" applyBorder="1" applyFont="1" applyNumberFormat="1">
      <alignment horizontal="center" shrinkToFit="0" vertical="center" wrapText="1"/>
    </xf>
    <xf borderId="3" fillId="13" fontId="4" numFmtId="0" xfId="0" applyAlignment="1" applyBorder="1" applyFont="1">
      <alignment horizontal="center" readingOrder="0" shrinkToFit="0" vertical="center" wrapText="1"/>
    </xf>
    <xf borderId="3" fillId="13" fontId="7" numFmtId="0" xfId="0" applyAlignment="1" applyBorder="1" applyFont="1">
      <alignment horizontal="center" readingOrder="0" shrinkToFit="0" vertical="center" wrapText="1"/>
    </xf>
    <xf borderId="3" fillId="13" fontId="7" numFmtId="0" xfId="0" applyAlignment="1" applyBorder="1" applyFont="1">
      <alignment horizontal="center" shrinkToFit="0" vertical="center" wrapText="1"/>
    </xf>
    <xf borderId="3" fillId="13" fontId="7" numFmtId="49" xfId="0" applyAlignment="1" applyBorder="1" applyFont="1" applyNumberFormat="1">
      <alignment horizontal="center" shrinkToFit="0" vertical="center" wrapText="1"/>
    </xf>
    <xf borderId="3" fillId="13" fontId="4" numFmtId="49" xfId="0" applyAlignment="1" applyBorder="1" applyFont="1" applyNumberFormat="1">
      <alignment horizontal="center" shrinkToFit="0" vertical="center" wrapText="1"/>
    </xf>
    <xf borderId="3" fillId="0" fontId="4" numFmtId="171" xfId="0" applyAlignment="1" applyBorder="1" applyFont="1" applyNumberFormat="1">
      <alignment horizontal="center" shrinkToFit="0" vertical="center" wrapText="1"/>
    </xf>
    <xf borderId="3" fillId="0" fontId="12" numFmtId="49" xfId="0" applyAlignment="1" applyBorder="1" applyFont="1" applyNumberFormat="1">
      <alignment horizontal="center" shrinkToFit="0" vertical="center" wrapText="1"/>
    </xf>
    <xf borderId="3" fillId="13" fontId="4" numFmtId="0" xfId="0" applyAlignment="1" applyBorder="1" applyFont="1">
      <alignment horizontal="center" shrinkToFit="0" vertical="center" wrapText="1"/>
    </xf>
    <xf borderId="3" fillId="14" fontId="4" numFmtId="164" xfId="0" applyAlignment="1" applyBorder="1" applyFill="1" applyFont="1" applyNumberFormat="1">
      <alignment horizontal="center" shrinkToFit="0" vertical="center" wrapText="1"/>
    </xf>
    <xf borderId="3" fillId="14" fontId="4" numFmtId="0" xfId="0" applyAlignment="1" applyBorder="1" applyFont="1">
      <alignment horizontal="center" shrinkToFit="0" vertical="center" wrapText="1"/>
    </xf>
    <xf borderId="3" fillId="14" fontId="4" numFmtId="165" xfId="0" applyAlignment="1" applyBorder="1" applyFont="1" applyNumberFormat="1">
      <alignment horizontal="center" shrinkToFit="0" vertical="center" wrapText="1"/>
    </xf>
    <xf borderId="3" fillId="14" fontId="4" numFmtId="0" xfId="0" applyAlignment="1" applyBorder="1" applyFont="1">
      <alignment horizontal="center" readingOrder="0" shrinkToFit="0" vertical="center" wrapText="1"/>
    </xf>
    <xf borderId="3" fillId="14" fontId="10" numFmtId="49" xfId="0" applyAlignment="1" applyBorder="1" applyFont="1" applyNumberFormat="1">
      <alignment horizontal="center" shrinkToFit="0" vertical="center" wrapText="1"/>
    </xf>
    <xf borderId="3" fillId="14" fontId="6" numFmtId="164" xfId="0" applyAlignment="1" applyBorder="1" applyFont="1" applyNumberFormat="1">
      <alignment horizontal="center" shrinkToFit="0" vertical="center" wrapText="1"/>
    </xf>
    <xf borderId="3" fillId="0" fontId="6" numFmtId="49" xfId="0" applyAlignment="1" applyBorder="1" applyFont="1" applyNumberFormat="1">
      <alignment horizontal="center" shrinkToFit="0" vertical="center" wrapText="1"/>
    </xf>
    <xf borderId="3" fillId="0" fontId="6" numFmtId="0" xfId="0" applyAlignment="1" applyBorder="1" applyFont="1">
      <alignment horizontal="center" readingOrder="0" shrinkToFit="0" vertical="center" wrapText="1"/>
    </xf>
    <xf borderId="3" fillId="4" fontId="10" numFmtId="49" xfId="0" applyAlignment="1" applyBorder="1" applyFont="1" applyNumberFormat="1">
      <alignment horizontal="center" shrinkToFit="0" vertical="center" wrapText="1"/>
    </xf>
    <xf borderId="3" fillId="4" fontId="6" numFmtId="49" xfId="0" applyAlignment="1" applyBorder="1" applyFont="1" applyNumberFormat="1">
      <alignment horizontal="center" readingOrder="0" shrinkToFit="0" vertical="center" wrapText="1"/>
    </xf>
    <xf borderId="3" fillId="11" fontId="4" numFmtId="166" xfId="0" applyAlignment="1" applyBorder="1" applyFont="1" applyNumberFormat="1">
      <alignment horizontal="center" shrinkToFit="0" vertical="center" wrapText="1"/>
    </xf>
    <xf borderId="3" fillId="11" fontId="4" numFmtId="165" xfId="0" applyAlignment="1" applyBorder="1" applyFont="1" applyNumberFormat="1">
      <alignment horizontal="center" shrinkToFit="0" vertical="center" wrapText="1"/>
    </xf>
    <xf borderId="3" fillId="11" fontId="4" numFmtId="164" xfId="0" applyAlignment="1" applyBorder="1" applyFont="1" applyNumberFormat="1">
      <alignment horizontal="center" shrinkToFit="0" vertical="center" wrapText="1"/>
    </xf>
    <xf borderId="3" fillId="11" fontId="4" numFmtId="0" xfId="0" applyAlignment="1" applyBorder="1" applyFont="1">
      <alignment horizontal="center" shrinkToFit="0" vertical="center" wrapText="1"/>
    </xf>
    <xf borderId="3" fillId="11" fontId="4" numFmtId="49" xfId="0" applyAlignment="1" applyBorder="1" applyFont="1" applyNumberFormat="1">
      <alignment horizontal="center" readingOrder="0" shrinkToFit="0" vertical="center" wrapText="1"/>
    </xf>
    <xf borderId="3" fillId="11" fontId="6" numFmtId="164" xfId="0" applyAlignment="1" applyBorder="1" applyFont="1" applyNumberFormat="1">
      <alignment horizontal="center" shrinkToFit="0" vertical="center" wrapText="1"/>
    </xf>
    <xf borderId="3" fillId="0" fontId="7" numFmtId="171" xfId="0" applyAlignment="1" applyBorder="1" applyFont="1" applyNumberFormat="1">
      <alignment horizontal="center" shrinkToFit="0" vertical="center" wrapText="1"/>
    </xf>
    <xf borderId="3" fillId="15" fontId="7" numFmtId="0" xfId="0" applyAlignment="1" applyBorder="1" applyFill="1" applyFont="1">
      <alignment horizontal="center" shrinkToFit="0" vertical="center" wrapText="1"/>
    </xf>
    <xf borderId="3" fillId="0" fontId="10" numFmtId="49" xfId="0" applyAlignment="1" applyBorder="1" applyFont="1" applyNumberFormat="1">
      <alignment horizontal="center" shrinkToFit="0" vertical="center" wrapText="1"/>
    </xf>
    <xf borderId="3" fillId="16" fontId="4" numFmtId="0" xfId="0" applyAlignment="1" applyBorder="1" applyFill="1" applyFont="1">
      <alignment horizontal="center" shrinkToFit="0" vertical="center" wrapText="1"/>
    </xf>
    <xf borderId="3" fillId="9" fontId="4" numFmtId="0" xfId="0" applyAlignment="1" applyBorder="1" applyFont="1">
      <alignment horizontal="center" readingOrder="0" shrinkToFit="0" vertical="center" wrapText="1"/>
    </xf>
    <xf borderId="3" fillId="15" fontId="4" numFmtId="164" xfId="0" applyAlignment="1" applyBorder="1" applyFont="1" applyNumberFormat="1">
      <alignment horizontal="center" shrinkToFit="0" vertical="center" wrapText="1"/>
    </xf>
    <xf borderId="3" fillId="15" fontId="4" numFmtId="0" xfId="0" applyAlignment="1" applyBorder="1" applyFont="1">
      <alignment horizontal="center" shrinkToFit="0" vertical="center" wrapText="1"/>
    </xf>
    <xf borderId="3" fillId="15" fontId="4" numFmtId="49" xfId="0" applyAlignment="1" applyBorder="1" applyFont="1" applyNumberFormat="1">
      <alignment horizontal="center" shrinkToFit="0" vertical="center" wrapText="1"/>
    </xf>
    <xf borderId="3" fillId="15" fontId="4" numFmtId="0" xfId="0" applyAlignment="1" applyBorder="1" applyFont="1">
      <alignment horizontal="center" readingOrder="0" shrinkToFit="0" vertical="center" wrapText="1"/>
    </xf>
    <xf borderId="3" fillId="15" fontId="4" numFmtId="49" xfId="0" applyAlignment="1" applyBorder="1" applyFont="1" applyNumberFormat="1">
      <alignment horizontal="center" readingOrder="0" shrinkToFit="0" vertical="center" wrapText="1"/>
    </xf>
    <xf borderId="3" fillId="17" fontId="4" numFmtId="0" xfId="0" applyAlignment="1" applyBorder="1" applyFill="1" applyFont="1">
      <alignment horizontal="center" readingOrder="0" shrinkToFit="0" vertical="center" wrapText="1"/>
    </xf>
    <xf borderId="3" fillId="18" fontId="4" numFmtId="0" xfId="0" applyAlignment="1" applyBorder="1" applyFill="1" applyFont="1">
      <alignment horizontal="center" shrinkToFit="0" vertical="center" wrapText="1"/>
    </xf>
    <xf borderId="1" fillId="0" fontId="4" numFmtId="49" xfId="0" applyAlignment="1" applyBorder="1" applyFont="1" applyNumberFormat="1">
      <alignment horizontal="center" shrinkToFit="0" vertical="center" wrapText="1"/>
    </xf>
    <xf borderId="1" fillId="4" fontId="7" numFmtId="49" xfId="0" applyAlignment="1" applyBorder="1" applyFont="1" applyNumberFormat="1">
      <alignment horizontal="center" shrinkToFit="0" vertical="center" wrapText="1"/>
    </xf>
    <xf borderId="0" fillId="0" fontId="7" numFmtId="3" xfId="0" applyAlignment="1" applyFont="1" applyNumberFormat="1">
      <alignment horizontal="center" shrinkToFit="0" vertical="center" wrapText="1"/>
    </xf>
    <xf borderId="1" fillId="0" fontId="7" numFmtId="0" xfId="0" applyAlignment="1" applyBorder="1" applyFont="1">
      <alignment horizontal="center" readingOrder="0" shrinkToFit="0" vertical="center" wrapText="1"/>
    </xf>
    <xf borderId="3" fillId="19" fontId="7" numFmtId="0" xfId="0" applyAlignment="1" applyBorder="1" applyFill="1" applyFont="1">
      <alignment horizontal="center" readingOrder="0" shrinkToFit="0" vertical="center" wrapText="1"/>
    </xf>
    <xf borderId="3" fillId="4" fontId="7" numFmtId="166" xfId="0" applyAlignment="1" applyBorder="1" applyFont="1" applyNumberFormat="1">
      <alignment horizontal="center" shrinkToFit="0" vertical="center" wrapText="1"/>
    </xf>
    <xf borderId="3" fillId="6" fontId="7" numFmtId="0" xfId="0" applyAlignment="1" applyBorder="1" applyFont="1">
      <alignment horizontal="center" readingOrder="0" shrinkToFit="0" vertical="center" wrapText="1"/>
    </xf>
    <xf borderId="3" fillId="0" fontId="4" numFmtId="0" xfId="0" applyAlignment="1" applyBorder="1" applyFont="1">
      <alignment horizontal="left" shrinkToFit="0" vertical="center" wrapText="1"/>
    </xf>
    <xf borderId="3" fillId="0" fontId="4" numFmtId="0" xfId="0" applyAlignment="1" applyBorder="1" applyFont="1">
      <alignment horizontal="left" readingOrder="0" shrinkToFit="0" vertical="center" wrapText="1"/>
    </xf>
    <xf borderId="3" fillId="6" fontId="13" numFmtId="0" xfId="0" applyAlignment="1" applyBorder="1" applyFont="1">
      <alignment horizontal="center" shrinkToFit="0" vertical="center" wrapText="1"/>
    </xf>
    <xf borderId="3" fillId="18" fontId="7" numFmtId="0" xfId="0" applyAlignment="1" applyBorder="1" applyFont="1">
      <alignment horizontal="center" shrinkToFit="0" vertical="center" wrapText="1"/>
    </xf>
    <xf quotePrefix="1" borderId="3" fillId="0" fontId="4" numFmtId="0" xfId="0" applyAlignment="1" applyBorder="1" applyFont="1">
      <alignment horizontal="center" shrinkToFit="0" vertical="center" wrapText="1"/>
    </xf>
    <xf borderId="3" fillId="18" fontId="4" numFmtId="0" xfId="0" applyAlignment="1" applyBorder="1" applyFont="1">
      <alignment horizontal="center" readingOrder="0" shrinkToFit="0" vertical="center" wrapText="1"/>
    </xf>
    <xf borderId="3" fillId="15" fontId="4" numFmtId="165" xfId="0" applyAlignment="1" applyBorder="1" applyFont="1" applyNumberFormat="1">
      <alignment horizontal="center" shrinkToFit="0" vertical="center" wrapText="1"/>
    </xf>
    <xf borderId="3" fillId="15" fontId="6" numFmtId="164" xfId="0" applyAlignment="1" applyBorder="1" applyFont="1" applyNumberFormat="1">
      <alignment horizontal="center" shrinkToFit="0" vertical="center" wrapText="1"/>
    </xf>
    <xf borderId="3" fillId="0" fontId="4" numFmtId="0" xfId="0" applyAlignment="1" applyBorder="1" applyFont="1">
      <alignment shrinkToFit="0" vertical="center" wrapText="1"/>
    </xf>
    <xf borderId="3" fillId="18" fontId="4" numFmtId="49" xfId="0" applyAlignment="1" applyBorder="1" applyFont="1" applyNumberFormat="1">
      <alignment horizontal="center" shrinkToFit="0" vertical="center" wrapText="1"/>
    </xf>
    <xf borderId="3" fillId="9" fontId="13" numFmtId="0" xfId="0" applyAlignment="1" applyBorder="1" applyFont="1">
      <alignment horizontal="center" shrinkToFit="0" vertical="center" wrapText="1"/>
    </xf>
    <xf borderId="3" fillId="9" fontId="4" numFmtId="0" xfId="0" applyAlignment="1" applyBorder="1" applyFont="1">
      <alignment horizontal="center" shrinkToFit="0" vertical="center" wrapText="1"/>
    </xf>
    <xf borderId="3" fillId="8" fontId="10" numFmtId="49" xfId="0" applyAlignment="1" applyBorder="1" applyFont="1" applyNumberFormat="1">
      <alignment horizontal="center" readingOrder="0" shrinkToFit="0" vertical="center" wrapText="1"/>
    </xf>
    <xf borderId="3" fillId="4" fontId="14" numFmtId="0" xfId="0" applyAlignment="1" applyBorder="1" applyFont="1">
      <alignment horizontal="center" shrinkToFit="0" vertical="center" wrapText="1"/>
    </xf>
    <xf borderId="3" fillId="0" fontId="4" numFmtId="168" xfId="0" applyAlignment="1" applyBorder="1" applyFont="1" applyNumberFormat="1">
      <alignment horizontal="center" shrinkToFit="0" vertical="center" wrapText="1"/>
    </xf>
    <xf borderId="3" fillId="6" fontId="15" numFmtId="0" xfId="0" applyAlignment="1" applyBorder="1" applyFont="1">
      <alignment horizontal="center" shrinkToFit="0" vertical="center" wrapText="1"/>
    </xf>
    <xf borderId="3" fillId="18" fontId="7" numFmtId="0" xfId="0" applyAlignment="1" applyBorder="1" applyFont="1">
      <alignment horizontal="center" readingOrder="0" shrinkToFit="0" vertical="center" wrapText="1"/>
    </xf>
    <xf borderId="3" fillId="0" fontId="9" numFmtId="168" xfId="0" applyAlignment="1" applyBorder="1" applyFont="1" applyNumberFormat="1">
      <alignment horizontal="center" shrinkToFit="0" vertical="center" wrapText="1"/>
    </xf>
    <xf borderId="3" fillId="0" fontId="9" numFmtId="165" xfId="0" applyAlignment="1" applyBorder="1" applyFont="1" applyNumberFormat="1">
      <alignment horizontal="center" shrinkToFit="0" vertical="center" wrapText="1"/>
    </xf>
    <xf borderId="3" fillId="0" fontId="9" numFmtId="164" xfId="0" applyAlignment="1" applyBorder="1" applyFont="1" applyNumberFormat="1">
      <alignment horizontal="center" shrinkToFit="0" vertical="center" wrapText="1"/>
    </xf>
    <xf borderId="3" fillId="0" fontId="9" numFmtId="49" xfId="0" applyAlignment="1" applyBorder="1" applyFont="1" applyNumberFormat="1">
      <alignment horizontal="center" shrinkToFit="0" vertical="center" wrapText="1"/>
    </xf>
    <xf borderId="3" fillId="4" fontId="14" numFmtId="49" xfId="0" applyAlignment="1" applyBorder="1" applyFont="1" applyNumberFormat="1">
      <alignment horizontal="center" shrinkToFit="0" vertical="center" wrapText="1"/>
    </xf>
    <xf borderId="3" fillId="0" fontId="4" numFmtId="172" xfId="0" applyAlignment="1" applyBorder="1" applyFont="1" applyNumberFormat="1">
      <alignment horizontal="center" shrinkToFit="0" vertical="center" wrapText="1"/>
    </xf>
    <xf borderId="3" fillId="4" fontId="16" numFmtId="0" xfId="0" applyAlignment="1" applyBorder="1" applyFont="1">
      <alignment horizontal="center" shrinkToFit="0" vertical="center" wrapText="1"/>
    </xf>
    <xf borderId="0" fillId="8" fontId="17" numFmtId="49" xfId="0" applyAlignment="1" applyFont="1" applyNumberFormat="1">
      <alignment shrinkToFit="0" vertical="center" wrapText="1"/>
    </xf>
    <xf borderId="3" fillId="15" fontId="7" numFmtId="0" xfId="0" applyAlignment="1" applyBorder="1" applyFont="1">
      <alignment horizontal="center" readingOrder="0" shrinkToFit="0" vertical="center" wrapText="1"/>
    </xf>
    <xf borderId="3" fillId="20" fontId="6" numFmtId="49" xfId="0" applyAlignment="1" applyBorder="1" applyFill="1" applyFont="1" applyNumberFormat="1">
      <alignment horizontal="center" shrinkToFit="0" vertical="center" wrapText="1"/>
    </xf>
    <xf borderId="3" fillId="21" fontId="14" numFmtId="49" xfId="0" applyAlignment="1" applyBorder="1" applyFill="1" applyFont="1" applyNumberFormat="1">
      <alignment horizontal="center" shrinkToFit="0" vertical="center" wrapText="1"/>
    </xf>
    <xf borderId="0" fillId="4" fontId="18" numFmtId="0" xfId="0" applyAlignment="1" applyFont="1">
      <alignment horizontal="center" readingOrder="0" vertical="center"/>
    </xf>
    <xf borderId="3" fillId="4" fontId="9" numFmtId="0" xfId="0" applyAlignment="1" applyBorder="1" applyFont="1">
      <alignment horizontal="center" shrinkToFit="0" vertical="center" wrapText="1"/>
    </xf>
    <xf borderId="3" fillId="4" fontId="9" numFmtId="0" xfId="0" applyAlignment="1" applyBorder="1" applyFont="1">
      <alignment horizontal="right" shrinkToFit="0" vertical="center" wrapText="1"/>
    </xf>
    <xf borderId="3" fillId="0" fontId="7" numFmtId="0" xfId="0" applyAlignment="1" applyBorder="1" applyFont="1">
      <alignment shrinkToFit="0" vertical="center" wrapText="1"/>
    </xf>
    <xf borderId="3" fillId="4" fontId="7" numFmtId="0" xfId="0" applyAlignment="1" applyBorder="1" applyFont="1">
      <alignment shrinkToFit="0" vertical="center" wrapText="1"/>
    </xf>
    <xf borderId="3" fillId="4" fontId="1" numFmtId="0" xfId="0" applyAlignment="1" applyBorder="1" applyFont="1">
      <alignment horizontal="right" shrinkToFit="0" vertical="center" wrapText="1"/>
    </xf>
    <xf borderId="3" fillId="4" fontId="1" numFmtId="0" xfId="0" applyAlignment="1" applyBorder="1" applyFont="1">
      <alignment horizontal="center" shrinkToFit="0" vertical="center" wrapText="1"/>
    </xf>
    <xf borderId="3" fillId="4" fontId="4" numFmtId="0" xfId="0" applyAlignment="1" applyBorder="1" applyFont="1">
      <alignment shrinkToFit="0" vertical="center" wrapText="1"/>
    </xf>
    <xf borderId="3" fillId="22" fontId="7" numFmtId="0" xfId="0" applyAlignment="1" applyBorder="1" applyFill="1" applyFont="1">
      <alignment horizontal="center" readingOrder="0" shrinkToFit="0" vertical="center" wrapText="1"/>
    </xf>
    <xf borderId="3" fillId="22" fontId="7" numFmtId="0" xfId="0" applyAlignment="1" applyBorder="1" applyFont="1">
      <alignment horizontal="center" shrinkToFit="0" vertical="center" wrapText="1"/>
    </xf>
    <xf borderId="3" fillId="23" fontId="7" numFmtId="0" xfId="0" applyAlignment="1" applyBorder="1" applyFill="1" applyFont="1">
      <alignment horizontal="center" shrinkToFit="0" vertical="center" wrapText="1"/>
    </xf>
    <xf borderId="3" fillId="22" fontId="4" numFmtId="0" xfId="0" applyAlignment="1" applyBorder="1" applyFont="1">
      <alignment horizontal="center" shrinkToFit="0" vertical="center" wrapText="1"/>
    </xf>
    <xf borderId="3" fillId="24" fontId="7" numFmtId="0" xfId="0" applyAlignment="1" applyBorder="1" applyFill="1" applyFont="1">
      <alignment horizontal="center" shrinkToFit="0" vertical="center" wrapText="1"/>
    </xf>
    <xf borderId="3" fillId="14" fontId="15" numFmtId="0" xfId="0" applyAlignment="1" applyBorder="1" applyFont="1">
      <alignment horizontal="center" shrinkToFit="0" vertical="center" wrapText="1"/>
    </xf>
    <xf borderId="3" fillId="5" fontId="7" numFmtId="0" xfId="0" applyAlignment="1" applyBorder="1" applyFont="1">
      <alignment horizontal="center" readingOrder="0" shrinkToFit="0" vertical="center" wrapText="1"/>
    </xf>
    <xf borderId="3" fillId="15" fontId="7" numFmtId="168" xfId="0" applyAlignment="1" applyBorder="1" applyFont="1" applyNumberFormat="1">
      <alignment horizontal="center" shrinkToFit="0" vertical="center" wrapText="1"/>
    </xf>
    <xf borderId="3" fillId="15" fontId="7" numFmtId="165" xfId="0" applyAlignment="1" applyBorder="1" applyFont="1" applyNumberFormat="1">
      <alignment horizontal="center" shrinkToFit="0" vertical="center" wrapText="1"/>
    </xf>
    <xf borderId="3" fillId="15" fontId="7" numFmtId="164" xfId="0" applyAlignment="1" applyBorder="1" applyFont="1" applyNumberFormat="1">
      <alignment horizontal="center" shrinkToFit="0" vertical="center" wrapText="1"/>
    </xf>
    <xf borderId="3" fillId="18" fontId="7" numFmtId="49" xfId="0" applyAlignment="1" applyBorder="1" applyFont="1" applyNumberFormat="1">
      <alignment horizontal="center" shrinkToFit="0" vertical="center" wrapText="1"/>
    </xf>
    <xf borderId="3" fillId="0" fontId="19" numFmtId="0" xfId="0" applyAlignment="1" applyBorder="1" applyFont="1">
      <alignment horizontal="center" shrinkToFit="0" vertical="center" wrapText="1"/>
    </xf>
    <xf borderId="3" fillId="4" fontId="16" numFmtId="49" xfId="0" applyAlignment="1" applyBorder="1" applyFont="1" applyNumberFormat="1">
      <alignment horizontal="center" shrinkToFit="0" vertical="center" wrapText="1"/>
    </xf>
    <xf borderId="0" fillId="4" fontId="20" numFmtId="0" xfId="0" applyAlignment="1" applyFont="1">
      <alignment horizontal="center" shrinkToFit="0" vertical="center" wrapText="1"/>
    </xf>
    <xf borderId="3" fillId="23" fontId="4" numFmtId="0" xfId="0" applyAlignment="1" applyBorder="1" applyFont="1">
      <alignment horizontal="center" shrinkToFit="0" vertical="center" wrapText="1"/>
    </xf>
    <xf borderId="0" fillId="4" fontId="6" numFmtId="49" xfId="0" applyAlignment="1" applyFont="1" applyNumberFormat="1">
      <alignment horizontal="center" shrinkToFit="0" vertical="center" wrapText="1"/>
    </xf>
    <xf borderId="0" fillId="0" fontId="21" numFmtId="0" xfId="0" applyAlignment="1" applyFont="1">
      <alignment horizontal="center" shrinkToFit="0" vertical="center" wrapText="1"/>
    </xf>
    <xf borderId="0" fillId="0" fontId="21" numFmtId="0" xfId="0" applyAlignment="1" applyFont="1">
      <alignment readingOrder="0" shrinkToFit="0" vertical="center" wrapText="1"/>
    </xf>
    <xf borderId="3" fillId="25" fontId="4" numFmtId="0" xfId="0" applyAlignment="1" applyBorder="1" applyFill="1" applyFont="1">
      <alignment horizontal="center" readingOrder="0" shrinkToFit="0" vertical="center" wrapText="1"/>
    </xf>
    <xf borderId="0" fillId="0" fontId="22" numFmtId="0" xfId="0" applyAlignment="1" applyFont="1">
      <alignment shrinkToFit="0" vertical="center" wrapText="1"/>
    </xf>
    <xf quotePrefix="1" borderId="3" fillId="0" fontId="7" numFmtId="0" xfId="0" applyAlignment="1" applyBorder="1" applyFont="1">
      <alignment horizontal="center" shrinkToFit="0" vertical="center" wrapText="1"/>
    </xf>
    <xf borderId="3" fillId="13" fontId="7" numFmtId="168" xfId="0" applyAlignment="1" applyBorder="1" applyFont="1" applyNumberFormat="1">
      <alignment horizontal="center" shrinkToFit="0" vertical="center" wrapText="1"/>
    </xf>
    <xf borderId="3" fillId="13" fontId="7" numFmtId="165" xfId="0" applyAlignment="1" applyBorder="1" applyFont="1" applyNumberFormat="1">
      <alignment horizontal="center" shrinkToFit="0" vertical="center" wrapText="1"/>
    </xf>
    <xf borderId="3" fillId="13" fontId="7" numFmtId="164" xfId="0" applyAlignment="1" applyBorder="1" applyFont="1" applyNumberFormat="1">
      <alignment horizontal="center" shrinkToFit="0" vertical="center" wrapText="1"/>
    </xf>
    <xf borderId="0" fillId="13" fontId="23" numFmtId="49" xfId="0" applyAlignment="1" applyFont="1" applyNumberFormat="1">
      <alignment shrinkToFit="0" vertical="center" wrapText="1"/>
    </xf>
    <xf quotePrefix="1" borderId="0" fillId="0" fontId="21" numFmtId="0" xfId="0" applyAlignment="1" applyFont="1">
      <alignment shrinkToFit="0" vertical="center" wrapText="1"/>
    </xf>
    <xf borderId="0" fillId="0" fontId="22" numFmtId="0" xfId="0" applyAlignment="1" applyFont="1">
      <alignment readingOrder="0" shrinkToFit="0" vertical="center" wrapText="1"/>
    </xf>
    <xf borderId="3" fillId="13" fontId="6" numFmtId="0" xfId="0" applyAlignment="1" applyBorder="1" applyFont="1">
      <alignment readingOrder="0" shrinkToFit="0" vertical="center" wrapText="1"/>
    </xf>
    <xf borderId="3" fillId="0" fontId="21" numFmtId="0" xfId="0" applyAlignment="1" applyBorder="1" applyFont="1">
      <alignment shrinkToFit="0" vertical="center" wrapText="1"/>
    </xf>
    <xf borderId="3" fillId="0" fontId="21" numFmtId="165" xfId="0" applyAlignment="1" applyBorder="1" applyFont="1" applyNumberFormat="1">
      <alignment shrinkToFit="0" vertical="center" wrapText="1"/>
    </xf>
    <xf borderId="3" fillId="0" fontId="21" numFmtId="0" xfId="0" applyAlignment="1" applyBorder="1" applyFont="1">
      <alignment horizontal="center" shrinkToFit="0" vertical="center" wrapText="1"/>
    </xf>
    <xf borderId="3" fillId="0" fontId="21" numFmtId="0" xfId="0" applyAlignment="1" applyBorder="1" applyFont="1">
      <alignment readingOrder="0" shrinkToFit="0" vertical="center" wrapText="1"/>
    </xf>
    <xf borderId="3" fillId="13" fontId="6" numFmtId="0" xfId="0" applyAlignment="1" applyBorder="1" applyFont="1">
      <alignment horizontal="center" readingOrder="0" shrinkToFit="0" vertical="center" wrapText="1"/>
    </xf>
    <xf borderId="0" fillId="4" fontId="6" numFmtId="0" xfId="0" applyAlignment="1" applyFont="1">
      <alignment horizontal="center" shrinkToFit="0" vertical="center" wrapText="1"/>
    </xf>
    <xf borderId="3" fillId="0" fontId="4" numFmtId="173" xfId="0" applyAlignment="1" applyBorder="1" applyFont="1" applyNumberFormat="1">
      <alignment horizontal="center" shrinkToFit="0" vertical="center" wrapText="1"/>
    </xf>
    <xf borderId="2" fillId="0" fontId="4"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3" fillId="0" fontId="4" numFmtId="0" xfId="0" applyAlignment="1" applyBorder="1" applyFont="1">
      <alignment horizontal="center" readingOrder="0" shrinkToFit="0" vertical="center" wrapText="1"/>
    </xf>
    <xf borderId="3" fillId="0" fontId="24" numFmtId="0" xfId="0" applyAlignment="1" applyBorder="1" applyFont="1">
      <alignment shrinkToFit="0" vertical="center" wrapText="1"/>
    </xf>
    <xf borderId="3" fillId="0" fontId="24" numFmtId="0" xfId="0" applyAlignment="1" applyBorder="1" applyFont="1">
      <alignment horizontal="center" shrinkToFit="0" vertical="center" wrapText="1"/>
    </xf>
    <xf borderId="3" fillId="0" fontId="25" numFmtId="0" xfId="0" applyAlignment="1" applyBorder="1" applyFont="1">
      <alignment horizontal="center" shrinkToFit="0" vertical="center" wrapText="1"/>
    </xf>
    <xf borderId="0" fillId="0" fontId="21" numFmtId="0" xfId="0" applyAlignment="1" applyFont="1">
      <alignment shrinkToFit="0" vertical="center" wrapText="1"/>
    </xf>
    <xf borderId="0" fillId="0" fontId="19" numFmtId="0" xfId="0" applyAlignment="1" applyFont="1">
      <alignment horizontal="center" shrinkToFit="0" vertical="center" wrapText="1"/>
    </xf>
    <xf borderId="3" fillId="0" fontId="19" numFmtId="0" xfId="0" applyAlignment="1" applyBorder="1" applyFont="1">
      <alignment horizontal="center" readingOrder="0" shrinkToFit="0" vertical="center" wrapText="1"/>
    </xf>
    <xf quotePrefix="1" borderId="0" fillId="0" fontId="19" numFmtId="0" xfId="0" applyAlignment="1" applyFont="1">
      <alignment horizontal="center" shrinkToFit="0" vertical="center" wrapText="1"/>
    </xf>
    <xf borderId="3" fillId="0" fontId="1" numFmtId="0" xfId="0" applyAlignment="1" applyBorder="1" applyFont="1">
      <alignment horizontal="center" readingOrder="0" shrinkToFit="0" vertical="center" wrapText="1"/>
    </xf>
    <xf borderId="3" fillId="0" fontId="26" numFmtId="0" xfId="0" applyAlignment="1" applyBorder="1" applyFont="1">
      <alignment horizontal="center" readingOrder="0" shrinkToFit="0" vertical="center" wrapText="1"/>
    </xf>
    <xf borderId="3" fillId="0" fontId="6" numFmtId="165" xfId="0" applyAlignment="1" applyBorder="1" applyFont="1" applyNumberFormat="1">
      <alignment horizontal="center" shrinkToFit="0" vertical="center" wrapText="1"/>
    </xf>
    <xf borderId="0" fillId="8" fontId="20" numFmtId="0" xfId="0" applyAlignment="1" applyFont="1">
      <alignment horizontal="center" shrinkToFit="0" vertical="center" wrapText="1"/>
    </xf>
    <xf borderId="0" fillId="8" fontId="20" numFmtId="0" xfId="0" applyAlignment="1" applyFont="1">
      <alignment shrinkToFit="0" vertical="center" wrapText="1"/>
    </xf>
    <xf borderId="0" fillId="8" fontId="20" numFmtId="49" xfId="0" applyAlignment="1" applyFont="1" applyNumberFormat="1">
      <alignment shrinkToFit="0" vertical="center" wrapText="1"/>
    </xf>
    <xf borderId="0" fillId="8" fontId="23" numFmtId="49" xfId="0" applyAlignment="1" applyFont="1" applyNumberFormat="1">
      <alignment shrinkToFit="0" vertical="center" wrapText="1"/>
    </xf>
    <xf borderId="3" fillId="4" fontId="7" numFmtId="168" xfId="0" applyAlignment="1" applyBorder="1" applyFont="1" applyNumberFormat="1">
      <alignment horizontal="center" shrinkToFit="0" vertical="center" wrapText="1"/>
    </xf>
    <xf borderId="0" fillId="4" fontId="7" numFmtId="3" xfId="0" applyAlignment="1" applyFont="1" applyNumberFormat="1">
      <alignment horizontal="center" shrinkToFit="0" vertical="center" wrapText="1"/>
    </xf>
    <xf borderId="0" fillId="0" fontId="4" numFmtId="165" xfId="0" applyAlignment="1" applyFont="1" applyNumberFormat="1">
      <alignment horizontal="center" shrinkToFit="0" vertical="center" wrapText="1"/>
    </xf>
    <xf borderId="0" fillId="8" fontId="17" numFmtId="0" xfId="0" applyAlignment="1" applyFont="1">
      <alignment horizontal="center" shrinkToFit="0" vertical="center" wrapText="1"/>
    </xf>
    <xf borderId="0" fillId="4" fontId="27" numFmtId="0" xfId="0" applyAlignment="1" applyFont="1">
      <alignment horizontal="center" shrinkToFit="0" vertical="center" wrapText="1"/>
    </xf>
    <xf borderId="4" fillId="8" fontId="19" numFmtId="49" xfId="0" applyAlignment="1" applyBorder="1" applyFont="1" applyNumberFormat="1">
      <alignment horizontal="center" shrinkToFit="0" vertical="center" wrapText="1"/>
    </xf>
    <xf borderId="0" fillId="0" fontId="4" numFmtId="49" xfId="0" applyAlignment="1" applyFont="1" applyNumberFormat="1">
      <alignment horizontal="center" shrinkToFit="0" vertical="center" wrapText="1"/>
    </xf>
    <xf borderId="3" fillId="0" fontId="4" numFmtId="0" xfId="0" applyAlignment="1" applyBorder="1" applyFont="1">
      <alignment horizontal="center" shrinkToFit="0" vertical="center" wrapText="0"/>
    </xf>
    <xf borderId="3" fillId="0" fontId="28" numFmtId="0" xfId="0" applyBorder="1" applyFont="1"/>
    <xf borderId="3" fillId="0" fontId="28" numFmtId="165" xfId="0" applyBorder="1" applyFont="1" applyNumberFormat="1"/>
    <xf borderId="3" fillId="0" fontId="28" numFmtId="0" xfId="0" applyAlignment="1" applyBorder="1" applyFont="1">
      <alignment horizontal="center" vertical="center"/>
    </xf>
    <xf borderId="3" fillId="0" fontId="28" numFmtId="0" xfId="0" applyAlignment="1" applyBorder="1" applyFont="1">
      <alignment horizontal="center"/>
    </xf>
    <xf borderId="3" fillId="0" fontId="4" numFmtId="49" xfId="0" applyAlignment="1" applyBorder="1" applyFont="1" applyNumberFormat="1">
      <alignment horizontal="center"/>
    </xf>
    <xf borderId="3" fillId="0" fontId="28" numFmtId="0" xfId="0" applyAlignment="1" applyBorder="1" applyFont="1">
      <alignment shrinkToFit="0" wrapText="0"/>
    </xf>
    <xf borderId="3" fillId="0" fontId="4" numFmtId="0" xfId="0" applyBorder="1" applyFont="1"/>
    <xf borderId="3" fillId="0" fontId="4" numFmtId="0" xfId="0" applyAlignment="1" applyBorder="1" applyFont="1">
      <alignment horizontal="center"/>
    </xf>
    <xf borderId="3" fillId="0" fontId="28" numFmtId="0" xfId="0" applyAlignment="1" applyBorder="1" applyFont="1">
      <alignment shrinkToFit="0" wrapText="1"/>
    </xf>
    <xf borderId="0" fillId="0" fontId="28" numFmtId="165" xfId="0" applyFont="1" applyNumberFormat="1"/>
    <xf borderId="5" fillId="2" fontId="1" numFmtId="0" xfId="0" applyAlignment="1" applyBorder="1" applyFont="1">
      <alignment horizontal="center" shrinkToFit="0" vertical="center" wrapText="1"/>
    </xf>
    <xf borderId="6" fillId="0" fontId="3" numFmtId="0" xfId="0" applyBorder="1" applyFont="1"/>
    <xf borderId="7" fillId="0" fontId="3" numFmtId="0" xfId="0" applyBorder="1" applyFont="1"/>
    <xf borderId="5" fillId="2" fontId="1" numFmtId="49" xfId="0" applyAlignment="1" applyBorder="1" applyFont="1" applyNumberFormat="1">
      <alignment horizontal="center" shrinkToFit="0" vertical="center" wrapText="1"/>
    </xf>
    <xf borderId="3" fillId="2" fontId="1" numFmtId="0" xfId="0" applyAlignment="1" applyBorder="1" applyFont="1">
      <alignment horizontal="center" shrinkToFit="0" vertical="center" wrapText="1"/>
    </xf>
    <xf borderId="3" fillId="3" fontId="1" numFmtId="49" xfId="0" applyAlignment="1" applyBorder="1" applyFont="1" applyNumberFormat="1">
      <alignment horizontal="center" shrinkToFit="0" vertical="center" wrapText="1"/>
    </xf>
    <xf borderId="3" fillId="3" fontId="1" numFmtId="0" xfId="0" applyAlignment="1" applyBorder="1" applyFont="1">
      <alignment horizontal="center" shrinkToFit="0" vertical="center" wrapText="1"/>
    </xf>
    <xf borderId="3" fillId="2" fontId="1" numFmtId="165" xfId="0" applyAlignment="1" applyBorder="1" applyFont="1" applyNumberFormat="1">
      <alignment horizontal="center" shrinkToFit="0" vertical="center" wrapText="1"/>
    </xf>
    <xf borderId="3" fillId="4" fontId="29" numFmtId="0" xfId="0" applyAlignment="1" applyBorder="1" applyFont="1">
      <alignment horizontal="left" shrinkToFit="0" wrapText="1"/>
    </xf>
    <xf borderId="3" fillId="0" fontId="7" numFmtId="0" xfId="0" applyAlignment="1" applyBorder="1" applyFont="1">
      <alignment horizontal="center" shrinkToFit="0" vertical="top" wrapText="1"/>
    </xf>
    <xf borderId="3" fillId="4" fontId="7" numFmtId="0" xfId="0" applyAlignment="1" applyBorder="1" applyFont="1">
      <alignment horizontal="center" shrinkToFit="0" vertical="top" wrapText="1"/>
    </xf>
    <xf borderId="3" fillId="0" fontId="7" numFmtId="49" xfId="0" applyAlignment="1" applyBorder="1" applyFont="1" applyNumberFormat="1">
      <alignment horizontal="center" shrinkToFit="0" vertical="top" wrapText="1"/>
    </xf>
    <xf borderId="3" fillId="0" fontId="7" numFmtId="164" xfId="0" applyAlignment="1" applyBorder="1" applyFont="1" applyNumberFormat="1">
      <alignment horizontal="center" shrinkToFit="0" vertical="top" wrapText="1"/>
    </xf>
    <xf borderId="3" fillId="0" fontId="7" numFmtId="168" xfId="0" applyAlignment="1" applyBorder="1" applyFont="1" applyNumberFormat="1">
      <alignment horizontal="center" shrinkToFit="0" vertical="top" wrapText="1"/>
    </xf>
    <xf borderId="3" fillId="0" fontId="7" numFmtId="165" xfId="0" applyAlignment="1" applyBorder="1" applyFont="1" applyNumberFormat="1">
      <alignment horizontal="center" shrinkToFit="0" vertical="top" wrapText="1"/>
    </xf>
    <xf borderId="3" fillId="7" fontId="4" numFmtId="167" xfId="0" applyAlignment="1" applyBorder="1" applyFont="1" applyNumberFormat="1">
      <alignment horizontal="center" shrinkToFit="0" vertical="center" wrapText="1"/>
    </xf>
    <xf borderId="3" fillId="0" fontId="28" numFmtId="0" xfId="0" applyAlignment="1" applyBorder="1" applyFont="1">
      <alignment horizontal="center" shrinkToFit="0" vertical="center" wrapText="1"/>
    </xf>
    <xf borderId="3" fillId="0" fontId="7" numFmtId="166" xfId="0" applyAlignment="1" applyBorder="1" applyFont="1" applyNumberFormat="1">
      <alignment horizontal="center" shrinkToFit="0" vertical="top" wrapText="1"/>
    </xf>
    <xf borderId="3" fillId="10" fontId="9" numFmtId="0" xfId="0" applyAlignment="1" applyBorder="1" applyFont="1">
      <alignment horizontal="center" shrinkToFit="0" vertical="center" wrapText="1"/>
    </xf>
    <xf borderId="3" fillId="11" fontId="1" numFmtId="0" xfId="0" applyAlignment="1" applyBorder="1" applyFont="1">
      <alignment horizontal="center" shrinkToFit="0" vertical="center" wrapText="1"/>
    </xf>
    <xf borderId="3" fillId="12" fontId="1" numFmtId="0" xfId="0" applyAlignment="1" applyBorder="1" applyFont="1">
      <alignment horizontal="center" shrinkToFit="0" vertical="center" wrapText="1"/>
    </xf>
    <xf borderId="3" fillId="0" fontId="4" numFmtId="164" xfId="0" applyAlignment="1" applyBorder="1" applyFont="1" applyNumberFormat="1">
      <alignment horizontal="center" shrinkToFit="0" vertical="top" wrapText="1"/>
    </xf>
    <xf borderId="3" fillId="0" fontId="4" numFmtId="0" xfId="0" applyAlignment="1" applyBorder="1" applyFont="1">
      <alignment horizontal="center" shrinkToFit="0" vertical="top" wrapText="1"/>
    </xf>
    <xf borderId="3" fillId="0" fontId="4" numFmtId="49" xfId="0" applyAlignment="1" applyBorder="1" applyFont="1" applyNumberFormat="1">
      <alignment horizontal="center" shrinkToFit="0" vertical="top" wrapText="1"/>
    </xf>
    <xf borderId="3" fillId="0" fontId="6" numFmtId="0" xfId="0" applyAlignment="1" applyBorder="1" applyFont="1">
      <alignment horizontal="center" shrinkToFit="0" vertical="top" wrapText="1"/>
    </xf>
    <xf borderId="3" fillId="0" fontId="4" numFmtId="165" xfId="0" applyAlignment="1" applyBorder="1" applyFont="1" applyNumberFormat="1">
      <alignment horizontal="center" shrinkToFit="0" vertical="top" wrapText="1"/>
    </xf>
    <xf borderId="3" fillId="13" fontId="30" numFmtId="0" xfId="0" applyAlignment="1" applyBorder="1" applyFont="1">
      <alignment horizontal="center" shrinkToFit="0" vertical="center" wrapText="1"/>
    </xf>
    <xf borderId="3" fillId="13" fontId="30" numFmtId="0" xfId="0" applyAlignment="1" applyBorder="1" applyFont="1">
      <alignment shrinkToFit="0" vertical="center" wrapText="1"/>
    </xf>
    <xf borderId="3" fillId="13" fontId="31" numFmtId="0" xfId="0" applyAlignment="1" applyBorder="1" applyFont="1">
      <alignment horizontal="center" shrinkToFit="0" vertical="center" wrapText="1"/>
    </xf>
    <xf borderId="3" fillId="13" fontId="29" numFmtId="0" xfId="0" applyAlignment="1" applyBorder="1" applyFont="1">
      <alignment horizontal="center" shrinkToFit="0" vertical="center" wrapText="1"/>
    </xf>
    <xf borderId="3" fillId="0" fontId="32" numFmtId="0" xfId="0" applyAlignment="1" applyBorder="1" applyFont="1">
      <alignment horizontal="center" shrinkToFit="0" vertical="center" wrapText="1"/>
    </xf>
    <xf borderId="3" fillId="13" fontId="28" numFmtId="0" xfId="0" applyAlignment="1" applyBorder="1" applyFont="1">
      <alignment horizontal="center" shrinkToFit="0" vertical="center" wrapText="1"/>
    </xf>
    <xf borderId="3" fillId="13" fontId="28" numFmtId="0" xfId="0" applyAlignment="1" applyBorder="1" applyFont="1">
      <alignment shrinkToFit="0" vertical="center" wrapText="1"/>
    </xf>
    <xf borderId="3" fillId="11" fontId="4" numFmtId="49" xfId="0" applyAlignment="1" applyBorder="1" applyFont="1" applyNumberFormat="1">
      <alignment horizontal="center" shrinkToFit="0" vertical="center" wrapText="1"/>
    </xf>
    <xf borderId="3" fillId="0" fontId="7" numFmtId="169" xfId="0" applyAlignment="1" applyBorder="1" applyFont="1" applyNumberFormat="1">
      <alignment horizontal="center" shrinkToFit="0" vertical="top" wrapText="1"/>
    </xf>
    <xf borderId="3" fillId="15" fontId="7" numFmtId="0" xfId="0" applyAlignment="1" applyBorder="1" applyFont="1">
      <alignment horizontal="center" shrinkToFit="0" vertical="top" wrapText="1"/>
    </xf>
    <xf borderId="3" fillId="0" fontId="7" numFmtId="171" xfId="0" applyAlignment="1" applyBorder="1" applyFont="1" applyNumberFormat="1">
      <alignment horizontal="center" shrinkToFit="0" vertical="top" wrapText="1"/>
    </xf>
    <xf borderId="3" fillId="4" fontId="33" numFmtId="0" xfId="0" applyAlignment="1" applyBorder="1" applyFont="1">
      <alignment horizontal="center" shrinkToFit="0" vertical="center" wrapText="1"/>
    </xf>
    <xf borderId="3" fillId="17" fontId="4" numFmtId="0" xfId="0" applyAlignment="1" applyBorder="1" applyFont="1">
      <alignment horizontal="center" shrinkToFit="0" vertical="center" wrapText="1"/>
    </xf>
    <xf borderId="3" fillId="0" fontId="6" numFmtId="164" xfId="0" applyAlignment="1" applyBorder="1" applyFont="1" applyNumberFormat="1">
      <alignment horizontal="center" shrinkToFit="0" vertical="top" wrapText="1"/>
    </xf>
    <xf borderId="3" fillId="19" fontId="7" numFmtId="0" xfId="0" applyAlignment="1" applyBorder="1" applyFont="1">
      <alignment horizontal="center" shrinkToFit="0" wrapText="1"/>
    </xf>
    <xf borderId="3" fillId="4" fontId="7" numFmtId="49" xfId="0" applyAlignment="1" applyBorder="1" applyFont="1" applyNumberFormat="1">
      <alignment horizontal="center" shrinkToFit="0" wrapText="1"/>
    </xf>
    <xf borderId="3" fillId="6" fontId="7" numFmtId="0" xfId="0" applyAlignment="1" applyBorder="1" applyFont="1">
      <alignment horizontal="center" shrinkToFit="0" vertical="center" wrapText="1"/>
    </xf>
    <xf borderId="3" fillId="0" fontId="34" numFmtId="0" xfId="0" applyAlignment="1" applyBorder="1" applyFont="1">
      <alignment horizontal="left" shrinkToFit="0" vertical="center" wrapText="1"/>
    </xf>
    <xf borderId="3" fillId="4" fontId="6" numFmtId="0" xfId="0" applyAlignment="1" applyBorder="1" applyFont="1">
      <alignment horizontal="center" shrinkToFit="0" wrapText="1"/>
    </xf>
    <xf borderId="3" fillId="4" fontId="6" numFmtId="168" xfId="0" applyAlignment="1" applyBorder="1" applyFont="1" applyNumberFormat="1">
      <alignment horizontal="center" shrinkToFit="0" wrapText="1"/>
    </xf>
    <xf borderId="3" fillId="0" fontId="4" numFmtId="174" xfId="0" applyAlignment="1" applyBorder="1" applyFont="1" applyNumberFormat="1">
      <alignment horizontal="center" shrinkToFit="0" vertical="center" wrapText="1"/>
    </xf>
    <xf borderId="3" fillId="4" fontId="7" numFmtId="0" xfId="0" applyAlignment="1" applyBorder="1" applyFont="1">
      <alignment horizontal="center" shrinkToFit="0" wrapText="1"/>
    </xf>
    <xf borderId="3" fillId="0" fontId="35" numFmtId="165" xfId="0" applyAlignment="1" applyBorder="1" applyFont="1" applyNumberFormat="1">
      <alignment horizontal="center" shrinkToFit="0" vertical="center" wrapText="1"/>
    </xf>
    <xf borderId="3" fillId="0" fontId="31" numFmtId="0" xfId="0" applyAlignment="1" applyBorder="1" applyFont="1">
      <alignment shrinkToFit="0" wrapText="1"/>
    </xf>
    <xf quotePrefix="1" borderId="3" fillId="0" fontId="7" numFmtId="49" xfId="0" applyAlignment="1" applyBorder="1" applyFont="1" applyNumberFormat="1">
      <alignment horizontal="center" shrinkToFit="0" wrapText="1"/>
    </xf>
    <xf borderId="3" fillId="0" fontId="4" numFmtId="0" xfId="0" applyAlignment="1" applyBorder="1" applyFont="1">
      <alignment horizontal="center" shrinkToFit="0" wrapText="1"/>
    </xf>
    <xf borderId="3" fillId="0" fontId="4" numFmtId="49" xfId="0" applyAlignment="1" applyBorder="1" applyFont="1" applyNumberFormat="1">
      <alignment horizontal="center" shrinkToFit="0" wrapText="1"/>
    </xf>
    <xf quotePrefix="1" borderId="3" fillId="0" fontId="4" numFmtId="49" xfId="0" applyAlignment="1" applyBorder="1" applyFont="1" applyNumberFormat="1">
      <alignment horizontal="center" shrinkToFit="0" wrapText="1"/>
    </xf>
    <xf borderId="3" fillId="0" fontId="7" numFmtId="0" xfId="0" applyAlignment="1" applyBorder="1" applyFont="1">
      <alignment horizontal="center" shrinkToFit="0" wrapText="1"/>
    </xf>
    <xf borderId="3" fillId="0" fontId="4" numFmtId="49" xfId="0" applyAlignment="1" applyBorder="1" applyFont="1" applyNumberFormat="1">
      <alignment horizontal="center" shrinkToFit="0" vertical="bottom" wrapText="1"/>
    </xf>
    <xf borderId="3" fillId="0" fontId="34" numFmtId="0" xfId="0" applyAlignment="1" applyBorder="1" applyFont="1">
      <alignment shrinkToFit="0" vertical="bottom" wrapText="1"/>
    </xf>
    <xf borderId="3" fillId="0" fontId="7" numFmtId="175" xfId="0" applyAlignment="1" applyBorder="1" applyFont="1" applyNumberFormat="1">
      <alignment horizontal="center" shrinkToFit="0" vertical="center" wrapText="1"/>
    </xf>
    <xf borderId="3" fillId="0" fontId="4" numFmtId="0" xfId="0" applyAlignment="1" applyBorder="1" applyFont="1">
      <alignment horizontal="center" shrinkToFit="0" vertical="bottom" wrapText="1"/>
    </xf>
    <xf borderId="3" fillId="0" fontId="34" numFmtId="0" xfId="0" applyAlignment="1" applyBorder="1" applyFont="1">
      <alignment shrinkToFit="0" wrapText="1"/>
    </xf>
    <xf borderId="3" fillId="0" fontId="34" numFmtId="0" xfId="0" applyAlignment="1" applyBorder="1" applyFont="1">
      <alignment horizontal="center" shrinkToFit="0" vertical="center" wrapText="1"/>
    </xf>
    <xf borderId="3" fillId="4" fontId="36" numFmtId="0" xfId="0" applyAlignment="1" applyBorder="1" applyFont="1">
      <alignment horizontal="center" shrinkToFit="0" vertical="center" wrapText="1"/>
    </xf>
    <xf borderId="3" fillId="8" fontId="7" numFmtId="49" xfId="0" applyAlignment="1" applyBorder="1" applyFont="1" applyNumberFormat="1">
      <alignment horizontal="center" shrinkToFit="0" wrapText="1"/>
    </xf>
    <xf borderId="3" fillId="0" fontId="28" numFmtId="0" xfId="0" applyAlignment="1" applyBorder="1" applyFont="1">
      <alignment shrinkToFit="0" vertical="center" wrapText="1"/>
    </xf>
    <xf borderId="3" fillId="8" fontId="6" numFmtId="49" xfId="0" applyAlignment="1" applyBorder="1" applyFont="1" applyNumberFormat="1">
      <alignment horizontal="center" shrinkToFit="0" wrapText="1"/>
    </xf>
    <xf borderId="3" fillId="4" fontId="14" numFmtId="49" xfId="0" applyAlignment="1" applyBorder="1" applyFont="1" applyNumberFormat="1">
      <alignment horizontal="center" shrinkToFit="0" wrapText="1"/>
    </xf>
    <xf borderId="3" fillId="0" fontId="28" numFmtId="172" xfId="0" applyAlignment="1" applyBorder="1" applyFont="1" applyNumberFormat="1">
      <alignment horizontal="left" shrinkToFit="0" wrapText="1"/>
    </xf>
    <xf borderId="3" fillId="4" fontId="16" numFmtId="0" xfId="0" applyAlignment="1" applyBorder="1" applyFont="1">
      <alignment shrinkToFit="0" wrapText="1"/>
    </xf>
    <xf borderId="3" fillId="0" fontId="9" numFmtId="0" xfId="0" applyAlignment="1" applyBorder="1" applyFont="1">
      <alignment horizontal="center" shrinkToFit="0" vertical="top" wrapText="1"/>
    </xf>
    <xf borderId="0" fillId="8" fontId="37" numFmtId="49" xfId="0" applyAlignment="1" applyFont="1" applyNumberFormat="1">
      <alignment shrinkToFit="0" wrapText="1"/>
    </xf>
    <xf borderId="3" fillId="20" fontId="6" numFmtId="49" xfId="0" applyAlignment="1" applyBorder="1" applyFont="1" applyNumberFormat="1">
      <alignment horizontal="center" shrinkToFit="0" wrapText="1"/>
    </xf>
    <xf borderId="3" fillId="21" fontId="14" numFmtId="49" xfId="0" applyAlignment="1" applyBorder="1" applyFont="1" applyNumberFormat="1">
      <alignment horizontal="center" shrinkToFit="0" wrapText="1"/>
    </xf>
    <xf borderId="3" fillId="0" fontId="31" numFmtId="0" xfId="0" applyAlignment="1" applyBorder="1" applyFont="1">
      <alignment horizontal="center" shrinkToFit="0" vertical="center" wrapText="1"/>
    </xf>
    <xf borderId="3" fillId="4" fontId="9" numFmtId="0" xfId="0" applyAlignment="1" applyBorder="1" applyFont="1">
      <alignment horizontal="right" shrinkToFit="0" wrapText="1"/>
    </xf>
    <xf borderId="3" fillId="4" fontId="9" numFmtId="0" xfId="0" applyAlignment="1" applyBorder="1" applyFont="1">
      <alignment shrinkToFit="0" wrapText="1"/>
    </xf>
    <xf borderId="3" fillId="4" fontId="7" numFmtId="0" xfId="0" applyAlignment="1" applyBorder="1" applyFont="1">
      <alignment shrinkToFit="0" wrapText="1"/>
    </xf>
    <xf borderId="3" fillId="4" fontId="9" numFmtId="0" xfId="0" applyAlignment="1" applyBorder="1" applyFont="1">
      <alignment horizontal="center" shrinkToFit="0" wrapText="1"/>
    </xf>
    <xf borderId="3" fillId="4" fontId="1" numFmtId="0" xfId="0" applyAlignment="1" applyBorder="1" applyFont="1">
      <alignment horizontal="right" shrinkToFit="0" wrapText="1"/>
    </xf>
    <xf borderId="3" fillId="4" fontId="1" numFmtId="0" xfId="0" applyAlignment="1" applyBorder="1" applyFont="1">
      <alignment shrinkToFit="0" wrapText="1"/>
    </xf>
    <xf borderId="3" fillId="4" fontId="4" numFmtId="0" xfId="0" applyAlignment="1" applyBorder="1" applyFont="1">
      <alignment shrinkToFit="0" wrapText="1"/>
    </xf>
    <xf borderId="3" fillId="4" fontId="1" numFmtId="0" xfId="0" applyAlignment="1" applyBorder="1" applyFont="1">
      <alignment horizontal="center" shrinkToFit="0" wrapText="1"/>
    </xf>
    <xf borderId="3" fillId="5" fontId="7" numFmtId="0" xfId="0" applyAlignment="1" applyBorder="1" applyFont="1">
      <alignment horizontal="center" shrinkToFit="0" vertical="center" wrapText="1"/>
    </xf>
    <xf borderId="3" fillId="0" fontId="11" numFmtId="0" xfId="0" applyAlignment="1" applyBorder="1" applyFont="1">
      <alignment horizontal="center" shrinkToFit="0" vertical="center" wrapText="1"/>
    </xf>
    <xf borderId="3" fillId="4" fontId="16" numFmtId="49" xfId="0" applyAlignment="1" applyBorder="1" applyFont="1" applyNumberFormat="1">
      <alignment horizontal="center" shrinkToFit="0" wrapText="1"/>
    </xf>
    <xf borderId="3" fillId="8" fontId="38" numFmtId="0" xfId="0" applyAlignment="1" applyBorder="1" applyFont="1">
      <alignment shrinkToFit="0" wrapText="1"/>
    </xf>
    <xf borderId="0" fillId="4" fontId="20" numFmtId="0" xfId="0" applyAlignment="1" applyFont="1">
      <alignment shrinkToFit="0" wrapText="1"/>
    </xf>
    <xf borderId="3" fillId="8" fontId="10" numFmtId="49" xfId="0" applyAlignment="1" applyBorder="1" applyFont="1" applyNumberFormat="1">
      <alignment horizontal="center" shrinkToFit="0" wrapText="1"/>
    </xf>
    <xf borderId="0" fillId="4" fontId="6" numFmtId="49" xfId="0" applyAlignment="1" applyFont="1" applyNumberFormat="1">
      <alignment horizontal="center" shrinkToFit="0" wrapText="1"/>
    </xf>
    <xf borderId="0" fillId="0" fontId="39" numFmtId="0" xfId="0" applyAlignment="1" applyFont="1">
      <alignment shrinkToFit="0" wrapText="1"/>
    </xf>
    <xf borderId="0" fillId="0" fontId="39" numFmtId="166" xfId="0" applyAlignment="1" applyFont="1" applyNumberFormat="1">
      <alignment shrinkToFit="0" wrapText="1"/>
    </xf>
    <xf borderId="3" fillId="25" fontId="4" numFmtId="0" xfId="0" applyAlignment="1" applyBorder="1" applyFont="1">
      <alignment horizontal="center" shrinkToFit="0" vertical="center" wrapText="1"/>
    </xf>
    <xf quotePrefix="1" borderId="0" fillId="0" fontId="39" numFmtId="0" xfId="0" applyAlignment="1" applyFont="1">
      <alignment shrinkToFit="0" wrapText="1"/>
    </xf>
    <xf borderId="0" fillId="0" fontId="40" numFmtId="0" xfId="0" applyAlignment="1" applyFont="1">
      <alignment shrinkToFit="0" wrapText="1"/>
    </xf>
    <xf borderId="0" fillId="13" fontId="41" numFmtId="49" xfId="0" applyAlignment="1" applyFont="1" applyNumberFormat="1">
      <alignment shrinkToFit="0" wrapText="1"/>
    </xf>
    <xf borderId="0" fillId="0" fontId="39" numFmtId="0" xfId="0" applyAlignment="1" applyFont="1">
      <alignment shrinkToFit="0" vertical="bottom" wrapText="1"/>
    </xf>
    <xf borderId="0" fillId="0" fontId="42" numFmtId="0" xfId="0" applyAlignment="1" applyFont="1">
      <alignment shrinkToFit="0" wrapText="1"/>
    </xf>
    <xf quotePrefix="1" borderId="0" fillId="0" fontId="39" numFmtId="0" xfId="0" applyAlignment="1" applyFont="1">
      <alignment shrinkToFit="0" vertical="bottom" wrapText="1"/>
    </xf>
    <xf quotePrefix="1" borderId="0" fillId="0" fontId="39" numFmtId="0" xfId="0" applyAlignment="1" applyFont="1">
      <alignment shrinkToFit="0" vertical="center" wrapText="1"/>
    </xf>
    <xf borderId="3" fillId="13" fontId="33" numFmtId="0" xfId="0" applyAlignment="1" applyBorder="1" applyFont="1">
      <alignment shrinkToFit="0" vertical="center" wrapText="1"/>
    </xf>
    <xf borderId="3" fillId="0" fontId="39" numFmtId="0" xfId="0" applyAlignment="1" applyBorder="1" applyFont="1">
      <alignment shrinkToFit="0" wrapText="1"/>
    </xf>
    <xf borderId="3" fillId="0" fontId="39" numFmtId="165" xfId="0" applyAlignment="1" applyBorder="1" applyFont="1" applyNumberFormat="1">
      <alignment shrinkToFit="0" wrapText="1"/>
    </xf>
    <xf borderId="7" fillId="0" fontId="39" numFmtId="0" xfId="0" applyAlignment="1" applyBorder="1" applyFont="1">
      <alignment shrinkToFit="0" wrapText="1"/>
    </xf>
    <xf borderId="2" fillId="0" fontId="4" numFmtId="0" xfId="0" applyAlignment="1" applyBorder="1" applyFont="1">
      <alignment horizontal="center" shrinkToFit="0" wrapText="1"/>
    </xf>
    <xf borderId="4" fillId="0" fontId="39" numFmtId="0" xfId="0" applyAlignment="1" applyBorder="1" applyFont="1">
      <alignment shrinkToFit="0" wrapText="1"/>
    </xf>
    <xf borderId="4" fillId="0" fontId="4" numFmtId="0" xfId="0" applyAlignment="1" applyBorder="1" applyFont="1">
      <alignment horizontal="center" shrinkToFit="0" wrapText="1"/>
    </xf>
    <xf borderId="4" fillId="0" fontId="7" numFmtId="0" xfId="0" applyAlignment="1" applyBorder="1" applyFont="1">
      <alignment horizontal="center" shrinkToFit="0" vertical="center" wrapText="1"/>
    </xf>
    <xf borderId="2" fillId="0" fontId="7" numFmtId="0" xfId="0" applyAlignment="1" applyBorder="1" applyFont="1">
      <alignment horizontal="center" shrinkToFit="0" wrapText="1"/>
    </xf>
    <xf borderId="4" fillId="0" fontId="40" numFmtId="0" xfId="0" applyAlignment="1" applyBorder="1" applyFont="1">
      <alignment shrinkToFit="0" wrapText="1"/>
    </xf>
    <xf borderId="4" fillId="0" fontId="7" numFmtId="0" xfId="0" applyAlignment="1" applyBorder="1" applyFont="1">
      <alignment horizontal="center" shrinkToFit="0" wrapText="1"/>
    </xf>
    <xf borderId="3" fillId="0" fontId="43" numFmtId="0" xfId="0" applyAlignment="1" applyBorder="1" applyFont="1">
      <alignment shrinkToFit="0" vertical="bottom" wrapText="1"/>
    </xf>
    <xf borderId="3" fillId="0" fontId="24" numFmtId="0" xfId="0" applyAlignment="1" applyBorder="1" applyFont="1">
      <alignment shrinkToFit="0" vertical="bottom" wrapText="1"/>
    </xf>
    <xf borderId="3" fillId="0" fontId="4" numFmtId="175" xfId="0" applyAlignment="1" applyBorder="1" applyFont="1" applyNumberFormat="1">
      <alignment horizontal="center" shrinkToFit="0" vertical="center" wrapText="1"/>
    </xf>
    <xf borderId="3" fillId="0" fontId="4" numFmtId="176" xfId="0" applyAlignment="1" applyBorder="1" applyFont="1" applyNumberFormat="1">
      <alignment horizontal="center" shrinkToFit="0" vertical="center" wrapText="1"/>
    </xf>
    <xf borderId="0" fillId="0" fontId="11" numFmtId="0" xfId="0" applyAlignment="1" applyFont="1">
      <alignment horizontal="center" shrinkToFit="0" wrapText="1"/>
    </xf>
    <xf borderId="3" fillId="0" fontId="11" numFmtId="14" xfId="0" applyAlignment="1" applyBorder="1" applyFont="1" applyNumberFormat="1">
      <alignment horizontal="center" shrinkToFit="0" wrapText="1"/>
    </xf>
    <xf quotePrefix="1" borderId="0" fillId="0" fontId="11" numFmtId="0" xfId="0" applyAlignment="1" applyFont="1">
      <alignment horizontal="center" shrinkToFit="0" wrapText="1"/>
    </xf>
    <xf borderId="0" fillId="8" fontId="38" numFmtId="0" xfId="0" applyAlignment="1" applyFont="1">
      <alignment shrinkToFit="0" wrapText="1"/>
    </xf>
    <xf borderId="0" fillId="8" fontId="38" numFmtId="49" xfId="0" applyAlignment="1" applyFont="1" applyNumberFormat="1">
      <alignment shrinkToFit="0" wrapText="1"/>
    </xf>
    <xf borderId="0" fillId="8" fontId="41" numFmtId="49" xfId="0" applyAlignment="1" applyFont="1" applyNumberFormat="1">
      <alignment shrinkToFit="0" wrapText="1"/>
    </xf>
    <xf borderId="0" fillId="8" fontId="44" numFmtId="0" xfId="0" applyAlignment="1" applyFont="1">
      <alignment shrinkToFit="0" wrapText="1"/>
    </xf>
    <xf borderId="0" fillId="8" fontId="44" numFmtId="49" xfId="0" applyAlignment="1" applyFont="1" applyNumberFormat="1">
      <alignment shrinkToFit="0" wrapText="1"/>
    </xf>
    <xf borderId="0" fillId="4" fontId="45" numFmtId="0" xfId="0" applyAlignment="1" applyFont="1">
      <alignment horizontal="center" shrinkToFit="0" wrapText="1"/>
    </xf>
    <xf borderId="4" fillId="8" fontId="19" numFmtId="49" xfId="0" applyAlignment="1" applyBorder="1" applyFont="1" applyNumberFormat="1">
      <alignment horizontal="center" shrinkToFit="0" wrapText="1"/>
    </xf>
    <xf borderId="0" fillId="10" fontId="46" numFmtId="0" xfId="0" applyAlignment="1" applyFont="1">
      <alignment horizontal="center" vertical="center"/>
    </xf>
    <xf borderId="0" fillId="26" fontId="46" numFmtId="0" xfId="0" applyAlignment="1" applyFill="1" applyFont="1">
      <alignment horizontal="center" vertical="center"/>
    </xf>
    <xf borderId="1" fillId="9" fontId="46" numFmtId="0" xfId="0" applyAlignment="1" applyBorder="1" applyFont="1">
      <alignment horizontal="center" vertical="center"/>
    </xf>
    <xf borderId="5" fillId="9" fontId="46" numFmtId="0" xfId="0" applyAlignment="1" applyBorder="1" applyFont="1">
      <alignment horizontal="center" vertical="center"/>
    </xf>
    <xf borderId="1" fillId="27" fontId="46" numFmtId="0" xfId="0" applyAlignment="1" applyBorder="1" applyFill="1" applyFont="1">
      <alignment horizontal="center" vertical="center"/>
    </xf>
    <xf borderId="3" fillId="28" fontId="46" numFmtId="0" xfId="0" applyAlignment="1" applyBorder="1" applyFill="1" applyFont="1">
      <alignment horizontal="center" vertical="center"/>
    </xf>
    <xf borderId="5" fillId="28" fontId="46" numFmtId="0" xfId="0" applyAlignment="1" applyBorder="1" applyFont="1">
      <alignment horizontal="center" vertical="center"/>
    </xf>
    <xf borderId="0" fillId="28" fontId="46" numFmtId="0" xfId="0" applyAlignment="1" applyFont="1">
      <alignment horizontal="center" vertical="center"/>
    </xf>
    <xf borderId="3" fillId="9" fontId="46" numFmtId="0" xfId="0" applyAlignment="1" applyBorder="1" applyFont="1">
      <alignment horizontal="center" vertical="center"/>
    </xf>
    <xf borderId="3" fillId="7" fontId="47" numFmtId="0" xfId="0" applyAlignment="1" applyBorder="1" applyFont="1">
      <alignment horizontal="center" vertical="center"/>
    </xf>
    <xf borderId="3" fillId="29" fontId="47" numFmtId="0" xfId="0" applyAlignment="1" applyBorder="1" applyFill="1" applyFont="1">
      <alignment horizontal="center" vertical="center"/>
    </xf>
    <xf borderId="0" fillId="25" fontId="48" numFmtId="0" xfId="0" applyAlignment="1" applyFont="1">
      <alignment horizontal="center"/>
    </xf>
    <xf borderId="0" fillId="30" fontId="48" numFmtId="0" xfId="0" applyAlignment="1" applyFill="1" applyFont="1">
      <alignment horizontal="center"/>
    </xf>
    <xf borderId="0" fillId="31" fontId="48" numFmtId="0" xfId="0" applyAlignment="1" applyFill="1" applyFont="1">
      <alignment horizontal="center"/>
    </xf>
    <xf borderId="0" fillId="22" fontId="48" numFmtId="0" xfId="0" applyAlignment="1" applyFont="1">
      <alignment horizontal="center"/>
    </xf>
    <xf borderId="3" fillId="0" fontId="39" numFmtId="164" xfId="0" applyBorder="1" applyFont="1" applyNumberFormat="1"/>
    <xf borderId="3" fillId="0" fontId="39" numFmtId="177" xfId="0" applyAlignment="1" applyBorder="1" applyFont="1" applyNumberFormat="1">
      <alignment shrinkToFit="0" vertical="center" wrapText="1"/>
    </xf>
    <xf borderId="3" fillId="0" fontId="49" numFmtId="1" xfId="0" applyBorder="1" applyFont="1" applyNumberFormat="1"/>
    <xf borderId="3" fillId="0" fontId="49" numFmtId="0" xfId="0" applyBorder="1" applyFont="1"/>
    <xf borderId="3" fillId="0" fontId="39" numFmtId="0" xfId="0" applyBorder="1" applyFont="1"/>
    <xf borderId="3" fillId="25" fontId="48" numFmtId="0" xfId="0" applyAlignment="1" applyBorder="1" applyFont="1">
      <alignment horizontal="center"/>
    </xf>
    <xf borderId="3" fillId="30" fontId="48" numFmtId="0" xfId="0" applyAlignment="1" applyBorder="1" applyFont="1">
      <alignment horizontal="center"/>
    </xf>
    <xf borderId="3" fillId="31" fontId="48" numFmtId="0" xfId="0" applyAlignment="1" applyBorder="1" applyFont="1">
      <alignment horizontal="center"/>
    </xf>
    <xf borderId="3" fillId="22" fontId="48" numFmtId="0" xfId="0" applyAlignment="1" applyBorder="1" applyFont="1">
      <alignment horizontal="center"/>
    </xf>
    <xf borderId="3" fillId="0" fontId="48" numFmtId="0" xfId="0" applyBorder="1" applyFont="1"/>
    <xf borderId="3" fillId="0" fontId="48" numFmtId="165" xfId="0" applyBorder="1" applyFont="1" applyNumberFormat="1"/>
    <xf borderId="0" fillId="0" fontId="39" numFmtId="0" xfId="0" applyFont="1"/>
    <xf borderId="0" fillId="0" fontId="39" numFmtId="1" xfId="0" applyAlignment="1" applyFont="1" applyNumberFormat="1">
      <alignment horizontal="right" vertical="bottom"/>
    </xf>
    <xf borderId="0" fillId="0" fontId="39" numFmtId="1" xfId="0" applyAlignment="1" applyFont="1" applyNumberFormat="1">
      <alignment vertical="bottom"/>
    </xf>
    <xf borderId="0" fillId="0" fontId="39" numFmtId="177" xfId="0" applyFont="1" applyNumberFormat="1"/>
    <xf borderId="0" fillId="0" fontId="48" numFmtId="177" xfId="0" applyFont="1" applyNumberFormat="1"/>
    <xf borderId="3" fillId="6" fontId="46" numFmtId="0" xfId="0" applyAlignment="1" applyBorder="1" applyFont="1">
      <alignment horizontal="center"/>
    </xf>
    <xf borderId="3" fillId="22" fontId="48" numFmtId="1" xfId="0" applyAlignment="1" applyBorder="1" applyFont="1" applyNumberFormat="1">
      <alignment horizontal="center"/>
    </xf>
    <xf borderId="0" fillId="6" fontId="46" numFmtId="1" xfId="0" applyAlignment="1" applyFont="1" applyNumberFormat="1">
      <alignment horizontal="center"/>
    </xf>
    <xf borderId="0" fillId="6" fontId="50" numFmtId="0" xfId="0" applyFont="1"/>
    <xf borderId="0" fillId="0" fontId="39" numFmtId="177" xfId="0" applyAlignment="1" applyFont="1" applyNumberFormat="1">
      <alignment shrinkToFit="0" vertical="center" wrapText="1"/>
    </xf>
    <xf borderId="0" fillId="0" fontId="39" numFmtId="10" xfId="0" applyFont="1" applyNumberFormat="1"/>
    <xf borderId="0" fillId="32" fontId="46" numFmtId="0" xfId="0" applyAlignment="1" applyFill="1" applyFont="1">
      <alignment shrinkToFit="0" wrapText="1"/>
    </xf>
    <xf borderId="0" fillId="32" fontId="46" numFmtId="10" xfId="0" applyAlignment="1" applyFont="1" applyNumberFormat="1">
      <alignment shrinkToFit="0" wrapText="1"/>
    </xf>
    <xf borderId="0" fillId="33" fontId="46" numFmtId="0" xfId="0" applyAlignment="1" applyFill="1" applyFont="1">
      <alignment shrinkToFit="0" wrapText="1"/>
    </xf>
    <xf borderId="0" fillId="33" fontId="51" numFmtId="0" xfId="0" applyFont="1"/>
    <xf borderId="3" fillId="0" fontId="39" numFmtId="165" xfId="0" applyBorder="1" applyFont="1" applyNumberFormat="1"/>
    <xf borderId="3" fillId="7" fontId="47" numFmtId="165" xfId="0" applyAlignment="1" applyBorder="1" applyFont="1" applyNumberFormat="1">
      <alignment horizontal="center" vertical="center"/>
    </xf>
    <xf borderId="0" fillId="6" fontId="48" numFmtId="165" xfId="0" applyFont="1" applyNumberFormat="1"/>
    <xf borderId="0" fillId="0" fontId="39" numFmtId="49" xfId="0" applyFont="1" applyNumberFormat="1"/>
    <xf quotePrefix="1" borderId="0" fillId="0" fontId="39" numFmtId="49" xfId="0" applyFont="1" applyNumberFormat="1"/>
    <xf quotePrefix="1" borderId="0" fillId="0" fontId="39" numFmtId="0" xfId="0" applyFont="1"/>
    <xf quotePrefix="1" borderId="0" fillId="18" fontId="4" numFmtId="49" xfId="0" applyAlignment="1" applyFont="1" applyNumberFormat="1">
      <alignment horizontal="left" shrinkToFit="0" wrapText="1"/>
    </xf>
    <xf borderId="0" fillId="18" fontId="4" numFmtId="49" xfId="0" applyAlignment="1" applyFont="1" applyNumberFormat="1">
      <alignment horizontal="left" shrinkToFit="0" wrapText="1"/>
    </xf>
    <xf borderId="0" fillId="18" fontId="4" numFmtId="0" xfId="0" applyAlignment="1" applyFont="1">
      <alignment horizontal="left" shrinkToFit="0" wrapText="1"/>
    </xf>
    <xf borderId="3" fillId="18" fontId="4" numFmtId="0" xfId="0" applyAlignment="1" applyBorder="1" applyFont="1">
      <alignment horizontal="left" shrinkToFit="0" wrapText="1"/>
    </xf>
    <xf quotePrefix="1" borderId="2" fillId="18" fontId="4" numFmtId="49" xfId="0" applyAlignment="1" applyBorder="1" applyFont="1" applyNumberFormat="1">
      <alignment horizontal="left" shrinkToFit="0" wrapText="1"/>
    </xf>
    <xf borderId="2" fillId="18" fontId="4" numFmtId="0" xfId="0" applyAlignment="1" applyBorder="1" applyFont="1">
      <alignment horizontal="left" shrinkToFit="0" wrapText="1"/>
    </xf>
    <xf borderId="2" fillId="18" fontId="52" numFmtId="0" xfId="0" applyAlignment="1" applyBorder="1" applyFont="1">
      <alignment horizontal="left"/>
    </xf>
    <xf borderId="3" fillId="29" fontId="47" numFmtId="165" xfId="0" applyAlignment="1" applyBorder="1" applyFont="1" applyNumberFormat="1">
      <alignment horizontal="center" vertical="center"/>
    </xf>
    <xf borderId="3" fillId="25" fontId="48" numFmtId="165" xfId="0" applyAlignment="1" applyBorder="1" applyFont="1" applyNumberFormat="1">
      <alignment horizontal="center"/>
    </xf>
    <xf borderId="3" fillId="31" fontId="48" numFmtId="165" xfId="0" applyAlignment="1" applyBorder="1" applyFont="1" applyNumberFormat="1">
      <alignment horizontal="center"/>
    </xf>
    <xf borderId="3" fillId="22" fontId="48" numFmtId="165" xfId="0" applyAlignment="1" applyBorder="1" applyFont="1" applyNumberFormat="1">
      <alignment horizontal="center"/>
    </xf>
    <xf borderId="0" fillId="0" fontId="48" numFmtId="0" xfId="0" applyFont="1"/>
    <xf borderId="0" fillId="6" fontId="46" numFmtId="0" xfId="0" applyAlignment="1" applyFont="1">
      <alignment horizontal="center"/>
    </xf>
    <xf borderId="3" fillId="7" fontId="47" numFmtId="1" xfId="0" applyAlignment="1" applyBorder="1" applyFont="1" applyNumberFormat="1">
      <alignment horizontal="center" vertical="center"/>
    </xf>
    <xf borderId="3" fillId="29" fontId="47" numFmtId="1" xfId="0" applyAlignment="1" applyBorder="1" applyFont="1" applyNumberFormat="1">
      <alignment horizontal="center" vertical="center"/>
    </xf>
    <xf borderId="3" fillId="25" fontId="48" numFmtId="1" xfId="0" applyAlignment="1" applyBorder="1" applyFont="1" applyNumberFormat="1">
      <alignment horizontal="center"/>
    </xf>
    <xf borderId="3" fillId="0" fontId="39" numFmtId="166" xfId="0" applyBorder="1" applyFont="1" applyNumberFormat="1"/>
    <xf borderId="0" fillId="0" fontId="48" numFmtId="165" xfId="0" applyFont="1" applyNumberFormat="1"/>
    <xf borderId="0" fillId="0" fontId="39" numFmtId="3" xfId="0" applyFont="1" applyNumberFormat="1"/>
    <xf borderId="0" fillId="0" fontId="39" numFmtId="166" xfId="0" applyFont="1" applyNumberFormat="1"/>
    <xf borderId="3" fillId="0" fontId="53" numFmtId="0" xfId="0" applyAlignment="1" applyBorder="1" applyFont="1">
      <alignment horizontal="center" shrinkToFit="0" vertical="center" wrapText="1"/>
    </xf>
    <xf borderId="3" fillId="0" fontId="53" numFmtId="0" xfId="0" applyAlignment="1" applyBorder="1" applyFont="1">
      <alignment horizontal="left" shrinkToFit="0" vertical="center" wrapText="1"/>
    </xf>
    <xf borderId="0" fillId="0" fontId="48" numFmtId="0" xfId="0" applyAlignment="1" applyFont="1">
      <alignment vertical="center"/>
    </xf>
    <xf borderId="3" fillId="0" fontId="11" numFmtId="168" xfId="0" applyAlignment="1" applyBorder="1" applyFont="1" applyNumberFormat="1">
      <alignment horizontal="center" shrinkToFit="0" vertical="center" wrapText="1"/>
    </xf>
    <xf borderId="3" fillId="0" fontId="11" numFmtId="0" xfId="0" applyAlignment="1" applyBorder="1" applyFont="1">
      <alignment horizontal="left" shrinkToFit="0" vertical="center" wrapText="1"/>
    </xf>
    <xf borderId="3" fillId="0" fontId="11" numFmtId="0" xfId="0" applyAlignment="1" applyBorder="1" applyFont="1">
      <alignment horizontal="center" shrinkToFit="0" wrapText="1"/>
    </xf>
    <xf borderId="3" fillId="0" fontId="11" numFmtId="0" xfId="0" applyAlignment="1" applyBorder="1" applyFont="1">
      <alignment shrinkToFit="0" vertical="center" wrapText="1"/>
    </xf>
    <xf borderId="3" fillId="0" fontId="52" numFmtId="0" xfId="0" applyAlignment="1" applyBorder="1" applyFont="1">
      <alignment horizontal="center" shrinkToFit="0" vertical="center" wrapText="1"/>
    </xf>
    <xf borderId="3" fillId="0" fontId="11" numFmtId="0" xfId="0" applyAlignment="1" applyBorder="1" applyFont="1">
      <alignment shrinkToFit="0" wrapText="1"/>
    </xf>
    <xf borderId="3" fillId="9" fontId="11" numFmtId="0" xfId="0" applyAlignment="1" applyBorder="1" applyFont="1">
      <alignment shrinkToFit="0" wrapText="1"/>
    </xf>
    <xf borderId="3" fillId="9" fontId="11" numFmtId="167" xfId="0" applyAlignment="1" applyBorder="1" applyFont="1" applyNumberFormat="1">
      <alignment shrinkToFit="0" vertical="center" wrapText="1"/>
    </xf>
    <xf borderId="3" fillId="9" fontId="11" numFmtId="0" xfId="0" applyAlignment="1" applyBorder="1" applyFont="1">
      <alignment shrinkToFit="0" vertical="center" wrapText="1"/>
    </xf>
    <xf borderId="3" fillId="9" fontId="52" numFmtId="0" xfId="0" applyAlignment="1" applyBorder="1" applyFont="1">
      <alignment horizontal="center" shrinkToFit="0" vertical="center" wrapText="1"/>
    </xf>
    <xf borderId="0" fillId="9" fontId="39" numFmtId="0" xfId="0" applyFont="1"/>
    <xf borderId="3" fillId="0" fontId="11" numFmtId="0" xfId="0" applyAlignment="1" applyBorder="1" applyFont="1">
      <alignment horizontal="left" shrinkToFit="0" wrapText="1"/>
    </xf>
    <xf borderId="0" fillId="0" fontId="11" numFmtId="0" xfId="0" applyAlignment="1" applyFont="1">
      <alignment shrinkToFit="0" wrapText="1"/>
    </xf>
    <xf borderId="0" fillId="0" fontId="11" numFmtId="0" xfId="0" applyAlignment="1" applyFont="1">
      <alignment shrinkToFit="0" vertical="center" wrapText="1"/>
    </xf>
    <xf borderId="0" fillId="0" fontId="11" numFmtId="0" xfId="0" applyAlignment="1" applyFont="1">
      <alignment horizontal="left" shrinkToFit="0" wrapText="1"/>
    </xf>
    <xf borderId="0" fillId="0" fontId="54" numFmtId="0" xfId="0" applyFont="1"/>
    <xf borderId="0" fillId="0" fontId="55" numFmtId="0" xfId="0" applyAlignment="1" applyFont="1">
      <alignment horizontal="center"/>
    </xf>
    <xf borderId="8" fillId="32" fontId="56" numFmtId="0" xfId="0" applyAlignment="1" applyBorder="1" applyFont="1">
      <alignment horizontal="center"/>
    </xf>
    <xf borderId="9" fillId="0" fontId="3" numFmtId="0" xfId="0" applyBorder="1" applyFont="1"/>
    <xf borderId="10" fillId="0" fontId="3" numFmtId="0" xfId="0" applyBorder="1" applyFont="1"/>
    <xf borderId="11" fillId="12" fontId="55" numFmtId="0" xfId="0" applyAlignment="1" applyBorder="1" applyFont="1">
      <alignment horizontal="center" vertical="center"/>
    </xf>
    <xf borderId="12" fillId="12" fontId="55" numFmtId="0" xfId="0" applyAlignment="1" applyBorder="1" applyFont="1">
      <alignment horizontal="center" vertical="center"/>
    </xf>
    <xf borderId="13" fillId="12" fontId="57" numFmtId="0" xfId="0" applyAlignment="1" applyBorder="1" applyFont="1">
      <alignment horizontal="center" vertical="center"/>
    </xf>
    <xf borderId="14" fillId="12" fontId="55" numFmtId="0" xfId="0" applyAlignment="1" applyBorder="1" applyFont="1">
      <alignment horizontal="center" vertical="center"/>
    </xf>
    <xf borderId="0" fillId="0" fontId="55" numFmtId="0" xfId="0" applyFont="1"/>
    <xf borderId="15" fillId="0" fontId="3" numFmtId="0" xfId="0" applyBorder="1" applyFont="1"/>
    <xf borderId="3" fillId="12" fontId="55" numFmtId="0" xfId="0" applyAlignment="1" applyBorder="1" applyFont="1">
      <alignment horizontal="center" vertical="center"/>
    </xf>
    <xf borderId="16" fillId="0" fontId="3" numFmtId="0" xfId="0" applyBorder="1" applyFont="1"/>
    <xf borderId="17" fillId="0" fontId="54" numFmtId="0" xfId="0" applyBorder="1" applyFont="1"/>
    <xf borderId="3" fillId="0" fontId="54" numFmtId="0" xfId="0" applyBorder="1" applyFont="1"/>
    <xf borderId="18" fillId="0" fontId="54" numFmtId="0" xfId="0" applyBorder="1" applyFont="1"/>
    <xf borderId="3" fillId="6" fontId="54" numFmtId="0" xfId="0" applyBorder="1" applyFont="1"/>
    <xf borderId="0" fillId="0" fontId="58" numFmtId="0" xfId="0" applyFont="1"/>
    <xf borderId="19" fillId="0" fontId="55" numFmtId="0" xfId="0" applyAlignment="1" applyBorder="1" applyFont="1">
      <alignment horizontal="center"/>
    </xf>
    <xf borderId="20" fillId="0" fontId="3" numFmtId="0" xfId="0" applyBorder="1" applyFont="1"/>
    <xf borderId="21" fillId="0" fontId="55" numFmtId="3" xfId="0" applyBorder="1" applyFont="1" applyNumberFormat="1"/>
    <xf borderId="22" fillId="6" fontId="55" numFmtId="0" xfId="0" applyBorder="1" applyFont="1"/>
    <xf borderId="18" fillId="6" fontId="54" numFmtId="0" xfId="0" applyBorder="1" applyFont="1"/>
    <xf borderId="0" fillId="0" fontId="59" numFmtId="0" xfId="0" applyAlignment="1" applyFont="1">
      <alignment shrinkToFit="0" wrapText="1"/>
    </xf>
    <xf borderId="23" fillId="0" fontId="55" numFmtId="0" xfId="0" applyAlignment="1" applyBorder="1" applyFont="1">
      <alignment horizontal="center"/>
    </xf>
    <xf borderId="21" fillId="0" fontId="54" numFmtId="0" xfId="0" applyBorder="1" applyFont="1"/>
    <xf borderId="22" fillId="0" fontId="54" numFmtId="0" xfId="0" applyBorder="1" applyFont="1"/>
    <xf borderId="24" fillId="32" fontId="56" numFmtId="0" xfId="0" applyAlignment="1" applyBorder="1" applyFont="1">
      <alignment horizontal="center"/>
    </xf>
    <xf borderId="25" fillId="0" fontId="3" numFmtId="0" xfId="0" applyBorder="1" applyFont="1"/>
    <xf borderId="26" fillId="0" fontId="3" numFmtId="0" xfId="0" applyBorder="1" applyFont="1"/>
    <xf borderId="11" fillId="10" fontId="55" numFmtId="0" xfId="0" applyAlignment="1" applyBorder="1" applyFont="1">
      <alignment horizontal="center" vertical="center"/>
    </xf>
    <xf borderId="13" fillId="10" fontId="57" numFmtId="0" xfId="0" applyAlignment="1" applyBorder="1" applyFont="1">
      <alignment horizontal="center" vertical="center"/>
    </xf>
    <xf borderId="14" fillId="10" fontId="55" numFmtId="0" xfId="0" applyAlignment="1" applyBorder="1" applyFont="1">
      <alignment horizontal="center" vertical="center"/>
    </xf>
    <xf borderId="27" fillId="12" fontId="55" numFmtId="0" xfId="0" applyAlignment="1" applyBorder="1" applyFont="1">
      <alignment horizontal="center" vertical="center"/>
    </xf>
    <xf borderId="28" fillId="12" fontId="55" numFmtId="0" xfId="0" applyAlignment="1" applyBorder="1" applyFont="1">
      <alignment horizontal="center" vertical="center"/>
    </xf>
    <xf borderId="3" fillId="12" fontId="57" numFmtId="0" xfId="0" applyAlignment="1" applyBorder="1" applyFont="1">
      <alignment horizontal="center" vertical="center"/>
    </xf>
    <xf borderId="5" fillId="12" fontId="57" numFmtId="0" xfId="0" applyAlignment="1" applyBorder="1" applyFont="1">
      <alignment horizontal="center" vertical="center"/>
    </xf>
    <xf borderId="29" fillId="12" fontId="55" numFmtId="0" xfId="0" applyAlignment="1" applyBorder="1" applyFont="1">
      <alignment horizontal="center" vertical="center"/>
    </xf>
    <xf borderId="3" fillId="10" fontId="55" numFmtId="0" xfId="0" applyAlignment="1" applyBorder="1" applyFont="1">
      <alignment horizontal="center" vertical="center"/>
    </xf>
    <xf borderId="30" fillId="0" fontId="3" numFmtId="0" xfId="0" applyBorder="1" applyFont="1"/>
    <xf borderId="5" fillId="12" fontId="55" numFmtId="0" xfId="0" applyAlignment="1" applyBorder="1" applyFont="1">
      <alignment horizontal="center" vertical="center"/>
    </xf>
    <xf borderId="3" fillId="4" fontId="60" numFmtId="165" xfId="0" applyBorder="1" applyFont="1" applyNumberFormat="1"/>
    <xf borderId="18" fillId="0" fontId="55" numFmtId="165" xfId="0" applyBorder="1" applyFont="1" applyNumberFormat="1"/>
    <xf borderId="31" fillId="0" fontId="55" numFmtId="0" xfId="0" applyBorder="1" applyFont="1"/>
    <xf borderId="21" fillId="0" fontId="55" numFmtId="0" xfId="0" applyBorder="1" applyFont="1"/>
    <xf borderId="21" fillId="0" fontId="55" numFmtId="165" xfId="0" applyBorder="1" applyFont="1" applyNumberFormat="1"/>
    <xf borderId="32" fillId="0" fontId="55" numFmtId="165" xfId="0" applyAlignment="1" applyBorder="1" applyFont="1" applyNumberFormat="1">
      <alignment horizontal="right" shrinkToFit="0" vertical="bottom" wrapText="1"/>
    </xf>
    <xf borderId="33" fillId="0" fontId="55" numFmtId="165" xfId="0" applyAlignment="1" applyBorder="1" applyFont="1" applyNumberFormat="1">
      <alignment horizontal="right" shrinkToFit="0" vertical="bottom" wrapText="1"/>
    </xf>
    <xf borderId="22" fillId="0" fontId="55" numFmtId="165" xfId="0" applyBorder="1" applyFont="1" applyNumberFormat="1"/>
    <xf borderId="22" fillId="0" fontId="55" numFmtId="0" xfId="0" applyBorder="1" applyFont="1"/>
    <xf borderId="0" fillId="0" fontId="54" numFmtId="164" xfId="0" applyFont="1" applyNumberFormat="1"/>
    <xf borderId="0" fillId="4" fontId="60" numFmtId="0" xfId="0" applyFont="1"/>
    <xf borderId="34" fillId="12" fontId="55" numFmtId="0" xfId="0" applyAlignment="1" applyBorder="1" applyFont="1">
      <alignment horizontal="center" vertical="center"/>
    </xf>
    <xf borderId="4" fillId="0" fontId="3" numFmtId="0" xfId="0" applyBorder="1" applyFont="1"/>
    <xf borderId="17" fillId="4" fontId="60" numFmtId="0" xfId="0" applyBorder="1" applyFont="1"/>
    <xf borderId="18" fillId="0" fontId="54" numFmtId="165" xfId="0" applyBorder="1" applyFont="1" applyNumberFormat="1"/>
    <xf borderId="18" fillId="0" fontId="54" numFmtId="3" xfId="0" applyBorder="1" applyFont="1" applyNumberFormat="1"/>
    <xf borderId="22" fillId="0" fontId="55" numFmtId="3" xfId="0" applyBorder="1" applyFont="1" applyNumberFormat="1"/>
    <xf borderId="5" fillId="34" fontId="46" numFmtId="0" xfId="0" applyBorder="1" applyFill="1" applyFont="1"/>
    <xf borderId="0" fillId="0" fontId="39" numFmtId="165" xfId="0" applyFont="1" applyNumberFormat="1"/>
    <xf borderId="0" fillId="34" fontId="46" numFmtId="0" xfId="0" applyFont="1"/>
    <xf borderId="3" fillId="0" fontId="39" numFmtId="177" xfId="0" applyBorder="1" applyFont="1" applyNumberFormat="1"/>
    <xf borderId="35" fillId="18" fontId="48" numFmtId="171" xfId="0" applyBorder="1" applyFont="1" applyNumberFormat="1"/>
    <xf borderId="35" fillId="0" fontId="3" numFmtId="0" xfId="0" applyBorder="1" applyFont="1"/>
    <xf borderId="0" fillId="0" fontId="61" numFmtId="0" xfId="0" applyFont="1"/>
    <xf borderId="0" fillId="0" fontId="62" numFmtId="0" xfId="0" applyFont="1"/>
    <xf borderId="35" fillId="18" fontId="63" numFmtId="169" xfId="0" applyBorder="1" applyFont="1" applyNumberFormat="1"/>
    <xf borderId="4" fillId="0" fontId="34" numFmtId="0" xfId="0" applyBorder="1" applyFont="1"/>
    <xf borderId="2" fillId="0" fontId="34" numFmtId="0" xfId="0" applyAlignment="1" applyBorder="1" applyFont="1">
      <alignment vertical="bottom"/>
    </xf>
    <xf borderId="2" fillId="0" fontId="34" numFmtId="0" xfId="0" applyAlignment="1" applyBorder="1" applyFont="1">
      <alignment horizontal="center" vertical="bottom"/>
    </xf>
    <xf borderId="3" fillId="0" fontId="34" numFmtId="0" xfId="0" applyBorder="1" applyFont="1"/>
    <xf borderId="7" fillId="0" fontId="34" numFmtId="0" xfId="0" applyBorder="1" applyFont="1"/>
    <xf borderId="3" fillId="0" fontId="34" numFmtId="0" xfId="0" applyAlignment="1" applyBorder="1" applyFont="1">
      <alignment vertical="bottom"/>
    </xf>
    <xf borderId="3" fillId="0" fontId="34" numFmtId="0" xfId="0" applyAlignment="1" applyBorder="1" applyFont="1">
      <alignment horizontal="center" vertical="bottom"/>
    </xf>
    <xf borderId="3" fillId="11" fontId="34" numFmtId="0" xfId="0" applyAlignment="1" applyBorder="1" applyFont="1">
      <alignment vertical="bottom"/>
    </xf>
    <xf borderId="3" fillId="0" fontId="34" numFmtId="0" xfId="0" applyAlignment="1" applyBorder="1" applyFont="1">
      <alignment horizontal="center" shrinkToFit="0" vertical="bottom" wrapText="0"/>
    </xf>
    <xf borderId="0" fillId="0" fontId="64" numFmtId="0" xfId="0" applyFont="1"/>
    <xf borderId="3" fillId="11" fontId="34" numFmtId="0" xfId="0" applyAlignment="1" applyBorder="1" applyFont="1">
      <alignment horizontal="center" vertical="bottom"/>
    </xf>
    <xf borderId="3" fillId="11" fontId="34" numFmtId="0" xfId="0" applyAlignment="1" applyBorder="1" applyFont="1">
      <alignment vertical="top"/>
    </xf>
    <xf borderId="3" fillId="0" fontId="34" numFmtId="0" xfId="0" applyAlignment="1" applyBorder="1" applyFont="1">
      <alignment horizontal="right" vertical="top"/>
    </xf>
    <xf borderId="3" fillId="0" fontId="34" numFmtId="0" xfId="0" applyAlignment="1" applyBorder="1" applyFont="1">
      <alignment vertical="top"/>
    </xf>
    <xf borderId="0" fillId="18" fontId="65" numFmtId="168" xfId="0" applyFont="1" applyNumberFormat="1"/>
    <xf borderId="2" fillId="11" fontId="66" numFmtId="0" xfId="0" applyAlignment="1" applyBorder="1" applyFont="1">
      <alignment vertical="top"/>
    </xf>
    <xf quotePrefix="1" borderId="35" fillId="11" fontId="66" numFmtId="0" xfId="0" applyAlignment="1" applyBorder="1" applyFont="1">
      <alignment shrinkToFit="0" vertical="top" wrapText="0"/>
    </xf>
    <xf borderId="2" fillId="0" fontId="66" numFmtId="0" xfId="0" applyAlignment="1" applyBorder="1" applyFont="1">
      <alignment vertical="bottom"/>
    </xf>
    <xf borderId="4" fillId="11" fontId="66" numFmtId="0" xfId="0" applyAlignment="1" applyBorder="1" applyFont="1">
      <alignment horizontal="center" vertical="bottom"/>
    </xf>
    <xf borderId="2" fillId="0" fontId="39" numFmtId="0" xfId="0" applyAlignment="1" applyBorder="1" applyFont="1">
      <alignment vertical="bottom"/>
    </xf>
    <xf borderId="4" fillId="0" fontId="66" numFmtId="0" xfId="0" applyAlignment="1" applyBorder="1" applyFont="1">
      <alignment horizontal="center" vertical="bottom"/>
    </xf>
    <xf borderId="2" fillId="11" fontId="66" numFmtId="0" xfId="0" applyAlignment="1" applyBorder="1" applyFont="1">
      <alignment vertical="bottom"/>
    </xf>
    <xf borderId="2" fillId="11" fontId="39" numFmtId="0" xfId="0" applyAlignment="1" applyBorder="1" applyFont="1">
      <alignment vertical="bottom"/>
    </xf>
    <xf borderId="0" fillId="0" fontId="40" numFmtId="0" xfId="0" applyFont="1"/>
    <xf borderId="0" fillId="35" fontId="48" numFmtId="0" xfId="0" applyFill="1" applyFont="1"/>
    <xf borderId="0" fillId="36" fontId="39" numFmtId="0" xfId="0" applyFill="1" applyFont="1"/>
    <xf borderId="0" fillId="4" fontId="64" numFmtId="0" xfId="0" applyFont="1"/>
    <xf borderId="0" fillId="9" fontId="67" numFmtId="168" xfId="0" applyFont="1" applyNumberFormat="1"/>
    <xf borderId="0" fillId="0" fontId="39" numFmtId="0" xfId="0" applyAlignment="1" applyFont="1">
      <alignment vertical="bottom"/>
    </xf>
    <xf borderId="0" fillId="0" fontId="39" numFmtId="0" xfId="0" applyAlignment="1" applyFont="1">
      <alignment horizontal="right" vertical="bottom"/>
    </xf>
    <xf borderId="0" fillId="0" fontId="39" numFmtId="3" xfId="0" applyAlignment="1" applyFont="1" applyNumberFormat="1">
      <alignment horizontal="right" vertical="bottom"/>
    </xf>
    <xf borderId="0" fillId="18" fontId="68" numFmtId="171" xfId="0" applyFont="1" applyNumberFormat="1"/>
    <xf borderId="1" fillId="2" fontId="1" numFmtId="164" xfId="0" applyAlignment="1" applyBorder="1" applyFont="1" applyNumberFormat="1">
      <alignment horizontal="center" shrinkToFit="0" vertical="center" wrapText="0"/>
    </xf>
    <xf borderId="3" fillId="2" fontId="1" numFmtId="0" xfId="0" applyAlignment="1" applyBorder="1" applyFont="1">
      <alignment horizontal="center" shrinkToFit="0" vertical="center" wrapText="0"/>
    </xf>
    <xf borderId="5" fillId="2" fontId="1" numFmtId="0" xfId="0" applyAlignment="1" applyBorder="1" applyFont="1">
      <alignment horizontal="center" shrinkToFit="0" vertical="center" wrapText="0"/>
    </xf>
    <xf borderId="5" fillId="2" fontId="1" numFmtId="49" xfId="0" applyAlignment="1" applyBorder="1" applyFont="1" applyNumberFormat="1">
      <alignment horizontal="center" shrinkToFit="0" vertical="center" wrapText="0"/>
    </xf>
    <xf borderId="1" fillId="2" fontId="1" numFmtId="49" xfId="0" applyAlignment="1" applyBorder="1" applyFont="1" applyNumberFormat="1">
      <alignment horizontal="center" shrinkToFit="0" vertical="center" wrapText="0"/>
    </xf>
    <xf borderId="0" fillId="2" fontId="1" numFmtId="0" xfId="0" applyAlignment="1" applyFont="1">
      <alignment horizontal="center" shrinkToFit="0" vertical="center" wrapText="1"/>
    </xf>
    <xf borderId="3" fillId="3" fontId="1" numFmtId="49" xfId="0" applyAlignment="1" applyBorder="1" applyFont="1" applyNumberFormat="1">
      <alignment horizontal="center" shrinkToFit="0" vertical="center" wrapText="0"/>
    </xf>
    <xf borderId="3" fillId="3" fontId="1" numFmtId="0" xfId="0" applyAlignment="1" applyBorder="1" applyFont="1">
      <alignment horizontal="center" shrinkToFit="0" vertical="center" wrapText="0"/>
    </xf>
    <xf borderId="3" fillId="4" fontId="69" numFmtId="164" xfId="0" applyAlignment="1" applyBorder="1" applyFont="1" applyNumberFormat="1">
      <alignment shrinkToFit="0" wrapText="0"/>
    </xf>
    <xf borderId="3" fillId="0" fontId="39" numFmtId="0" xfId="0" applyAlignment="1" applyBorder="1" applyFont="1">
      <alignment shrinkToFit="0" wrapText="0"/>
    </xf>
    <xf borderId="3" fillId="0" fontId="39" numFmtId="49" xfId="0" applyAlignment="1" applyBorder="1" applyFont="1" applyNumberFormat="1">
      <alignment shrinkToFit="0" wrapText="0"/>
    </xf>
    <xf borderId="0" fillId="0" fontId="39" numFmtId="164" xfId="0" applyFont="1" applyNumberFormat="1"/>
    <xf borderId="3" fillId="0" fontId="39" numFmtId="164" xfId="0" applyAlignment="1" applyBorder="1" applyFont="1" applyNumberFormat="1">
      <alignment shrinkToFit="0" wrapText="0"/>
    </xf>
    <xf borderId="0" fillId="0" fontId="39" numFmtId="168" xfId="0" applyFont="1" applyNumberFormat="1"/>
    <xf borderId="0" fillId="0" fontId="39" numFmtId="171" xfId="0" applyFont="1" applyNumberFormat="1"/>
    <xf borderId="0" fillId="0" fontId="39" numFmtId="169" xfId="0" applyFont="1" applyNumberFormat="1"/>
    <xf borderId="3" fillId="0" fontId="42" numFmtId="0" xfId="0" applyAlignment="1" applyBorder="1" applyFont="1">
      <alignment shrinkToFit="0" wrapText="0"/>
    </xf>
    <xf borderId="0" fillId="0" fontId="70" numFmtId="0" xfId="0" applyFont="1"/>
    <xf borderId="3" fillId="0" fontId="48" numFmtId="0" xfId="0" applyAlignment="1" applyBorder="1" applyFont="1">
      <alignment horizontal="center" vertical="bottom"/>
    </xf>
    <xf borderId="3" fillId="0" fontId="71" numFmtId="0" xfId="0" applyAlignment="1" applyBorder="1" applyFont="1">
      <alignment vertical="bottom"/>
    </xf>
    <xf borderId="3" fillId="0" fontId="48" numFmtId="0" xfId="0" applyAlignment="1" applyBorder="1" applyFont="1">
      <alignment vertical="bottom"/>
    </xf>
    <xf borderId="3" fillId="0" fontId="21" numFmtId="0" xfId="0" applyAlignment="1" applyBorder="1" applyFont="1">
      <alignment horizontal="center" vertical="bottom"/>
    </xf>
    <xf borderId="3" fillId="0" fontId="72" numFmtId="0" xfId="0" applyAlignment="1" applyBorder="1" applyFont="1">
      <alignment vertical="bottom"/>
    </xf>
    <xf borderId="3" fillId="0" fontId="21" numFmtId="0" xfId="0" applyAlignment="1" applyBorder="1" applyFont="1">
      <alignment vertical="bottom"/>
    </xf>
    <xf borderId="0" fillId="6" fontId="73" numFmtId="0" xfId="0" applyFont="1"/>
    <xf borderId="0" fillId="6" fontId="74" numFmtId="0" xfId="0" applyFont="1"/>
    <xf borderId="0" fillId="6" fontId="39" numFmtId="0" xfId="0" applyFont="1"/>
    <xf quotePrefix="1" borderId="3" fillId="0" fontId="21" numFmtId="0" xfId="0" applyAlignment="1" applyBorder="1" applyFont="1">
      <alignment horizontal="center" vertical="bottom"/>
    </xf>
    <xf borderId="3" fillId="0" fontId="21" numFmtId="166" xfId="0" applyAlignment="1" applyBorder="1" applyFont="1" applyNumberFormat="1">
      <alignment horizontal="center" vertical="bottom"/>
    </xf>
    <xf borderId="3" fillId="0" fontId="21" numFmtId="168" xfId="0" applyAlignment="1" applyBorder="1" applyFont="1" applyNumberFormat="1">
      <alignment horizontal="center" vertical="bottom"/>
    </xf>
    <xf borderId="3" fillId="0" fontId="39" numFmtId="0" xfId="0" applyAlignment="1" applyBorder="1" applyFont="1">
      <alignment vertical="bottom"/>
    </xf>
    <xf borderId="3" fillId="0" fontId="21" numFmtId="178" xfId="0" applyAlignment="1" applyBorder="1" applyFont="1" applyNumberFormat="1">
      <alignment horizontal="center" vertical="bottom"/>
    </xf>
    <xf borderId="3" fillId="37" fontId="72" numFmtId="0" xfId="0" applyAlignment="1" applyBorder="1" applyFill="1" applyFont="1">
      <alignment vertical="bottom"/>
    </xf>
    <xf borderId="3" fillId="0" fontId="39" numFmtId="168" xfId="0" applyAlignment="1" applyBorder="1" applyFont="1" applyNumberFormat="1">
      <alignment horizontal="center" vertical="bottom"/>
    </xf>
    <xf quotePrefix="1" borderId="3" fillId="0" fontId="39" numFmtId="0" xfId="0" applyAlignment="1" applyBorder="1" applyFont="1">
      <alignment vertical="bottom"/>
    </xf>
    <xf borderId="3" fillId="0" fontId="39" numFmtId="0" xfId="0" applyAlignment="1" applyBorder="1" applyFont="1">
      <alignment horizontal="center" vertical="bottom"/>
    </xf>
    <xf borderId="3" fillId="0" fontId="39" numFmtId="166" xfId="0" applyAlignment="1" applyBorder="1" applyFont="1" applyNumberFormat="1">
      <alignment horizontal="center" vertical="bottom"/>
    </xf>
    <xf borderId="3" fillId="0" fontId="39" numFmtId="0" xfId="0" applyAlignment="1" applyBorder="1" applyFont="1">
      <alignment horizontal="right" vertical="bottom"/>
    </xf>
    <xf borderId="3" fillId="4" fontId="72" numFmtId="0" xfId="0" applyAlignment="1" applyBorder="1" applyFont="1">
      <alignment vertical="bottom"/>
    </xf>
    <xf quotePrefix="1" borderId="3" fillId="0" fontId="39" numFmtId="0" xfId="0" applyAlignment="1" applyBorder="1" applyFont="1">
      <alignment horizontal="center" vertical="bottom"/>
    </xf>
    <xf borderId="3" fillId="34" fontId="15" numFmtId="0" xfId="0" applyAlignment="1" applyBorder="1" applyFont="1">
      <alignment horizontal="center" shrinkToFit="0" vertical="center" wrapText="1"/>
    </xf>
    <xf borderId="3" fillId="34" fontId="15" numFmtId="164" xfId="0" applyAlignment="1" applyBorder="1" applyFont="1" applyNumberFormat="1">
      <alignment horizontal="center" shrinkToFit="0" vertical="center" wrapText="1"/>
    </xf>
    <xf borderId="3" fillId="34" fontId="75" numFmtId="49" xfId="0" applyAlignment="1" applyBorder="1" applyFont="1" applyNumberFormat="1">
      <alignment horizontal="center" shrinkToFit="0" vertical="center" wrapText="1"/>
    </xf>
    <xf borderId="3" fillId="34" fontId="15" numFmtId="164" xfId="0" applyAlignment="1" applyBorder="1" applyFont="1" applyNumberFormat="1">
      <alignment horizontal="center" shrinkToFit="0" vertical="center" wrapText="0"/>
    </xf>
    <xf borderId="3" fillId="34" fontId="2" numFmtId="164" xfId="0" applyAlignment="1" applyBorder="1" applyFont="1" applyNumberFormat="1">
      <alignment horizontal="center" shrinkToFit="0" vertical="center" wrapText="1"/>
    </xf>
    <xf borderId="3" fillId="34" fontId="15" numFmtId="165" xfId="0" applyAlignment="1" applyBorder="1" applyFont="1" applyNumberFormat="1">
      <alignment horizontal="center" shrinkToFit="0" vertical="center" wrapText="1"/>
    </xf>
    <xf borderId="0" fillId="34" fontId="15" numFmtId="165" xfId="0" applyAlignment="1" applyFont="1" applyNumberFormat="1">
      <alignment horizontal="center" shrinkToFit="0" vertical="center" wrapText="1"/>
    </xf>
    <xf borderId="5" fillId="2" fontId="76" numFmtId="49" xfId="0" applyAlignment="1" applyBorder="1" applyFont="1" applyNumberFormat="1">
      <alignment horizontal="center" shrinkToFit="0" vertical="center" wrapText="1"/>
    </xf>
    <xf borderId="3" fillId="3" fontId="76" numFmtId="49" xfId="0" applyAlignment="1" applyBorder="1" applyFont="1" applyNumberFormat="1">
      <alignment horizontal="center" shrinkToFit="0" vertical="center" wrapText="1"/>
    </xf>
    <xf borderId="3" fillId="0" fontId="19" numFmtId="49" xfId="0" applyAlignment="1" applyBorder="1" applyFont="1" applyNumberFormat="1">
      <alignment horizontal="center" shrinkToFit="0" vertical="center" wrapText="1"/>
    </xf>
    <xf borderId="3" fillId="0" fontId="77" numFmtId="0" xfId="0" applyAlignment="1" applyBorder="1" applyFont="1">
      <alignment horizontal="center" shrinkToFit="0" vertical="center" wrapText="0"/>
    </xf>
    <xf borderId="3" fillId="4" fontId="29" numFmtId="0" xfId="0" applyAlignment="1" applyBorder="1" applyFont="1">
      <alignment horizontal="left"/>
    </xf>
    <xf borderId="3" fillId="5" fontId="19" numFmtId="49" xfId="0" applyAlignment="1" applyBorder="1" applyFont="1" applyNumberFormat="1">
      <alignment horizontal="center" shrinkToFit="0" vertical="center" wrapText="1"/>
    </xf>
    <xf borderId="3" fillId="4" fontId="24" numFmtId="49" xfId="0" applyAlignment="1" applyBorder="1" applyFont="1" applyNumberFormat="1">
      <alignment horizontal="center" shrinkToFit="0" vertical="center" wrapText="1"/>
    </xf>
    <xf borderId="3" fillId="4" fontId="4" numFmtId="0" xfId="0" applyAlignment="1" applyBorder="1" applyFont="1">
      <alignment horizontal="center" shrinkToFit="0" vertical="center" wrapText="0"/>
    </xf>
    <xf quotePrefix="1" borderId="3" fillId="0" fontId="19" numFmtId="49" xfId="0" applyAlignment="1" applyBorder="1" applyFont="1" applyNumberFormat="1">
      <alignment horizontal="center" shrinkToFit="0" vertical="center" wrapText="1"/>
    </xf>
    <xf borderId="3" fillId="7" fontId="19" numFmtId="49" xfId="0" applyAlignment="1" applyBorder="1" applyFont="1" applyNumberFormat="1">
      <alignment horizontal="center" shrinkToFit="0" vertical="center" wrapText="1"/>
    </xf>
    <xf borderId="3" fillId="7" fontId="4" numFmtId="0" xfId="0" applyAlignment="1" applyBorder="1" applyFont="1">
      <alignment horizontal="center" shrinkToFit="0" vertical="center" wrapText="0"/>
    </xf>
    <xf borderId="1" fillId="8" fontId="24" numFmtId="49" xfId="0" applyAlignment="1" applyBorder="1" applyFont="1" applyNumberFormat="1">
      <alignment horizontal="center" shrinkToFit="0" vertical="center" wrapText="1"/>
    </xf>
    <xf borderId="1" fillId="0" fontId="78" numFmtId="0" xfId="0" applyAlignment="1" applyBorder="1" applyFont="1">
      <alignment horizontal="center" shrinkToFit="0" vertical="center" wrapText="0"/>
    </xf>
    <xf borderId="3" fillId="8" fontId="24" numFmtId="49" xfId="0" applyAlignment="1" applyBorder="1" applyFont="1" applyNumberFormat="1">
      <alignment horizontal="center" shrinkToFit="0" vertical="center" wrapText="1"/>
    </xf>
    <xf borderId="3" fillId="0" fontId="79" numFmtId="0" xfId="0" applyAlignment="1" applyBorder="1" applyFont="1">
      <alignment shrinkToFit="0" vertical="center" wrapText="0"/>
    </xf>
    <xf borderId="3" fillId="8" fontId="80" numFmtId="49" xfId="0" applyAlignment="1" applyBorder="1" applyFont="1" applyNumberFormat="1">
      <alignment horizontal="center" vertical="center"/>
    </xf>
    <xf borderId="3" fillId="8" fontId="24" numFmtId="49" xfId="0" applyAlignment="1" applyBorder="1" applyFont="1" applyNumberFormat="1">
      <alignment horizontal="center" vertical="center"/>
    </xf>
    <xf borderId="3" fillId="4" fontId="6" numFmtId="0" xfId="0" applyAlignment="1" applyBorder="1" applyFont="1">
      <alignment horizontal="center" vertical="center"/>
    </xf>
    <xf borderId="3" fillId="9" fontId="19" numFmtId="49" xfId="0" applyAlignment="1" applyBorder="1" applyFont="1" applyNumberFormat="1">
      <alignment horizontal="center" shrinkToFit="0" vertical="center" wrapText="1"/>
    </xf>
    <xf borderId="3" fillId="0" fontId="19" numFmtId="49" xfId="0" applyAlignment="1" applyBorder="1" applyFont="1" applyNumberFormat="1">
      <alignment horizontal="center" shrinkToFit="0" vertical="top" wrapText="1"/>
    </xf>
    <xf borderId="3" fillId="0" fontId="4" numFmtId="0" xfId="0" applyAlignment="1" applyBorder="1" applyFont="1">
      <alignment horizontal="center" shrinkToFit="0" vertical="top" wrapText="0"/>
    </xf>
    <xf quotePrefix="1" borderId="3" fillId="0" fontId="19" numFmtId="49" xfId="0" applyAlignment="1" applyBorder="1" applyFont="1" applyNumberFormat="1">
      <alignment horizontal="center" vertical="center"/>
    </xf>
    <xf borderId="3" fillId="13" fontId="30" numFmtId="0" xfId="0" applyAlignment="1" applyBorder="1" applyFont="1">
      <alignment horizontal="center" shrinkToFit="0" vertical="center" wrapText="0"/>
    </xf>
    <xf borderId="3" fillId="13" fontId="30" numFmtId="0" xfId="0" applyAlignment="1" applyBorder="1" applyFont="1">
      <alignment shrinkToFit="0" vertical="center" wrapText="0"/>
    </xf>
    <xf borderId="3" fillId="13" fontId="24" numFmtId="49" xfId="0" applyAlignment="1" applyBorder="1" applyFont="1" applyNumberFormat="1">
      <alignment horizontal="center" shrinkToFit="0" vertical="center" wrapText="0"/>
    </xf>
    <xf borderId="3" fillId="13" fontId="19" numFmtId="49" xfId="0" applyAlignment="1" applyBorder="1" applyFont="1" applyNumberFormat="1">
      <alignment horizontal="center" shrinkToFit="0" vertical="center" wrapText="1"/>
    </xf>
    <xf borderId="3" fillId="0" fontId="81" numFmtId="49" xfId="0" applyAlignment="1" applyBorder="1" applyFont="1" applyNumberFormat="1">
      <alignment horizontal="center" vertical="center"/>
    </xf>
    <xf borderId="3" fillId="13" fontId="28" numFmtId="0" xfId="0" applyAlignment="1" applyBorder="1" applyFont="1">
      <alignment horizontal="center" vertical="center"/>
    </xf>
    <xf borderId="3" fillId="13" fontId="28" numFmtId="0" xfId="0" applyAlignment="1" applyBorder="1" applyFont="1">
      <alignment vertical="center"/>
    </xf>
    <xf borderId="3" fillId="0" fontId="24" numFmtId="49" xfId="0" applyAlignment="1" applyBorder="1" applyFont="1" applyNumberFormat="1">
      <alignment horizontal="center" shrinkToFit="0" vertical="center" wrapText="0"/>
    </xf>
    <xf borderId="3" fillId="0" fontId="6" numFmtId="0" xfId="0" applyAlignment="1" applyBorder="1" applyFont="1">
      <alignment horizontal="center" shrinkToFit="0" vertical="center" wrapText="0"/>
    </xf>
    <xf borderId="3" fillId="4" fontId="80" numFmtId="49" xfId="0" applyAlignment="1" applyBorder="1" applyFont="1" applyNumberFormat="1">
      <alignment horizontal="center" vertical="center"/>
    </xf>
    <xf borderId="3" fillId="4" fontId="24" numFmtId="49" xfId="0" applyAlignment="1" applyBorder="1" applyFont="1" applyNumberFormat="1">
      <alignment horizontal="center" vertical="center"/>
    </xf>
    <xf borderId="3" fillId="0" fontId="19" numFmtId="49" xfId="0" applyAlignment="1" applyBorder="1" applyFont="1" applyNumberFormat="1">
      <alignment horizontal="center" vertical="center"/>
    </xf>
    <xf borderId="3" fillId="0" fontId="80" numFmtId="49" xfId="0" applyAlignment="1" applyBorder="1" applyFont="1" applyNumberFormat="1">
      <alignment horizontal="center" shrinkToFit="0" vertical="center" wrapText="1"/>
    </xf>
    <xf borderId="3" fillId="4" fontId="33" numFmtId="0" xfId="0" applyAlignment="1" applyBorder="1" applyFont="1">
      <alignment horizontal="center" vertical="center"/>
    </xf>
    <xf borderId="3" fillId="15" fontId="19" numFmtId="49" xfId="0" applyAlignment="1" applyBorder="1" applyFont="1" applyNumberFormat="1">
      <alignment horizontal="center" shrinkToFit="0" vertical="center" wrapText="1"/>
    </xf>
    <xf borderId="3" fillId="15" fontId="4" numFmtId="0" xfId="0" applyAlignment="1" applyBorder="1" applyFont="1">
      <alignment horizontal="center" shrinkToFit="0" vertical="center" wrapText="0"/>
    </xf>
    <xf borderId="3" fillId="15" fontId="82" numFmtId="0" xfId="0" applyAlignment="1" applyBorder="1" applyFont="1">
      <alignment horizontal="center" shrinkToFit="0" vertical="center" wrapText="0"/>
    </xf>
    <xf borderId="3" fillId="0" fontId="83" numFmtId="0" xfId="0" applyAlignment="1" applyBorder="1" applyFont="1">
      <alignment horizontal="center" shrinkToFit="0" vertical="top" wrapText="0"/>
    </xf>
    <xf borderId="1" fillId="0" fontId="19" numFmtId="49" xfId="0" applyAlignment="1" applyBorder="1" applyFont="1" applyNumberFormat="1">
      <alignment horizontal="center" shrinkToFit="0" vertical="center" wrapText="1"/>
    </xf>
    <xf borderId="36" fillId="0" fontId="39" numFmtId="0" xfId="0" applyBorder="1" applyFont="1"/>
    <xf borderId="3" fillId="4" fontId="6" numFmtId="0" xfId="0" applyAlignment="1" applyBorder="1" applyFont="1">
      <alignment horizontal="center"/>
    </xf>
    <xf borderId="3" fillId="4" fontId="6" numFmtId="168" xfId="0" applyAlignment="1" applyBorder="1" applyFont="1" applyNumberFormat="1">
      <alignment horizontal="center"/>
    </xf>
    <xf borderId="3" fillId="0" fontId="19" numFmtId="49" xfId="0" applyAlignment="1" applyBorder="1" applyFont="1" applyNumberFormat="1">
      <alignment horizontal="center"/>
    </xf>
    <xf quotePrefix="1" borderId="3" fillId="0" fontId="19" numFmtId="49" xfId="0" applyAlignment="1" applyBorder="1" applyFont="1" applyNumberFormat="1">
      <alignment horizontal="center"/>
    </xf>
    <xf borderId="3" fillId="0" fontId="19" numFmtId="49" xfId="0" applyAlignment="1" applyBorder="1" applyFont="1" applyNumberFormat="1">
      <alignment horizontal="center" vertical="bottom"/>
    </xf>
    <xf borderId="3" fillId="18" fontId="19" numFmtId="49" xfId="0" applyAlignment="1" applyBorder="1" applyFont="1" applyNumberFormat="1">
      <alignment horizontal="center" shrinkToFit="0" vertical="center" wrapText="1"/>
    </xf>
    <xf borderId="3" fillId="0" fontId="19" numFmtId="0" xfId="0" applyAlignment="1" applyBorder="1" applyFont="1">
      <alignment horizontal="center" vertical="bottom"/>
    </xf>
    <xf borderId="3" fillId="8" fontId="10" numFmtId="49" xfId="0" applyAlignment="1" applyBorder="1" applyFont="1" applyNumberFormat="1">
      <alignment horizontal="center" vertical="center"/>
    </xf>
    <xf borderId="3" fillId="4" fontId="36" numFmtId="0" xfId="0" applyAlignment="1" applyBorder="1" applyFont="1">
      <alignment horizontal="center" vertical="center"/>
    </xf>
    <xf borderId="3" fillId="8" fontId="24" numFmtId="49" xfId="0" applyAlignment="1" applyBorder="1" applyFont="1" applyNumberFormat="1">
      <alignment horizontal="center"/>
    </xf>
    <xf borderId="3" fillId="4" fontId="84" numFmtId="49" xfId="0" applyAlignment="1" applyBorder="1" applyFont="1" applyNumberFormat="1">
      <alignment horizontal="center"/>
    </xf>
    <xf borderId="0" fillId="8" fontId="85" numFmtId="49" xfId="0" applyFont="1" applyNumberFormat="1"/>
    <xf borderId="3" fillId="20" fontId="24" numFmtId="49" xfId="0" applyAlignment="1" applyBorder="1" applyFont="1" applyNumberFormat="1">
      <alignment horizontal="center"/>
    </xf>
    <xf borderId="3" fillId="21" fontId="84" numFmtId="49" xfId="0" applyAlignment="1" applyBorder="1" applyFont="1" applyNumberFormat="1">
      <alignment horizontal="center"/>
    </xf>
    <xf borderId="3" fillId="0" fontId="34" numFmtId="0" xfId="0" applyAlignment="1" applyBorder="1" applyFont="1">
      <alignment horizontal="center" vertical="center"/>
    </xf>
    <xf borderId="3" fillId="4" fontId="19" numFmtId="0" xfId="0" applyAlignment="1" applyBorder="1" applyFont="1">
      <alignment horizontal="center" vertical="center"/>
    </xf>
    <xf quotePrefix="1" borderId="3" fillId="0" fontId="19" numFmtId="0" xfId="0" applyAlignment="1" applyBorder="1" applyFont="1">
      <alignment horizontal="center" shrinkToFit="0" vertical="center" wrapText="1"/>
    </xf>
    <xf borderId="3" fillId="4" fontId="1" numFmtId="0" xfId="0" applyAlignment="1" applyBorder="1" applyFont="1">
      <alignment horizontal="right"/>
    </xf>
    <xf borderId="3" fillId="4" fontId="1" numFmtId="0" xfId="0" applyBorder="1" applyFont="1"/>
    <xf borderId="3" fillId="4" fontId="4" numFmtId="0" xfId="0" applyBorder="1" applyFont="1"/>
    <xf borderId="3" fillId="4" fontId="1" numFmtId="0" xfId="0" applyAlignment="1" applyBorder="1" applyFont="1">
      <alignment horizontal="center"/>
    </xf>
    <xf borderId="3" fillId="4" fontId="76" numFmtId="0" xfId="0" applyAlignment="1" applyBorder="1" applyFont="1">
      <alignment horizontal="center"/>
    </xf>
    <xf borderId="3" fillId="4" fontId="1" numFmtId="0" xfId="0" applyAlignment="1" applyBorder="1" applyFont="1">
      <alignment horizontal="center" vertical="center"/>
    </xf>
    <xf borderId="3" fillId="4" fontId="86" numFmtId="49" xfId="0" applyAlignment="1" applyBorder="1" applyFont="1" applyNumberFormat="1">
      <alignment horizontal="center" vertical="center"/>
    </xf>
    <xf borderId="3" fillId="4" fontId="86" numFmtId="49" xfId="0" applyAlignment="1" applyBorder="1" applyFont="1" applyNumberFormat="1">
      <alignment horizontal="center"/>
    </xf>
    <xf borderId="3" fillId="8" fontId="38" numFmtId="0" xfId="0" applyBorder="1" applyFont="1"/>
    <xf borderId="0" fillId="4" fontId="20" numFmtId="0" xfId="0" applyFont="1"/>
    <xf borderId="3" fillId="8" fontId="80" numFmtId="49" xfId="0" applyAlignment="1" applyBorder="1" applyFont="1" applyNumberFormat="1">
      <alignment horizontal="center"/>
    </xf>
    <xf borderId="0" fillId="4" fontId="24" numFmtId="49" xfId="0" applyAlignment="1" applyFont="1" applyNumberFormat="1">
      <alignment horizontal="center"/>
    </xf>
    <xf quotePrefix="1" borderId="0" fillId="0" fontId="39" numFmtId="0" xfId="0" applyAlignment="1" applyFont="1">
      <alignment vertical="bottom"/>
    </xf>
    <xf quotePrefix="1" borderId="0" fillId="0" fontId="54" numFmtId="0" xfId="0" applyAlignment="1" applyFont="1">
      <alignment vertical="bottom"/>
    </xf>
    <xf quotePrefix="1" borderId="0" fillId="0" fontId="54" numFmtId="0" xfId="0" applyFont="1"/>
    <xf quotePrefix="1" borderId="0" fillId="0" fontId="39" numFmtId="0" xfId="0" applyAlignment="1" applyFont="1">
      <alignment vertical="center"/>
    </xf>
    <xf borderId="3" fillId="13" fontId="33" numFmtId="0" xfId="0" applyAlignment="1" applyBorder="1" applyFont="1">
      <alignment vertical="center"/>
    </xf>
    <xf borderId="0" fillId="4" fontId="6" numFmtId="0" xfId="0" applyAlignment="1" applyFont="1">
      <alignment horizontal="center" vertical="center"/>
    </xf>
    <xf borderId="7" fillId="0" fontId="39" numFmtId="0" xfId="0" applyBorder="1" applyFont="1"/>
    <xf borderId="4" fillId="0" fontId="39" numFmtId="0" xfId="0" applyBorder="1" applyFont="1"/>
    <xf borderId="3" fillId="0" fontId="43" numFmtId="0" xfId="0" applyAlignment="1" applyBorder="1" applyFont="1">
      <alignment shrinkToFit="0" vertical="bottom" wrapText="0"/>
    </xf>
    <xf borderId="3" fillId="0" fontId="24" numFmtId="0" xfId="0" applyAlignment="1" applyBorder="1" applyFont="1">
      <alignment shrinkToFit="0" vertical="bottom" wrapText="0"/>
    </xf>
    <xf borderId="0" fillId="0" fontId="11" numFmtId="0" xfId="0" applyAlignment="1" applyFont="1">
      <alignment horizontal="center"/>
    </xf>
    <xf borderId="3" fillId="0" fontId="11" numFmtId="14" xfId="0" applyAlignment="1" applyBorder="1" applyFont="1" applyNumberFormat="1">
      <alignment horizontal="center"/>
    </xf>
    <xf quotePrefix="1" borderId="0" fillId="0" fontId="11" numFmtId="0" xfId="0" applyAlignment="1" applyFont="1">
      <alignment horizontal="center"/>
    </xf>
    <xf borderId="3" fillId="0" fontId="11" numFmtId="0" xfId="0" applyAlignment="1" applyBorder="1" applyFont="1">
      <alignment horizontal="center" shrinkToFit="0" vertical="center" wrapText="0"/>
    </xf>
    <xf borderId="3" fillId="0" fontId="24" numFmtId="49" xfId="0" applyAlignment="1" applyBorder="1" applyFont="1" applyNumberFormat="1">
      <alignment horizontal="center" shrinkToFit="0" vertical="center" wrapText="1"/>
    </xf>
    <xf borderId="0" fillId="8" fontId="38" numFmtId="0" xfId="0" applyFont="1"/>
  </cellXfs>
  <cellStyles count="1">
    <cellStyle xfId="0" name="Normal" builtinId="0"/>
  </cellStyles>
  <dxfs count="18">
    <dxf>
      <font>
        <b/>
        <color rgb="FFFFFFFF"/>
      </font>
      <fill>
        <patternFill patternType="solid">
          <fgColor rgb="FFFF0000"/>
          <bgColor rgb="FFFF0000"/>
        </patternFill>
      </fill>
      <border/>
    </dxf>
    <dxf>
      <font>
        <b/>
      </font>
      <fill>
        <patternFill patternType="solid">
          <fgColor rgb="FFFFFF00"/>
          <bgColor rgb="FFFFFF00"/>
        </patternFill>
      </fill>
      <border/>
    </dxf>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00FFFF"/>
          <bgColor rgb="FF00FFFF"/>
        </patternFill>
      </fill>
      <border/>
    </dxf>
    <dxf>
      <font/>
      <fill>
        <patternFill patternType="solid">
          <fgColor rgb="FFFF9900"/>
          <bgColor rgb="FFFF9900"/>
        </patternFill>
      </fill>
      <border/>
    </dxf>
    <dxf>
      <font/>
      <fill>
        <patternFill patternType="solid">
          <fgColor rgb="FFFF00FF"/>
          <bgColor rgb="FFFF00FF"/>
        </patternFill>
      </fill>
      <border/>
    </dxf>
    <dxf>
      <font/>
      <fill>
        <patternFill patternType="solid">
          <fgColor rgb="FFFFFF00"/>
          <bgColor rgb="FFFFFF00"/>
        </patternFill>
      </fill>
      <border/>
    </dxf>
    <dxf>
      <font>
        <b/>
        <color rgb="FFCC0000"/>
      </font>
      <fill>
        <patternFill patternType="solid">
          <fgColor rgb="FFC9DAF8"/>
          <bgColor rgb="FFC9DAF8"/>
        </patternFill>
      </fill>
      <border/>
    </dxf>
    <dxf>
      <font>
        <b/>
      </font>
      <fill>
        <patternFill patternType="solid">
          <fgColor rgb="FFFCE8B2"/>
          <bgColor rgb="FFFCE8B2"/>
        </patternFill>
      </fill>
      <border/>
    </dxf>
    <dxf>
      <font>
        <b/>
      </font>
      <fill>
        <patternFill patternType="solid">
          <fgColor rgb="FFF4C7C3"/>
          <bgColor rgb="FFF4C7C3"/>
        </patternFill>
      </fill>
      <border/>
    </dxf>
    <dxf>
      <font/>
      <fill>
        <patternFill patternType="solid">
          <fgColor rgb="FFB4A7D6"/>
          <bgColor rgb="FFB4A7D6"/>
        </patternFill>
      </fill>
      <border/>
    </dxf>
    <dxf>
      <font/>
      <fill>
        <patternFill patternType="solid">
          <fgColor rgb="FFEA9999"/>
          <bgColor rgb="FFEA9999"/>
        </patternFill>
      </fill>
      <border/>
    </dxf>
    <dxf>
      <font/>
      <fill>
        <patternFill patternType="solid">
          <fgColor rgb="FF9FC5E8"/>
          <bgColor rgb="FF9FC5E8"/>
        </patternFill>
      </fill>
      <border/>
    </dxf>
    <dxf>
      <font/>
      <fill>
        <patternFill patternType="solid">
          <fgColor rgb="FFFFF2CC"/>
          <bgColor rgb="FFFFF2CC"/>
        </patternFill>
      </fill>
      <border/>
    </dxf>
    <dxf>
      <font/>
      <fill>
        <patternFill patternType="solid">
          <fgColor rgb="FFF4C7C3"/>
          <bgColor rgb="FFF4C7C3"/>
        </patternFill>
      </fill>
      <border/>
    </dxf>
    <dxf>
      <font/>
      <fill>
        <patternFill patternType="solid">
          <fgColor rgb="FF999999"/>
          <bgColor rgb="FF999999"/>
        </patternFill>
      </fill>
      <border/>
    </dxf>
    <dxf>
      <font/>
      <fill>
        <patternFill patternType="solid">
          <fgColor rgb="FFC9DAF8"/>
          <bgColor rgb="FFC9DAF8"/>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 BÁO CÁO DOANH THU theo ngày</a:t>
            </a:r>
          </a:p>
        </c:rich>
      </c:tx>
      <c:overlay val="0"/>
    </c:title>
    <c:plotArea>
      <c:layout/>
      <c:lineChart>
        <c:varyColors val="0"/>
        <c:ser>
          <c:idx val="0"/>
          <c:order val="0"/>
          <c:spPr>
            <a:ln cmpd="sng">
              <a:solidFill>
                <a:srgbClr val="4285F4"/>
              </a:solidFill>
            </a:ln>
          </c:spPr>
          <c:marker>
            <c:symbol val="none"/>
          </c:marker>
          <c:val>
            <c:numRef>
              <c:f>'DL T12'!$G$4:$G$34</c:f>
              <c:numCache/>
            </c:numRef>
          </c:val>
          <c:smooth val="0"/>
        </c:ser>
        <c:axId val="1245157649"/>
        <c:axId val="1160454748"/>
      </c:lineChart>
      <c:catAx>
        <c:axId val="12451576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60454748"/>
      </c:catAx>
      <c:valAx>
        <c:axId val="1160454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I. BÁO CÁO DOANH THU THEO NHÂN VIÊN/Doanh thu theo ngày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45157649"/>
      </c:valAx>
    </c:plotArea>
    <c:legend>
      <c:legendPos val="r"/>
      <c:overlay val="0"/>
      <c:txPr>
        <a:bodyPr/>
        <a:lstStyle/>
        <a:p>
          <a:pPr lvl="0">
            <a:defRPr b="0" i="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Biểu đồ Doanh thu</a:t>
            </a:r>
          </a:p>
        </c:rich>
      </c:tx>
      <c:overlay val="0"/>
    </c:title>
    <c:plotArea>
      <c:layout/>
      <c:lineChart>
        <c:varyColors val="0"/>
        <c:ser>
          <c:idx val="0"/>
          <c:order val="0"/>
          <c:tx>
            <c:strRef>
              <c:f>'DL T5'!$F$3</c:f>
            </c:strRef>
          </c:tx>
          <c:spPr>
            <a:ln cmpd="sng">
              <a:solidFill>
                <a:srgbClr val="4285F4"/>
              </a:solidFill>
            </a:ln>
          </c:spPr>
          <c:marker>
            <c:symbol val="circle"/>
            <c:size val="2"/>
            <c:spPr>
              <a:solidFill>
                <a:srgbClr val="4285F4"/>
              </a:solidFill>
              <a:ln cmpd="sng">
                <a:solidFill>
                  <a:srgbClr val="4285F4"/>
                </a:solidFill>
              </a:ln>
            </c:spPr>
          </c:marker>
          <c:cat>
            <c:strRef>
              <c:f>'DL T5'!$A$4:$A$34</c:f>
            </c:strRef>
          </c:cat>
          <c:val>
            <c:numRef>
              <c:f>'DL T5'!$F$4:$F$35</c:f>
              <c:numCache/>
            </c:numRef>
          </c:val>
          <c:smooth val="0"/>
        </c:ser>
        <c:axId val="25278894"/>
        <c:axId val="593371410"/>
      </c:lineChart>
      <c:catAx>
        <c:axId val="2527889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NGÀY</a:t>
                </a:r>
              </a:p>
            </c:rich>
          </c:tx>
          <c:overlay val="0"/>
        </c:title>
        <c:numFmt formatCode="General" sourceLinked="1"/>
        <c:majorTickMark val="none"/>
        <c:minorTickMark val="none"/>
        <c:spPr/>
        <c:txPr>
          <a:bodyPr/>
          <a:lstStyle/>
          <a:p>
            <a:pPr lvl="0">
              <a:defRPr b="0" i="0">
                <a:solidFill>
                  <a:srgbClr val="000000"/>
                </a:solidFill>
                <a:latin typeface="+mn-lt"/>
              </a:defRPr>
            </a:pPr>
          </a:p>
        </c:txPr>
        <c:crossAx val="593371410"/>
      </c:catAx>
      <c:valAx>
        <c:axId val="5933714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Doanh thu theo ngày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5278894"/>
      </c:valAx>
    </c:plotArea>
    <c:legend>
      <c:legendPos val="r"/>
      <c:overlay val="0"/>
      <c:txPr>
        <a:bodyPr/>
        <a:lstStyle/>
        <a:p>
          <a:pPr lvl="0">
            <a:defRPr b="0" i="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BIỂU ĐỒ DOANH THU 2023</a:t>
            </a:r>
          </a:p>
        </c:rich>
      </c:tx>
      <c:overlay val="0"/>
    </c:title>
    <c:plotArea>
      <c:layout/>
      <c:lineChart>
        <c:varyColors val="0"/>
        <c:ser>
          <c:idx val="0"/>
          <c:order val="0"/>
          <c:spPr>
            <a:ln cmpd="sng">
              <a:solidFill>
                <a:srgbClr val="4285F4"/>
              </a:solidFill>
            </a:ln>
          </c:spPr>
          <c:marker>
            <c:symbol val="circle"/>
            <c:size val="2"/>
            <c:spPr>
              <a:solidFill>
                <a:srgbClr val="4285F4"/>
              </a:solidFill>
              <a:ln cmpd="sng">
                <a:solidFill>
                  <a:srgbClr val="4285F4"/>
                </a:solidFill>
              </a:ln>
            </c:spPr>
          </c:marker>
          <c:dLbls>
            <c:numFmt formatCode="General" sourceLinked="1"/>
            <c:txPr>
              <a:bodyPr/>
              <a:lstStyle/>
              <a:p>
                <a:pPr lvl="0">
                  <a:defRPr b="1" i="0"/>
                </a:pPr>
              </a:p>
            </c:txPr>
            <c:showLegendKey val="0"/>
            <c:showVal val="1"/>
            <c:showCatName val="0"/>
            <c:showSerName val="0"/>
            <c:showPercent val="0"/>
            <c:showBubbleSize val="0"/>
          </c:dLbls>
          <c:cat>
            <c:strRef>
              <c:f>'Thống kê năm 2023'!$T$24:$AE$24</c:f>
            </c:strRef>
          </c:cat>
          <c:val>
            <c:numRef>
              <c:f>'Thống kê năm 2023'!$T$32:$AE$32</c:f>
              <c:numCache/>
            </c:numRef>
          </c:val>
          <c:smooth val="0"/>
        </c:ser>
        <c:axId val="1148612525"/>
        <c:axId val="1088966632"/>
      </c:lineChart>
      <c:catAx>
        <c:axId val="11486125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88966632"/>
      </c:catAx>
      <c:valAx>
        <c:axId val="10889666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cross"/>
        <c:tickLblPos val="nextTo"/>
        <c:spPr>
          <a:ln/>
        </c:spPr>
        <c:txPr>
          <a:bodyPr/>
          <a:lstStyle/>
          <a:p>
            <a:pPr lvl="0">
              <a:defRPr b="0" i="0">
                <a:solidFill>
                  <a:srgbClr val="000000"/>
                </a:solidFill>
                <a:latin typeface="+mn-lt"/>
              </a:defRPr>
            </a:pPr>
          </a:p>
        </c:txPr>
        <c:crossAx val="1148612525"/>
      </c:valAx>
    </c:plotArea>
    <c:legend>
      <c:legendPos val="r"/>
      <c:overlay val="0"/>
      <c:txPr>
        <a:bodyPr/>
        <a:lstStyle/>
        <a:p>
          <a:pPr lvl="0">
            <a:defRPr b="0" i="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THỐNG KÊ DOANH THU 2023 THEO NGUỒN/Tổng</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1"/>
            <c:showBubbleSize val="0"/>
            <c:showLeaderLines val="1"/>
          </c:dLbls>
          <c:cat>
            <c:strRef>
              <c:f>'Thống kê năm 2023'!$S$40:$S$49</c:f>
            </c:strRef>
          </c:cat>
          <c:val>
            <c:numRef>
              <c:f>'Thống kê năm 2023'!$AF$40:$AF$49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THỐNG KÊ DATA 2023 PHÂN BỔ THEO NGUỒN/TỔNG</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1"/>
            <c:showBubbleSize val="0"/>
            <c:showLeaderLines val="1"/>
          </c:dLbls>
          <c:cat>
            <c:strRef>
              <c:f>'Thống kê năm 2023'!$B$40:$B$49</c:f>
            </c:strRef>
          </c:cat>
          <c:val>
            <c:numRef>
              <c:f>'Thống kê năm 2023'!$O$40:$O$49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 BÁO CÁO DOANH THU theo ngày</a:t>
            </a:r>
          </a:p>
        </c:rich>
      </c:tx>
      <c:overlay val="0"/>
    </c:title>
    <c:plotArea>
      <c:layout/>
      <c:lineChart>
        <c:varyColors val="0"/>
        <c:ser>
          <c:idx val="0"/>
          <c:order val="0"/>
          <c:spPr>
            <a:ln cmpd="sng">
              <a:solidFill>
                <a:srgbClr val="4285F4"/>
              </a:solidFill>
            </a:ln>
          </c:spPr>
          <c:marker>
            <c:symbol val="none"/>
          </c:marker>
          <c:val>
            <c:numRef>
              <c:f>'DL T11'!$G$4:$G$33</c:f>
              <c:numCache/>
            </c:numRef>
          </c:val>
          <c:smooth val="0"/>
        </c:ser>
        <c:axId val="1477206870"/>
        <c:axId val="936670664"/>
      </c:lineChart>
      <c:catAx>
        <c:axId val="14772068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36670664"/>
      </c:catAx>
      <c:valAx>
        <c:axId val="9366706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I. BÁO CÁO DOANH THU THEO NHÂN VIÊN/Doanh thu theo ngày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477206870"/>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 BÁO CÁO DOANH THU theo ngày</a:t>
            </a:r>
          </a:p>
        </c:rich>
      </c:tx>
      <c:overlay val="0"/>
    </c:title>
    <c:plotArea>
      <c:layout/>
      <c:lineChart>
        <c:varyColors val="0"/>
        <c:ser>
          <c:idx val="0"/>
          <c:order val="0"/>
          <c:spPr>
            <a:ln cmpd="sng">
              <a:solidFill>
                <a:srgbClr val="4285F4"/>
              </a:solidFill>
            </a:ln>
          </c:spPr>
          <c:marker>
            <c:symbol val="none"/>
          </c:marker>
          <c:val>
            <c:numRef>
              <c:f>'DL T10'!$G$4:$G$34</c:f>
              <c:numCache/>
            </c:numRef>
          </c:val>
          <c:smooth val="0"/>
        </c:ser>
        <c:axId val="413060886"/>
        <c:axId val="817863833"/>
      </c:lineChart>
      <c:catAx>
        <c:axId val="4130608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817863833"/>
      </c:catAx>
      <c:valAx>
        <c:axId val="8178638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I. BÁO CÁO DOANH THU THEO NHÂN VIÊN/Doanh thu theo ngày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13060886"/>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 BÁO CÁO DOANH THU theo ngày</a:t>
            </a:r>
          </a:p>
        </c:rich>
      </c:tx>
      <c:overlay val="0"/>
    </c:title>
    <c:plotArea>
      <c:layout/>
      <c:lineChart>
        <c:varyColors val="0"/>
        <c:ser>
          <c:idx val="0"/>
          <c:order val="0"/>
          <c:spPr>
            <a:ln cmpd="sng">
              <a:solidFill>
                <a:srgbClr val="4285F4"/>
              </a:solidFill>
            </a:ln>
          </c:spPr>
          <c:marker>
            <c:symbol val="none"/>
          </c:marker>
          <c:val>
            <c:numRef>
              <c:f>'DL T9'!$G$4:$G$33</c:f>
              <c:numCache/>
            </c:numRef>
          </c:val>
          <c:smooth val="0"/>
        </c:ser>
        <c:axId val="1714336243"/>
        <c:axId val="1041438263"/>
      </c:lineChart>
      <c:catAx>
        <c:axId val="17143362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41438263"/>
      </c:catAx>
      <c:valAx>
        <c:axId val="10414382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I. BÁO CÁO DOANH THU THEO NHÂN VIÊN/Doanh thu theo ngày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14336243"/>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 BÁO CÁO DOANH THU theo ngày</a:t>
            </a:r>
          </a:p>
        </c:rich>
      </c:tx>
      <c:overlay val="0"/>
    </c:title>
    <c:plotArea>
      <c:layout/>
      <c:lineChart>
        <c:varyColors val="0"/>
        <c:ser>
          <c:idx val="0"/>
          <c:order val="0"/>
          <c:spPr>
            <a:ln cmpd="sng">
              <a:solidFill>
                <a:srgbClr val="4285F4"/>
              </a:solidFill>
            </a:ln>
          </c:spPr>
          <c:marker>
            <c:symbol val="none"/>
          </c:marker>
          <c:val>
            <c:numRef>
              <c:f>'DL T8'!$G$4:$G$33</c:f>
              <c:numCache/>
            </c:numRef>
          </c:val>
          <c:smooth val="0"/>
        </c:ser>
        <c:axId val="548452698"/>
        <c:axId val="70906081"/>
      </c:lineChart>
      <c:catAx>
        <c:axId val="5484526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70906081"/>
      </c:catAx>
      <c:valAx>
        <c:axId val="709060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I. BÁO CÁO DOANH THU THEO NHÂN VIÊN/Doanh thu theo ngày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48452698"/>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 BÁO CÁO DOANH THU theo ngày</a:t>
            </a:r>
          </a:p>
        </c:rich>
      </c:tx>
      <c:overlay val="0"/>
    </c:title>
    <c:plotArea>
      <c:layout/>
      <c:lineChart>
        <c:varyColors val="0"/>
        <c:ser>
          <c:idx val="0"/>
          <c:order val="0"/>
          <c:spPr>
            <a:ln cmpd="sng">
              <a:solidFill>
                <a:srgbClr val="4285F4"/>
              </a:solidFill>
            </a:ln>
          </c:spPr>
          <c:marker>
            <c:symbol val="none"/>
          </c:marker>
          <c:val>
            <c:numRef>
              <c:f>'DL T7'!$G$4:$G$33</c:f>
              <c:numCache/>
            </c:numRef>
          </c:val>
          <c:smooth val="0"/>
        </c:ser>
        <c:axId val="1251936057"/>
        <c:axId val="931718270"/>
      </c:lineChart>
      <c:catAx>
        <c:axId val="12519360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31718270"/>
      </c:catAx>
      <c:valAx>
        <c:axId val="931718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I. BÁO CÁO DOANH THU THEO NHÂN VIÊN/Doanh thu theo ngày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51936057"/>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Biểu đồ Doanh thu</a:t>
            </a:r>
          </a:p>
        </c:rich>
      </c:tx>
      <c:overlay val="0"/>
    </c:title>
    <c:plotArea>
      <c:layout/>
      <c:lineChart>
        <c:varyColors val="0"/>
        <c:ser>
          <c:idx val="0"/>
          <c:order val="0"/>
          <c:tx>
            <c:strRef>
              <c:f>'DL T6'!$G$3</c:f>
            </c:strRef>
          </c:tx>
          <c:spPr>
            <a:ln cmpd="sng">
              <a:solidFill>
                <a:srgbClr val="4285F4"/>
              </a:solidFill>
            </a:ln>
          </c:spPr>
          <c:marker>
            <c:symbol val="circle"/>
            <c:size val="2"/>
            <c:spPr>
              <a:solidFill>
                <a:srgbClr val="4285F4"/>
              </a:solidFill>
              <a:ln cmpd="sng">
                <a:solidFill>
                  <a:srgbClr val="4285F4"/>
                </a:solidFill>
              </a:ln>
            </c:spPr>
          </c:marker>
          <c:cat>
            <c:strRef>
              <c:f>'DL T6'!$A$4:$A$33</c:f>
            </c:strRef>
          </c:cat>
          <c:val>
            <c:numRef>
              <c:f>'DL T6'!$G$4:$G$34</c:f>
              <c:numCache/>
            </c:numRef>
          </c:val>
          <c:smooth val="0"/>
        </c:ser>
        <c:axId val="1562990597"/>
        <c:axId val="151389560"/>
      </c:lineChart>
      <c:catAx>
        <c:axId val="156299059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NGÀY</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1389560"/>
      </c:catAx>
      <c:valAx>
        <c:axId val="1513895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Doanh thu theo ngày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62990597"/>
      </c:valAx>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BIỂU ĐỒ DOANH THU THÁNG 6/2023</a:t>
            </a:r>
          </a:p>
        </c:rich>
      </c:tx>
      <c:overlay val="0"/>
    </c:title>
    <c:plotArea>
      <c:layout/>
      <c:pieChart>
        <c:varyColors val="1"/>
        <c:ser>
          <c:idx val="0"/>
          <c:order val="0"/>
          <c:tx>
            <c:strRef>
              <c:f>'DL T6'!$AD$10</c:f>
            </c:strRef>
          </c:tx>
          <c:dPt>
            <c:idx val="0"/>
            <c:spPr>
              <a:solidFill>
                <a:srgbClr val="4285F4"/>
              </a:solidFill>
            </c:spPr>
          </c:dPt>
          <c:dLbls>
            <c:showLegendKey val="0"/>
            <c:showVal val="0"/>
            <c:showCatName val="0"/>
            <c:showSerName val="0"/>
            <c:showPercent val="0"/>
            <c:showBubbleSize val="0"/>
            <c:showLeaderLines val="1"/>
          </c:dLbls>
          <c:cat>
            <c:strRef>
              <c:f>'DL T6'!$AE$9:$AK$9</c:f>
            </c:strRef>
          </c:cat>
          <c:val>
            <c:numRef>
              <c:f>'DL T6'!$AE$10:$AK$10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Số lượng học viên đóng phí</a:t>
            </a:r>
          </a:p>
        </c:rich>
      </c:tx>
      <c:overlay val="0"/>
    </c:title>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'DL T6'!$AE$4:$AK$4</c:f>
            </c:strRef>
          </c:cat>
          <c:val>
            <c:numRef>
              <c:f>'DL T6'!$AE$5:$AK$5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34</xdr:row>
      <xdr:rowOff>9525</xdr:rowOff>
    </xdr:from>
    <xdr:ext cx="5715000" cy="3533775"/>
    <xdr:graphicFrame>
      <xdr:nvGraphicFramePr>
        <xdr:cNvPr id="717310059" name="Chart 7"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33</xdr:col>
      <xdr:colOff>180975</xdr:colOff>
      <xdr:row>11</xdr:row>
      <xdr:rowOff>152400</xdr:rowOff>
    </xdr:from>
    <xdr:ext cx="4610100" cy="2857500"/>
    <xdr:graphicFrame>
      <xdr:nvGraphicFramePr>
        <xdr:cNvPr id="765272197" name="Chart 8"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28</xdr:col>
      <xdr:colOff>857250</xdr:colOff>
      <xdr:row>11</xdr:row>
      <xdr:rowOff>152400</xdr:rowOff>
    </xdr:from>
    <xdr:ext cx="4010025" cy="2857500"/>
    <xdr:graphicFrame>
      <xdr:nvGraphicFramePr>
        <xdr:cNvPr id="1708952669" name="Chart 9" title="Biểu đồ"/>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35</xdr:row>
      <xdr:rowOff>9525</xdr:rowOff>
    </xdr:from>
    <xdr:ext cx="5715000" cy="3533775"/>
    <xdr:graphicFrame>
      <xdr:nvGraphicFramePr>
        <xdr:cNvPr id="1182077055" name="Chart 10"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752475</xdr:colOff>
      <xdr:row>67</xdr:row>
      <xdr:rowOff>152400</xdr:rowOff>
    </xdr:from>
    <xdr:ext cx="12954000" cy="2590800"/>
    <xdr:graphicFrame>
      <xdr:nvGraphicFramePr>
        <xdr:cNvPr id="715289988" name="Chart 1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504825</xdr:colOff>
      <xdr:row>85</xdr:row>
      <xdr:rowOff>95250</xdr:rowOff>
    </xdr:from>
    <xdr:ext cx="9363075" cy="3152775"/>
    <xdr:graphicFrame>
      <xdr:nvGraphicFramePr>
        <xdr:cNvPr id="703066563" name="Chart 12"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9525</xdr:colOff>
      <xdr:row>54</xdr:row>
      <xdr:rowOff>57150</xdr:rowOff>
    </xdr:from>
    <xdr:ext cx="8886825" cy="3533775"/>
    <xdr:graphicFrame>
      <xdr:nvGraphicFramePr>
        <xdr:cNvPr id="1783738248" name="Chart 13" title="Biểu đồ"/>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695325</xdr:colOff>
      <xdr:row>35</xdr:row>
      <xdr:rowOff>9525</xdr:rowOff>
    </xdr:from>
    <xdr:ext cx="5715000" cy="3533775"/>
    <xdr:graphicFrame>
      <xdr:nvGraphicFramePr>
        <xdr:cNvPr id="1281956348"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695325</xdr:colOff>
      <xdr:row>34</xdr:row>
      <xdr:rowOff>9525</xdr:rowOff>
    </xdr:from>
    <xdr:ext cx="5715000" cy="3533775"/>
    <xdr:graphicFrame>
      <xdr:nvGraphicFramePr>
        <xdr:cNvPr id="543629530" name="Chart 2"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695325</xdr:colOff>
      <xdr:row>35</xdr:row>
      <xdr:rowOff>9525</xdr:rowOff>
    </xdr:from>
    <xdr:ext cx="5715000" cy="3533775"/>
    <xdr:graphicFrame>
      <xdr:nvGraphicFramePr>
        <xdr:cNvPr id="1193337105" name="Chart 3"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695325</xdr:colOff>
      <xdr:row>34</xdr:row>
      <xdr:rowOff>9525</xdr:rowOff>
    </xdr:from>
    <xdr:ext cx="5715000" cy="3533775"/>
    <xdr:graphicFrame>
      <xdr:nvGraphicFramePr>
        <xdr:cNvPr id="1701384414" name="Chart 4"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695325</xdr:colOff>
      <xdr:row>35</xdr:row>
      <xdr:rowOff>9525</xdr:rowOff>
    </xdr:from>
    <xdr:ext cx="5715000" cy="3533775"/>
    <xdr:graphicFrame>
      <xdr:nvGraphicFramePr>
        <xdr:cNvPr id="2057699268" name="Chart 5"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695325</xdr:colOff>
      <xdr:row>34</xdr:row>
      <xdr:rowOff>9525</xdr:rowOff>
    </xdr:from>
    <xdr:ext cx="5715000" cy="3533775"/>
    <xdr:graphicFrame>
      <xdr:nvGraphicFramePr>
        <xdr:cNvPr id="840437860" name="Chart 6"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ZGhRtAfODRu_Oi2ttrFIcltAZn38EAIvtdQihw-XWFY/edit" TargetMode="External"/><Relationship Id="rId22" Type="http://schemas.openxmlformats.org/officeDocument/2006/relationships/hyperlink" Target="https://docs.google.com/spreadsheets/d/1ZGhRtAfODRu_Oi2ttrFIcltAZn38EAIvtdQihw-XWFY/edit" TargetMode="External"/><Relationship Id="rId21" Type="http://schemas.openxmlformats.org/officeDocument/2006/relationships/hyperlink" Target="https://docs.google.com/spreadsheets/d/1ZGhRtAfODRu_Oi2ttrFIcltAZn38EAIvtdQihw-XWFY/edit" TargetMode="External"/><Relationship Id="rId24" Type="http://schemas.openxmlformats.org/officeDocument/2006/relationships/hyperlink" Target="https://docs.google.com/spreadsheets/d/1ZGhRtAfODRu_Oi2ttrFIcltAZn38EAIvtdQihw-XWFY/edit" TargetMode="External"/><Relationship Id="rId23" Type="http://schemas.openxmlformats.org/officeDocument/2006/relationships/hyperlink" Target="https://docs.google.com/spreadsheets/d/1ZGhRtAfODRu_Oi2ttrFIcltAZn38EAIvtdQihw-XWFY/edit" TargetMode="External"/><Relationship Id="rId1" Type="http://schemas.openxmlformats.org/officeDocument/2006/relationships/hyperlink" Target="https://www.facebook.com/suri.huong.73" TargetMode="External"/><Relationship Id="rId2" Type="http://schemas.openxmlformats.org/officeDocument/2006/relationships/hyperlink" Target="https://www.facebook.com/thuykieu.phan.100" TargetMode="External"/><Relationship Id="rId3" Type="http://schemas.openxmlformats.org/officeDocument/2006/relationships/hyperlink" Target="https://business.facebook.com/latest/inbox/all?bpn_id=363372930910989&amp;asset_id=140924759399774&amp;nav_ref=pages_classic_isolated_section_inbox_diode&amp;entry_exp=sodhniwgpb&amp;mailbox_id=&amp;selected_item_id=100000335441713" TargetMode="External"/><Relationship Id="rId4" Type="http://schemas.openxmlformats.org/officeDocument/2006/relationships/hyperlink" Target="https://www.facebook.com/Hangkhuyenmaitreem" TargetMode="External"/><Relationship Id="rId9" Type="http://schemas.openxmlformats.org/officeDocument/2006/relationships/hyperlink" Target="https://www.facebook.com/huong.phuong.568" TargetMode="External"/><Relationship Id="rId26" Type="http://schemas.openxmlformats.org/officeDocument/2006/relationships/hyperlink" Target="https://docs.google.com/spreadsheets/d/1ZGhRtAfODRu_Oi2ttrFIcltAZn38EAIvtdQihw-XWFY/edit" TargetMode="External"/><Relationship Id="rId25" Type="http://schemas.openxmlformats.org/officeDocument/2006/relationships/hyperlink" Target="https://docs.google.com/spreadsheets/d/1ZGhRtAfODRu_Oi2ttrFIcltAZn38EAIvtdQihw-XWFY/edit" TargetMode="External"/><Relationship Id="rId28" Type="http://schemas.openxmlformats.org/officeDocument/2006/relationships/hyperlink" Target="https://docs.google.com/spreadsheets/d/1ZGhRtAfODRu_Oi2ttrFIcltAZn38EAIvtdQihw-XWFY/edit" TargetMode="External"/><Relationship Id="rId27" Type="http://schemas.openxmlformats.org/officeDocument/2006/relationships/hyperlink" Target="https://docs.google.com/spreadsheets/d/1ISzo0oFw_fO1PfSmt4hzGcltCGmQfhgobbqBt_abW-s/edit" TargetMode="External"/><Relationship Id="rId5" Type="http://schemas.openxmlformats.org/officeDocument/2006/relationships/hyperlink" Target="https://www.facebook.com/letrangg0712" TargetMode="External"/><Relationship Id="rId6" Type="http://schemas.openxmlformats.org/officeDocument/2006/relationships/hyperlink" Target="https://www.facebook.com/profile.php?id=100034713750835" TargetMode="External"/><Relationship Id="rId29" Type="http://schemas.openxmlformats.org/officeDocument/2006/relationships/hyperlink" Target="https://docs.google.com/spreadsheets/d/1ZGhRtAfODRu_Oi2ttrFIcltAZn38EAIvtdQihw-XWFY/edit" TargetMode="External"/><Relationship Id="rId7" Type="http://schemas.openxmlformats.org/officeDocument/2006/relationships/hyperlink" Target="https://www.facebook.com/cothanhthanthien" TargetMode="External"/><Relationship Id="rId8" Type="http://schemas.openxmlformats.org/officeDocument/2006/relationships/hyperlink" Target="https://www.facebook.com/hoa.vo.144" TargetMode="External"/><Relationship Id="rId31" Type="http://schemas.openxmlformats.org/officeDocument/2006/relationships/hyperlink" Target="https://docs.google.com/spreadsheets/d/1ISzo0oFw_fO1PfSmt4hzGcltCGmQfhgobbqBt_abW-s/edit" TargetMode="External"/><Relationship Id="rId30" Type="http://schemas.openxmlformats.org/officeDocument/2006/relationships/hyperlink" Target="https://docs.google.com/spreadsheets/d/1ISzo0oFw_fO1PfSmt4hzGcltCGmQfhgobbqBt_abW-s/edit" TargetMode="External"/><Relationship Id="rId11" Type="http://schemas.openxmlformats.org/officeDocument/2006/relationships/hyperlink" Target="https://www.facebook.com/nguyen.phuong.54772" TargetMode="External"/><Relationship Id="rId33" Type="http://schemas.openxmlformats.org/officeDocument/2006/relationships/drawing" Target="../drawings/drawing1.xml"/><Relationship Id="rId10" Type="http://schemas.openxmlformats.org/officeDocument/2006/relationships/hyperlink" Target="https://www.facebook.com/hathithanhnhan206" TargetMode="External"/><Relationship Id="rId32" Type="http://schemas.openxmlformats.org/officeDocument/2006/relationships/hyperlink" Target="https://docs.google.com/spreadsheets/d/1ZGhRtAfODRu_Oi2ttrFIcltAZn38EAIvtdQihw-XWFY/edit" TargetMode="External"/><Relationship Id="rId13" Type="http://schemas.openxmlformats.org/officeDocument/2006/relationships/hyperlink" Target="https://www.facebook.com/hagiang.le.75/?show_switched_toast=0&amp;show_invite_to_follow=0&amp;show_switched_tooltip=0&amp;show_podcast_settings=0&amp;show_community_review_changes=0&amp;show_community_rollback=0&amp;show_follower_visibility_disclosure=0" TargetMode="External"/><Relationship Id="rId12" Type="http://schemas.openxmlformats.org/officeDocument/2006/relationships/hyperlink" Target="https://www.facebook.com/thuhuyen.pham.587/?show_switched_toast=0&amp;show_invite_to_follow=0&amp;show_switched_tooltip=0&amp;show_podcast_settings=0&amp;show_community_review_changes=0&amp;show_community_rollback=0&amp;show_follower_visibility_disclosure=0" TargetMode="External"/><Relationship Id="rId15" Type="http://schemas.openxmlformats.org/officeDocument/2006/relationships/hyperlink" Target="https://docs.google.com/spreadsheets/d/1ZGhRtAfODRu_Oi2ttrFIcltAZn38EAIvtdQihw-XWFY/edit" TargetMode="External"/><Relationship Id="rId14" Type="http://schemas.openxmlformats.org/officeDocument/2006/relationships/hyperlink" Target="http://hocmai.vn/" TargetMode="External"/><Relationship Id="rId17" Type="http://schemas.openxmlformats.org/officeDocument/2006/relationships/hyperlink" Target="https://docs.google.com/spreadsheets/d/1ZGhRtAfODRu_Oi2ttrFIcltAZn38EAIvtdQihw-XWFY/edit" TargetMode="External"/><Relationship Id="rId16" Type="http://schemas.openxmlformats.org/officeDocument/2006/relationships/hyperlink" Target="https://docs.google.com/spreadsheets/d/1ZGhRtAfODRu_Oi2ttrFIcltAZn38EAIvtdQihw-XWFY/edit" TargetMode="External"/><Relationship Id="rId19" Type="http://schemas.openxmlformats.org/officeDocument/2006/relationships/hyperlink" Target="https://docs.google.com/spreadsheets/d/1ZGhRtAfODRu_Oi2ttrFIcltAZn38EAIvtdQihw-XWFY/edit" TargetMode="External"/><Relationship Id="rId18" Type="http://schemas.openxmlformats.org/officeDocument/2006/relationships/hyperlink" Target="https://docs.google.com/spreadsheets/d/1ZGhRtAfODRu_Oi2ttrFIcltAZn38EAIvtdQihw-XWFY/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facebook.com/nguyen.phuong.54772" TargetMode="External"/><Relationship Id="rId3" Type="http://schemas.openxmlformats.org/officeDocument/2006/relationships/drawing" Target="../drawings/drawing16.xml"/><Relationship Id="rId4"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spreadsheets/d/14imPNQ4vJPKbERpufxFaPqRgnMxl7KwXTKuq9AG2OCA/edit" TargetMode="External"/><Relationship Id="rId2" Type="http://schemas.openxmlformats.org/officeDocument/2006/relationships/hyperlink" Target="https://docs.google.com/spreadsheets/d/1ZGhRtAfODRu_Oi2ttrFIcltAZn38EAIvtdQihw-XWFY/edit"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40" Type="http://schemas.openxmlformats.org/officeDocument/2006/relationships/hyperlink" Target="https://business.facebook.com/latest/inbox/all?bpn_id=363372930910989&amp;asset_id=140924759399774&amp;nav_ref=redirect_biz_inbox_comet_profile_plus_ap_page_inbox_message_button&amp;mailbox_id=&amp;selected_item_id=100000292464874" TargetMode="External"/><Relationship Id="rId42" Type="http://schemas.openxmlformats.org/officeDocument/2006/relationships/hyperlink" Target="https://business.facebook.com/latest/inbox/all?bpn_id=363372930910989&amp;asset_id=140924759399774&amp;nav_ref=redirect_biz_inbox_comet_profile_plus_ap_page_inbox_message_button&amp;wtsid=rdr_0hj2A3ljKe4MaFwSW&amp;mailbox_id=&amp;selected_item_id=100007223414499" TargetMode="External"/><Relationship Id="rId41" Type="http://schemas.openxmlformats.org/officeDocument/2006/relationships/hyperlink" Target="https://business.facebook.com/latest/inbox/all?asset_id=140924759399774&amp;bpn_id=363372930910989&amp;nav_ref=redirect_biz_inbox_comet_profile_plus_ap_page_inbox_message_button&amp;mailbox_id=&amp;selected_item_id=100009703441012" TargetMode="External"/><Relationship Id="rId44" Type="http://schemas.openxmlformats.org/officeDocument/2006/relationships/hyperlink" Target="https://business.facebook.com/latest/inbox/all?bpn_id=363372930910989&amp;asset_id=140924759399774&amp;nav_ref=redirect_biz_inbox_comet_profile_plus_ap_page_inbox_message_button&amp;wtsid=rdr_0hj2A3ljKe4MaFwSW&amp;mailbox_id=&amp;selected_item_id=100015843066749" TargetMode="External"/><Relationship Id="rId43" Type="http://schemas.openxmlformats.org/officeDocument/2006/relationships/hyperlink" Target="https://business.facebook.com/latest/inbox/all?bpn_id=363372930910989&amp;asset_id=140924759399774&amp;nav_ref=redirect_biz_inbox_comet_profile_plus_ap_page_inbox_message_button&amp;wtsid=rdr_0hj2A3ljKe4MaFwSW&amp;mailbox_id=&amp;selected_item_id=100003599691313" TargetMode="External"/><Relationship Id="rId46" Type="http://schemas.openxmlformats.org/officeDocument/2006/relationships/hyperlink" Target="https://business.facebook.com/latest/inbox/all?bpn_id=363372930910989&amp;asset_id=140924759399774&amp;nav_ref=redirect_biz_inbox_comet_profile_plus_ap_page_inbox_message_button&amp;mailbox_id=&amp;selected_item_id=100006532060369" TargetMode="External"/><Relationship Id="rId45" Type="http://schemas.openxmlformats.org/officeDocument/2006/relationships/hyperlink" Target="https://business.facebook.com/latest/inbox/all?bpn_id=363372930910989&amp;asset_id=140924759399774&amp;nav_ref=redirect_biz_inbox_comet_profile_plus_ap_page_inbox_message_button&amp;wtsid=rdr_0w6FheUPKzriBmzH5&amp;mailbox_id=&amp;selected_item_id=100004168652110" TargetMode="External"/><Relationship Id="rId107" Type="http://schemas.openxmlformats.org/officeDocument/2006/relationships/vmlDrawing" Target="../drawings/vmlDrawing6.vml"/><Relationship Id="rId106" Type="http://schemas.openxmlformats.org/officeDocument/2006/relationships/drawing" Target="../drawings/drawing18.xml"/><Relationship Id="rId105" Type="http://schemas.openxmlformats.org/officeDocument/2006/relationships/hyperlink" Target="https://business.facebook.com/latest/inbox/all?asset_id=140924759399774&amp;mailbox_id=&amp;selected_item_id=100001357471759" TargetMode="External"/><Relationship Id="rId104" Type="http://schemas.openxmlformats.org/officeDocument/2006/relationships/hyperlink" Target="https://business.facebook.com/latest/inbox/all?asset_id=140924759399774&amp;mailbox_id=&amp;selected_item_id=100001357471759" TargetMode="External"/><Relationship Id="rId48" Type="http://schemas.openxmlformats.org/officeDocument/2006/relationships/hyperlink" Target="https://business.facebook.com/latest/inbox/all?bpn_id=363372930910989&amp;asset_id=140924759399774&amp;nav_ref=redirect_biz_inbox_comet_profile_plus_ap_page_inbox_message_button&amp;mailbox_id=&amp;selected_item_id=100001644750645" TargetMode="External"/><Relationship Id="rId47" Type="http://schemas.openxmlformats.org/officeDocument/2006/relationships/hyperlink" Target="https://business.facebook.com/latest/inbox/all?bpn_id=363372930910989&amp;asset_id=140924759399774&amp;nav_ref=redirect_biz_inbox_comet_profile_plus_ap_page_inbox_message_button&amp;mailbox_id=&amp;selected_item_id=100005588442246" TargetMode="External"/><Relationship Id="rId49" Type="http://schemas.openxmlformats.org/officeDocument/2006/relationships/hyperlink" Target="https://business.facebook.com/latest/inbox/all?bpn_id=363372930910989&amp;asset_id=140924759399774&amp;nav_ref=redirect_biz_inbox_comet_profile_plus_ap_page_inbox_message_button&amp;mailbox_id=&amp;selected_item_id=100079297695545" TargetMode="External"/><Relationship Id="rId103" Type="http://schemas.openxmlformats.org/officeDocument/2006/relationships/hyperlink" Target="https://docs.google.com/spreadsheets/d/1ZGhRtAfODRu_Oi2ttrFIcltAZn38EAIvtdQihw-XWFY/edit" TargetMode="External"/><Relationship Id="rId102" Type="http://schemas.openxmlformats.org/officeDocument/2006/relationships/hyperlink" Target="https://docs.google.com/spreadsheets/d/1ISzo0oFw_fO1PfSmt4hzGcltCGmQfhgobbqBt_abW-s/edit" TargetMode="External"/><Relationship Id="rId101" Type="http://schemas.openxmlformats.org/officeDocument/2006/relationships/hyperlink" Target="https://docs.google.com/spreadsheets/d/1ISzo0oFw_fO1PfSmt4hzGcltCGmQfhgobbqBt_abW-s/edit" TargetMode="External"/><Relationship Id="rId100" Type="http://schemas.openxmlformats.org/officeDocument/2006/relationships/hyperlink" Target="https://docs.google.com/spreadsheets/d/1ZGhRtAfODRu_Oi2ttrFIcltAZn38EAIvtdQihw-XWFY/edit" TargetMode="External"/><Relationship Id="rId31" Type="http://schemas.openxmlformats.org/officeDocument/2006/relationships/hyperlink" Target="https://business.facebook.com/latest/inbox/all?bpn_id=363372930910989&amp;asset_id=140924759399774&amp;nav_ref=redirect_biz_inbox_comet_profile_plus_ap_page_inbox_message_button&amp;mailbox_id=&amp;selected_item_id=100077892761947" TargetMode="External"/><Relationship Id="rId30" Type="http://schemas.openxmlformats.org/officeDocument/2006/relationships/hyperlink" Target="https://business.facebook.com/latest/inbox/all?bpn_id=363372930910989&amp;asset_id=140924759399774&amp;nav_ref=redirect_biz_inbox_comet_profile_plus_ap_page_inbox_message_button&amp;mailbox_id=&amp;selected_item_id=100014593054853" TargetMode="External"/><Relationship Id="rId33" Type="http://schemas.openxmlformats.org/officeDocument/2006/relationships/hyperlink" Target="https://business.facebook.com/latest/inbox/all?bpn_id=363372930910989&amp;asset_id=140924759399774&amp;nav_ref=redirect_biz_inbox_comet_profile_plus_ap_page_inbox_message_button&amp;mailbox_id=&amp;selected_item_id=100003101389740" TargetMode="External"/><Relationship Id="rId32" Type="http://schemas.openxmlformats.org/officeDocument/2006/relationships/hyperlink" Target="https://business.facebook.com/latest/inbox/all?bpn_id=363372930910989&amp;asset_id=140924759399774&amp;nav_ref=redirect_biz_inbox_comet_profile_plus_ap_page_inbox_message_button&amp;mailbox_id=&amp;selected_item_id=100001596709333" TargetMode="External"/><Relationship Id="rId35" Type="http://schemas.openxmlformats.org/officeDocument/2006/relationships/hyperlink" Target="https://business.facebook.com/latest/inbox/all?bpn_id=363372930910989&amp;asset_id=140924759399774&amp;nav_ref=redirect_biz_inbox_comet_profile_plus_ap_page_inbox_message_button&amp;wtsid=rdr_0BaDZQb1Y5KIRr9n9&amp;mailbox_id=&amp;selected_item_id=100027398806799" TargetMode="External"/><Relationship Id="rId34" Type="http://schemas.openxmlformats.org/officeDocument/2006/relationships/hyperlink" Target="https://business.facebook.com/latest/inbox/all?bpn_id=363372930910989&amp;asset_id=140924759399774&amp;nav_ref=redirect_biz_inbox&amp;mailbox_id=&amp;selected_item_id=100000181025933" TargetMode="External"/><Relationship Id="rId37" Type="http://schemas.openxmlformats.org/officeDocument/2006/relationships/hyperlink" Target="https://business.facebook.com/latest/inbox/all?asset_id=140924759399774&amp;bpn_id=363372930910989&amp;nav_ref=redirect_biz_inbox_comet_profile_plus_ap_page_inbox_message_button&amp;selected_item_id=100004660571436&amp;mailbox_id=" TargetMode="External"/><Relationship Id="rId36" Type="http://schemas.openxmlformats.org/officeDocument/2006/relationships/hyperlink" Target="https://business.facebook.com/latest/inbox/all?bpn_id=363372930910989&amp;asset_id=140924759399774&amp;nav_ref=redirect_biz_inbox_comet_profile_plus_ap_page_inbox_message_button&amp;wtsid=rdr_0OJGimztJdZXaoS5l&amp;mailbox_id=&amp;selected_item_id=1576204040" TargetMode="External"/><Relationship Id="rId39" Type="http://schemas.openxmlformats.org/officeDocument/2006/relationships/hyperlink" Target="https://business.facebook.com/latest/inbox/all?bpn_id=363372930910989&amp;asset_id=140924759399774&amp;nav_ref=redirect_biz_inbox&amp;wtsid=rdr_0OBcRpT9OQfHp5N4j&amp;mailbox_id=&amp;selected_item_id=100004800014246" TargetMode="External"/><Relationship Id="rId38" Type="http://schemas.openxmlformats.org/officeDocument/2006/relationships/hyperlink" Target="https://business.facebook.com/latest/inbox/all?bpn_id=363372930910989&amp;asset_id=140924759399774&amp;nav_ref=redirect_biz_inbox_comet_profile_plus_ap_page_inbox_message_button&amp;wtsid=rdr_0MVObhnzyKKbepXHj&amp;mailbox_id=&amp;selected_item_id=100003515815314" TargetMode="External"/><Relationship Id="rId20" Type="http://schemas.openxmlformats.org/officeDocument/2006/relationships/hyperlink" Target="https://business.facebook.com/latest/inbox/all?asset_id=140924759399774&amp;nav_ref=comment_notif&amp;selected_item_id=100011889556404&amp;mailbox_id=" TargetMode="External"/><Relationship Id="rId22" Type="http://schemas.openxmlformats.org/officeDocument/2006/relationships/hyperlink" Target="https://business.facebook.com/latest/inbox/all?bpn_id=363372930910989&amp;asset_id=140924759399774&amp;nav_ref=redirect_biz_inbox_comet_profile_plus_ap_page_inbox_message_button&amp;mailbox_id=&amp;selected_item_id=100002333536609" TargetMode="External"/><Relationship Id="rId21" Type="http://schemas.openxmlformats.org/officeDocument/2006/relationships/hyperlink" Target="https://business.facebook.com/latest/inbox/all?bpn_id=363372930910989&amp;asset_id=140924759399774&amp;nav_ref=redirect_biz_inbox_comet_profile_plus_ap_page_inbox_message_button&amp;mailbox_id=&amp;selected_item_id=100005977634357" TargetMode="External"/><Relationship Id="rId24" Type="http://schemas.openxmlformats.org/officeDocument/2006/relationships/hyperlink" Target="https://business.facebook.com/latest/inbox/all?asset_id=140924759399774&amp;nav_ref=your_pages_sidebar_inbox&amp;mailbox_id=&amp;selected_item_id=100004917570491" TargetMode="External"/><Relationship Id="rId23" Type="http://schemas.openxmlformats.org/officeDocument/2006/relationships/hyperlink" Target="https://www.facebook.com/huong.phuong.568" TargetMode="External"/><Relationship Id="rId26" Type="http://schemas.openxmlformats.org/officeDocument/2006/relationships/hyperlink" Target="https://business.facebook.com/latest/inbox/all?bpn_id=363372930910989&amp;asset_id=140924759399774&amp;nav_ref=redirect_biz_inbox_comet_profile_plus_ap_page_inbox_message_button&amp;mailbox_id=&amp;selected_item_id=100002979341853" TargetMode="External"/><Relationship Id="rId25" Type="http://schemas.openxmlformats.org/officeDocument/2006/relationships/hyperlink" Target="https://business.facebook.com/latest/inbox/all?bpn_id=363372930910989&amp;asset_id=140924759399774&amp;nav_ref=redirect_biz_inbox_comet_profile_plus_ap_page_inbox_message_button&amp;mailbox_id=&amp;selected_item_id=100003761511727" TargetMode="External"/><Relationship Id="rId28" Type="http://schemas.openxmlformats.org/officeDocument/2006/relationships/hyperlink" Target="https://business.facebook.com/latest/inbox/all?bpn_id=363372930910989&amp;asset_id=140924759399774&amp;nav_ref=redirect_biz_inbox_comet_profile_plus_ap_page_inbox_message_button&amp;mailbox_id=&amp;selected_item_id=100082089033566" TargetMode="External"/><Relationship Id="rId27" Type="http://schemas.openxmlformats.org/officeDocument/2006/relationships/hyperlink" Target="https://business.facebook.com/latest/inbox/all?asset_id=1758677824390097&amp;bpn_id=363372930910989&amp;nav_ref=diode_page_inbox_comet_profile_plus_ap_page_inbox_message_button&amp;mailbox_id=&amp;selected_item_id=100001455521880" TargetMode="External"/><Relationship Id="rId29" Type="http://schemas.openxmlformats.org/officeDocument/2006/relationships/hyperlink" Target="https://business.facebook.com/latest/inbox/all?bpn_id=363372930910989&amp;asset_id=140924759399774&amp;nav_ref=redirect_biz_inbox_comet_profile_plus_ap_page_inbox_message_button&amp;mailbox_id=&amp;selected_item_id=100001474038611" TargetMode="External"/><Relationship Id="rId95" Type="http://schemas.openxmlformats.org/officeDocument/2006/relationships/hyperlink" Target="https://docs.google.com/spreadsheets/d/1ZGhRtAfODRu_Oi2ttrFIcltAZn38EAIvtdQihw-XWFY/edit" TargetMode="External"/><Relationship Id="rId94" Type="http://schemas.openxmlformats.org/officeDocument/2006/relationships/hyperlink" Target="https://docs.google.com/spreadsheets/d/1ZGhRtAfODRu_Oi2ttrFIcltAZn38EAIvtdQihw-XWFY/edit" TargetMode="External"/><Relationship Id="rId97" Type="http://schemas.openxmlformats.org/officeDocument/2006/relationships/hyperlink" Target="https://docs.google.com/spreadsheets/d/1ZGhRtAfODRu_Oi2ttrFIcltAZn38EAIvtdQihw-XWFY/edit" TargetMode="External"/><Relationship Id="rId96" Type="http://schemas.openxmlformats.org/officeDocument/2006/relationships/hyperlink" Target="https://docs.google.com/spreadsheets/d/1ZGhRtAfODRu_Oi2ttrFIcltAZn38EAIvtdQihw-XWFY/edit" TargetMode="External"/><Relationship Id="rId11" Type="http://schemas.openxmlformats.org/officeDocument/2006/relationships/hyperlink" Target="https://business.facebook.com/latest/inbox/all?bpn_id=379583696189108&amp;asset_id=1758677824390097&amp;nav_ref=pages_classic_isolated_section_inbox_diode&amp;entry_exp=sodhniwgpb&amp;mailbox_id=&amp;selected_item_id=100034713750835" TargetMode="External"/><Relationship Id="rId99" Type="http://schemas.openxmlformats.org/officeDocument/2006/relationships/hyperlink" Target="https://docs.google.com/spreadsheets/d/1ZGhRtAfODRu_Oi2ttrFIcltAZn38EAIvtdQihw-XWFY/edit" TargetMode="External"/><Relationship Id="rId10" Type="http://schemas.openxmlformats.org/officeDocument/2006/relationships/hyperlink" Target="https://www.facebook.com/profile.php?id=100034713750835" TargetMode="External"/><Relationship Id="rId98" Type="http://schemas.openxmlformats.org/officeDocument/2006/relationships/hyperlink" Target="https://docs.google.com/spreadsheets/d/1ISzo0oFw_fO1PfSmt4hzGcltCGmQfhgobbqBt_abW-s/edit" TargetMode="External"/><Relationship Id="rId13" Type="http://schemas.openxmlformats.org/officeDocument/2006/relationships/hyperlink" Target="https://business.facebook.com/latest/inbox/all?bpn_id=363372930910989&amp;asset_id=140924759399774&amp;nav_ref=pages_classic_isolated_section_inbox_diode&amp;entry_exp=sodhniwgpb&amp;mailbox_id=&amp;selected_item_id=100006996737287" TargetMode="External"/><Relationship Id="rId12" Type="http://schemas.openxmlformats.org/officeDocument/2006/relationships/hyperlink" Target="https://www.facebook.com/cothanhthanthien" TargetMode="External"/><Relationship Id="rId91" Type="http://schemas.openxmlformats.org/officeDocument/2006/relationships/hyperlink" Target="https://docs.google.com/spreadsheets/d/1ZGhRtAfODRu_Oi2ttrFIcltAZn38EAIvtdQihw-XWFY/edit" TargetMode="External"/><Relationship Id="rId90" Type="http://schemas.openxmlformats.org/officeDocument/2006/relationships/hyperlink" Target="https://docs.google.com/spreadsheets/d/1ZGhRtAfODRu_Oi2ttrFIcltAZn38EAIvtdQihw-XWFY/edit" TargetMode="External"/><Relationship Id="rId93" Type="http://schemas.openxmlformats.org/officeDocument/2006/relationships/hyperlink" Target="https://docs.google.com/spreadsheets/d/1ZGhRtAfODRu_Oi2ttrFIcltAZn38EAIvtdQihw-XWFY/edit" TargetMode="External"/><Relationship Id="rId92" Type="http://schemas.openxmlformats.org/officeDocument/2006/relationships/hyperlink" Target="https://docs.google.com/spreadsheets/d/1ZGhRtAfODRu_Oi2ttrFIcltAZn38EAIvtdQihw-XWFY/edit" TargetMode="External"/><Relationship Id="rId15" Type="http://schemas.openxmlformats.org/officeDocument/2006/relationships/hyperlink" Target="https://business.facebook.com/latest/inbox/all?asset_id=140924759399774&amp;nav_ref=redirect_biz_inbox_reminder_notif%3Fnotif_m%3Dalerts_page&amp;folder=unread&amp;mailbox_id=&amp;selected_item_id=100002329494649" TargetMode="External"/><Relationship Id="rId14" Type="http://schemas.openxmlformats.org/officeDocument/2006/relationships/hyperlink" Target="https://www.facebook.com/hoa.vo.144" TargetMode="External"/><Relationship Id="rId17" Type="http://schemas.openxmlformats.org/officeDocument/2006/relationships/hyperlink" Target="https://business.facebook.com/latest/inbox/all?bpn_id=379583696189108&amp;asset_id=1758677824390097&amp;nav_ref=pages_classic_isolated_section_inbox_diode&amp;entry_exp=sodhniwgpb&amp;mailbox_id=&amp;selected_item_id=100024586780287" TargetMode="External"/><Relationship Id="rId16" Type="http://schemas.openxmlformats.org/officeDocument/2006/relationships/hyperlink" Target="https://business.facebook.com/latest/inbox/all?asset_id=1758677824390097&amp;nav_ref=pages_classic_isolated_section&amp;mailbox_id=&amp;selected_item_id=100027844443412" TargetMode="External"/><Relationship Id="rId19" Type="http://schemas.openxmlformats.org/officeDocument/2006/relationships/hyperlink" Target="https://business.facebook.com/latest/inbox/all?bpn_id=363372930910989&amp;asset_id=140924759399774&amp;nav_ref=redirect_biz_inbox_comet_profile_plus_ap_page_inbox_message_button&amp;mailbox_id=&amp;selected_item_id=100034249131798" TargetMode="External"/><Relationship Id="rId18" Type="http://schemas.openxmlformats.org/officeDocument/2006/relationships/hyperlink" Target="https://business.facebook.com/latest/inbox/all?asset_id=1758677824390097&amp;nav_ref=pages_classic_isolated_section_inbox_redirect&amp;entry_exp=sodhniwgpb&amp;mailbox_id=&amp;selected_item_id=100003660419240" TargetMode="External"/><Relationship Id="rId84" Type="http://schemas.openxmlformats.org/officeDocument/2006/relationships/hyperlink" Target="https://docs.google.com/spreadsheets/d/1ISzo0oFw_fO1PfSmt4hzGcltCGmQfhgobbqBt_abW-s/edit" TargetMode="External"/><Relationship Id="rId83" Type="http://schemas.openxmlformats.org/officeDocument/2006/relationships/hyperlink" Target="https://docs.google.com/spreadsheets/d/1ISzo0oFw_fO1PfSmt4hzGcltCGmQfhgobbqBt_abW-s/edit" TargetMode="External"/><Relationship Id="rId86" Type="http://schemas.openxmlformats.org/officeDocument/2006/relationships/hyperlink" Target="https://docs.google.com/spreadsheets/d/1ZGhRtAfODRu_Oi2ttrFIcltAZn38EAIvtdQihw-XWFY/edit" TargetMode="External"/><Relationship Id="rId85" Type="http://schemas.openxmlformats.org/officeDocument/2006/relationships/hyperlink" Target="https://docs.google.com/spreadsheets/d/1ISzo0oFw_fO1PfSmt4hzGcltCGmQfhgobbqBt_abW-s/edit" TargetMode="External"/><Relationship Id="rId88" Type="http://schemas.openxmlformats.org/officeDocument/2006/relationships/hyperlink" Target="https://docs.google.com/spreadsheets/d/1ZGhRtAfODRu_Oi2ttrFIcltAZn38EAIvtdQihw-XWFY/edit" TargetMode="External"/><Relationship Id="rId87" Type="http://schemas.openxmlformats.org/officeDocument/2006/relationships/hyperlink" Target="https://docs.google.com/spreadsheets/d/1ZGhRtAfODRu_Oi2ttrFIcltAZn38EAIvtdQihw-XWFY/edit" TargetMode="External"/><Relationship Id="rId89" Type="http://schemas.openxmlformats.org/officeDocument/2006/relationships/hyperlink" Target="https://docs.google.com/spreadsheets/d/1ZGhRtAfODRu_Oi2ttrFIcltAZn38EAIvtdQihw-XWFY/edit" TargetMode="External"/><Relationship Id="rId80" Type="http://schemas.openxmlformats.org/officeDocument/2006/relationships/hyperlink" Target="https://docs.google.com/spreadsheets/d/1ISzo0oFw_fO1PfSmt4hzGcltCGmQfhgobbqBt_abW-s/edit" TargetMode="External"/><Relationship Id="rId82" Type="http://schemas.openxmlformats.org/officeDocument/2006/relationships/hyperlink" Target="https://docs.google.com/spreadsheets/d/1ISzo0oFw_fO1PfSmt4hzGcltCGmQfhgobbqBt_abW-s/edit" TargetMode="External"/><Relationship Id="rId81" Type="http://schemas.openxmlformats.org/officeDocument/2006/relationships/hyperlink" Target="https://docs.google.com/spreadsheets/d/1ISzo0oFw_fO1PfSmt4hzGcltCGmQfhgobbqBt_abW-s/edit" TargetMode="External"/><Relationship Id="rId1" Type="http://schemas.openxmlformats.org/officeDocument/2006/relationships/comments" Target="../comments6.xml"/><Relationship Id="rId2" Type="http://schemas.openxmlformats.org/officeDocument/2006/relationships/hyperlink" Target="https://www.facebook.com/suri.huong.73" TargetMode="External"/><Relationship Id="rId3" Type="http://schemas.openxmlformats.org/officeDocument/2006/relationships/hyperlink" Target="https://www.facebook.com/thuykieu.phan.100" TargetMode="External"/><Relationship Id="rId4" Type="http://schemas.openxmlformats.org/officeDocument/2006/relationships/hyperlink" Target="https://business.facebook.com/latest/inbox/all?bpn_id=363372930910989&amp;asset_id=140924759399774&amp;nav_ref=pages_classic_isolated_section_inbox_diode&amp;entry_exp=sodhniwgpb&amp;mailbox_id=&amp;selected_item_id=100000335441713" TargetMode="External"/><Relationship Id="rId9" Type="http://schemas.openxmlformats.org/officeDocument/2006/relationships/hyperlink" Target="https://www.facebook.com/letrangg0712" TargetMode="External"/><Relationship Id="rId5" Type="http://schemas.openxmlformats.org/officeDocument/2006/relationships/hyperlink" Target="https://business.facebook.com/latest/inbox/all?bpn_id=363372930910989&amp;asset_id=140924759399774&amp;nav_ref=pages_classic_isolated_section_inbox_diode&amp;entry_exp=sodhniwgpb&amp;mailbox_id=&amp;selected_item_id=100000335441713" TargetMode="External"/><Relationship Id="rId6" Type="http://schemas.openxmlformats.org/officeDocument/2006/relationships/hyperlink" Target="https://www.facebook.com/Hangkhuyenmaitreem" TargetMode="External"/><Relationship Id="rId7" Type="http://schemas.openxmlformats.org/officeDocument/2006/relationships/hyperlink" Target="https://business.facebook.com/latest/inbox/all?asset_id=140924759399774&amp;nav_ref=pages_classic_isolated_section_inbox_redirect&amp;entry_exp=sodhniwgpb&amp;mailbox_id=&amp;selected_item_id=1336917631" TargetMode="External"/><Relationship Id="rId8" Type="http://schemas.openxmlformats.org/officeDocument/2006/relationships/hyperlink" Target="https://business.facebook.com/latest/inbox/all?asset_id=140924759399774&amp;nav_ref=your_pages_sidebar_inbox&amp;mailbox_id=&amp;selected_item_id=100004389731162" TargetMode="External"/><Relationship Id="rId73" Type="http://schemas.openxmlformats.org/officeDocument/2006/relationships/hyperlink" Target="https://docs.google.com/spreadsheets/d/1ISzo0oFw_fO1PfSmt4hzGcltCGmQfhgobbqBt_abW-s/edit" TargetMode="External"/><Relationship Id="rId72" Type="http://schemas.openxmlformats.org/officeDocument/2006/relationships/hyperlink" Target="https://docs.google.com/spreadsheets/d/1ISzo0oFw_fO1PfSmt4hzGcltCGmQfhgobbqBt_abW-s/edit" TargetMode="External"/><Relationship Id="rId75" Type="http://schemas.openxmlformats.org/officeDocument/2006/relationships/hyperlink" Target="https://docs.google.com/spreadsheets/d/1ISzo0oFw_fO1PfSmt4hzGcltCGmQfhgobbqBt_abW-s/edit" TargetMode="External"/><Relationship Id="rId74" Type="http://schemas.openxmlformats.org/officeDocument/2006/relationships/hyperlink" Target="https://docs.google.com/spreadsheets/d/1ISzo0oFw_fO1PfSmt4hzGcltCGmQfhgobbqBt_abW-s/edit" TargetMode="External"/><Relationship Id="rId77" Type="http://schemas.openxmlformats.org/officeDocument/2006/relationships/hyperlink" Target="https://docs.google.com/spreadsheets/d/1ISzo0oFw_fO1PfSmt4hzGcltCGmQfhgobbqBt_abW-s/edit" TargetMode="External"/><Relationship Id="rId76" Type="http://schemas.openxmlformats.org/officeDocument/2006/relationships/hyperlink" Target="https://docs.google.com/spreadsheets/d/1ISzo0oFw_fO1PfSmt4hzGcltCGmQfhgobbqBt_abW-s/edit" TargetMode="External"/><Relationship Id="rId79" Type="http://schemas.openxmlformats.org/officeDocument/2006/relationships/hyperlink" Target="https://docs.google.com/spreadsheets/d/1ISzo0oFw_fO1PfSmt4hzGcltCGmQfhgobbqBt_abW-s/edit" TargetMode="External"/><Relationship Id="rId78" Type="http://schemas.openxmlformats.org/officeDocument/2006/relationships/hyperlink" Target="https://docs.google.com/spreadsheets/d/1ISzo0oFw_fO1PfSmt4hzGcltCGmQfhgobbqBt_abW-s/edit" TargetMode="External"/><Relationship Id="rId71" Type="http://schemas.openxmlformats.org/officeDocument/2006/relationships/hyperlink" Target="https://docs.google.com/spreadsheets/d/1ISzo0oFw_fO1PfSmt4hzGcltCGmQfhgobbqBt_abW-s/edit" TargetMode="External"/><Relationship Id="rId70" Type="http://schemas.openxmlformats.org/officeDocument/2006/relationships/hyperlink" Target="https://docs.google.com/spreadsheets/d/1ISzo0oFw_fO1PfSmt4hzGcltCGmQfhgobbqBt_abW-s/edit" TargetMode="External"/><Relationship Id="rId62" Type="http://schemas.openxmlformats.org/officeDocument/2006/relationships/hyperlink" Target="https://www.facebook.com/hathithanhnhan206" TargetMode="External"/><Relationship Id="rId61" Type="http://schemas.openxmlformats.org/officeDocument/2006/relationships/hyperlink" Target="https://business.facebook.com/latest/inbox/all?asset_id=140924759399774&amp;nav_ref=pages_classic_isolated_section_inbox_redirect&amp;selected_item_id=100013239126514&amp;mailbox_id=" TargetMode="External"/><Relationship Id="rId64" Type="http://schemas.openxmlformats.org/officeDocument/2006/relationships/hyperlink" Target="https://www.facebook.com/thuhuyen.pham.587/?show_switched_toast=0&amp;show_invite_to_follow=0&amp;show_switched_tooltip=0&amp;show_podcast_settings=0&amp;show_community_review_changes=0&amp;show_community_rollback=0&amp;show_follower_visibility_disclosure=0" TargetMode="External"/><Relationship Id="rId63" Type="http://schemas.openxmlformats.org/officeDocument/2006/relationships/hyperlink" Target="https://www.facebook.com/nguyen.phuong.54772" TargetMode="External"/><Relationship Id="rId66" Type="http://schemas.openxmlformats.org/officeDocument/2006/relationships/hyperlink" Target="https://business.facebook.com/latest/inbox/all?asset_id=140924759399774&amp;nav_ref=diode_page_inbox_message_notif%3Fnotif_m%3Dalerts_page&amp;mailbox_id=&amp;selected_item_id=100003707881910" TargetMode="External"/><Relationship Id="rId65" Type="http://schemas.openxmlformats.org/officeDocument/2006/relationships/hyperlink" Target="https://www.facebook.com/hagiang.le.75/?show_switched_toast=0&amp;show_invite_to_follow=0&amp;show_switched_tooltip=0&amp;show_podcast_settings=0&amp;show_community_review_changes=0&amp;show_community_rollback=0&amp;show_follower_visibility_disclosure=0" TargetMode="External"/><Relationship Id="rId68" Type="http://schemas.openxmlformats.org/officeDocument/2006/relationships/hyperlink" Target="http://hocmai.vn/" TargetMode="External"/><Relationship Id="rId67" Type="http://schemas.openxmlformats.org/officeDocument/2006/relationships/hyperlink" Target="https://business.facebook.com/latest/inbox/all?bpn_id=363372930910989&amp;asset_id=140924759399774&amp;nav_ref=redirect_biz_inbox_comet_profile_plus_ap_page_inbox_message_button&amp;mailbox_id=&amp;selected_item_id=571771763" TargetMode="External"/><Relationship Id="rId60" Type="http://schemas.openxmlformats.org/officeDocument/2006/relationships/hyperlink" Target="https://business.facebook.com/latest/inbox/all?asset_id=140924759399774&amp;nav_ref=pages_classic_isolated_section_inbox_redirect&amp;mailbox_id=&amp;selected_item_id=100002068973991" TargetMode="External"/><Relationship Id="rId69" Type="http://schemas.openxmlformats.org/officeDocument/2006/relationships/hyperlink" Target="https://docs.google.com/spreadsheets/d/1ISzo0oFw_fO1PfSmt4hzGcltCGmQfhgobbqBt_abW-s/edit" TargetMode="External"/><Relationship Id="rId51" Type="http://schemas.openxmlformats.org/officeDocument/2006/relationships/hyperlink" Target="https://business.facebook.com/latest/inbox/all?bpn_id=363372930910989&amp;asset_id=140924759399774&amp;nav_ref=redirect_biz_inbox_comet_profile_plus_ap_page_inbox_message_button&amp;mailbox_id=&amp;selected_item_id=100000206158440" TargetMode="External"/><Relationship Id="rId50" Type="http://schemas.openxmlformats.org/officeDocument/2006/relationships/hyperlink" Target="https://business.facebook.com/latest/inbox/all?bpn_id=363372930910989&amp;asset_id=140924759399774&amp;nav_ref=redirect_biz_inbox_comet_profile_plus_ap_page_inbox_message_button&amp;mailbox_id=&amp;selected_item_id=100029754840304" TargetMode="External"/><Relationship Id="rId53" Type="http://schemas.openxmlformats.org/officeDocument/2006/relationships/hyperlink" Target="https://business.facebook.com/latest/inbox/all?bpn_id=363372930910989&amp;asset_id=140924759399774&amp;nav_ref=redirect_biz_inbox_comet_profile_plus_ap_page_inbox_message_button&amp;mailbox_id=&amp;selected_item_id=100035403301127" TargetMode="External"/><Relationship Id="rId52" Type="http://schemas.openxmlformats.org/officeDocument/2006/relationships/hyperlink" Target="https://business.facebook.com/latest/inbox/all?bpn_id=363372930910989&amp;asset_id=140924759399774&amp;nav_ref=redirect_biz_inbox_comet_profile_plus_ap_page_inbox_message_button&amp;mailbox_id=&amp;selected_item_id=100002672618431" TargetMode="External"/><Relationship Id="rId55" Type="http://schemas.openxmlformats.org/officeDocument/2006/relationships/hyperlink" Target="https://www.facebook.com/profile.php?id=100009615101828" TargetMode="External"/><Relationship Id="rId54" Type="http://schemas.openxmlformats.org/officeDocument/2006/relationships/hyperlink" Target="https://business.facebook.com/latest/inbox/all?bpn_id=363372930910989&amp;asset_id=140924759399774&amp;nav_ref=redirect_biz_inbox_comet_profile_plus_ap_page_inbox_message_button&amp;mailbox_id=&amp;selected_item_id=100008130192032" TargetMode="External"/><Relationship Id="rId57" Type="http://schemas.openxmlformats.org/officeDocument/2006/relationships/hyperlink" Target="https://business.facebook.com/latest/inbox/all?bpn_id=363372930910989&amp;asset_id=140924759399774&amp;nav_ref=redirect_biz_inbox_comet_profile_plus_ap_page_inbox_message_button&amp;mailbox_id=&amp;selected_item_id=100003700571547" TargetMode="External"/><Relationship Id="rId56" Type="http://schemas.openxmlformats.org/officeDocument/2006/relationships/hyperlink" Target="https://business.facebook.com/latest/inbox/all?bpn_id=363372930910989&amp;asset_id=140924759399774&amp;nav_ref=redirect_biz_inbox_comet_profile_plus_ap_page_inbox_message_button&amp;mailbox_id=&amp;selected_item_id=100001206863903" TargetMode="External"/><Relationship Id="rId59" Type="http://schemas.openxmlformats.org/officeDocument/2006/relationships/hyperlink" Target="https://business.facebook.com/latest/inbox/all?bpn_id=363372930910989&amp;asset_id=140924759399774&amp;nav_ref=redirect_biz_inbox_comet_profile_plus_ap_page_inbox_message_button&amp;mailbox_id=&amp;selected_item_id=100002798795133" TargetMode="External"/><Relationship Id="rId58" Type="http://schemas.openxmlformats.org/officeDocument/2006/relationships/hyperlink" Target="https://business.facebook.com/latest/inbox/all?bpn_id=363372930910989&amp;asset_id=140924759399774&amp;nav_ref=redirect_biz_inbox_comet_profile_plus_ap_page_inbox_message_button&amp;mailbox_id=&amp;selected_item_id=100001580872946"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spreadsheets/d/1ZGhRtAfODRu_Oi2ttrFIcltAZn38EAIvtdQihw-XWFY/edit" TargetMode="External"/><Relationship Id="rId42" Type="http://schemas.openxmlformats.org/officeDocument/2006/relationships/hyperlink" Target="https://docs.google.com/spreadsheets/d/1ZGhRtAfODRu_Oi2ttrFIcltAZn38EAIvtdQihw-XWFY/edit" TargetMode="External"/><Relationship Id="rId41" Type="http://schemas.openxmlformats.org/officeDocument/2006/relationships/hyperlink" Target="https://docs.google.com/spreadsheets/d/1ZGhRtAfODRu_Oi2ttrFIcltAZn38EAIvtdQihw-XWFY/edit" TargetMode="External"/><Relationship Id="rId44" Type="http://schemas.openxmlformats.org/officeDocument/2006/relationships/hyperlink" Target="https://docs.google.com/spreadsheets/d/1ZGhRtAfODRu_Oi2ttrFIcltAZn38EAIvtdQihw-XWFY/edit" TargetMode="External"/><Relationship Id="rId43" Type="http://schemas.openxmlformats.org/officeDocument/2006/relationships/hyperlink" Target="https://docs.google.com/spreadsheets/d/1ZGhRtAfODRu_Oi2ttrFIcltAZn38EAIvtdQihw-XWFY/edit" TargetMode="External"/><Relationship Id="rId46" Type="http://schemas.openxmlformats.org/officeDocument/2006/relationships/hyperlink" Target="https://docs.google.com/spreadsheets/d/1ZGhRtAfODRu_Oi2ttrFIcltAZn38EAIvtdQihw-XWFY/edit" TargetMode="External"/><Relationship Id="rId45" Type="http://schemas.openxmlformats.org/officeDocument/2006/relationships/hyperlink" Target="https://docs.google.com/spreadsheets/d/1ISzo0oFw_fO1PfSmt4hzGcltCGmQfhgobbqBt_abW-s/edit" TargetMode="External"/><Relationship Id="rId1" Type="http://schemas.openxmlformats.org/officeDocument/2006/relationships/comments" Target="../comments1.xml"/><Relationship Id="rId2" Type="http://schemas.openxmlformats.org/officeDocument/2006/relationships/hyperlink" Target="https://www.facebook.com/suri.huong.73" TargetMode="External"/><Relationship Id="rId3" Type="http://schemas.openxmlformats.org/officeDocument/2006/relationships/hyperlink" Target="https://www.facebook.com/thuykieu.phan.100" TargetMode="External"/><Relationship Id="rId4" Type="http://schemas.openxmlformats.org/officeDocument/2006/relationships/hyperlink" Target="https://business.facebook.com/latest/inbox/all?bpn_id=363372930910989&amp;asset_id=140924759399774&amp;nav_ref=pages_classic_isolated_section_inbox_diode&amp;entry_exp=sodhniwgpb&amp;mailbox_id=&amp;selected_item_id=100000335441713" TargetMode="External"/><Relationship Id="rId9" Type="http://schemas.openxmlformats.org/officeDocument/2006/relationships/hyperlink" Target="https://www.facebook.com/hoa.vo.144" TargetMode="External"/><Relationship Id="rId48" Type="http://schemas.openxmlformats.org/officeDocument/2006/relationships/hyperlink" Target="https://docs.google.com/spreadsheets/d/1ISzo0oFw_fO1PfSmt4hzGcltCGmQfhgobbqBt_abW-s/edit" TargetMode="External"/><Relationship Id="rId47" Type="http://schemas.openxmlformats.org/officeDocument/2006/relationships/hyperlink" Target="https://docs.google.com/spreadsheets/d/1ZGhRtAfODRu_Oi2ttrFIcltAZn38EAIvtdQihw-XWFY/edit" TargetMode="External"/><Relationship Id="rId49" Type="http://schemas.openxmlformats.org/officeDocument/2006/relationships/hyperlink" Target="https://docs.google.com/spreadsheets/d/1ISzo0oFw_fO1PfSmt4hzGcltCGmQfhgobbqBt_abW-s/edit" TargetMode="External"/><Relationship Id="rId5" Type="http://schemas.openxmlformats.org/officeDocument/2006/relationships/hyperlink" Target="https://www.facebook.com/Hangkhuyenmaitreem" TargetMode="External"/><Relationship Id="rId6" Type="http://schemas.openxmlformats.org/officeDocument/2006/relationships/hyperlink" Target="https://www.facebook.com/letrangg0712" TargetMode="External"/><Relationship Id="rId7" Type="http://schemas.openxmlformats.org/officeDocument/2006/relationships/hyperlink" Target="https://www.facebook.com/profile.php?id=100034713750835" TargetMode="External"/><Relationship Id="rId8" Type="http://schemas.openxmlformats.org/officeDocument/2006/relationships/hyperlink" Target="https://www.facebook.com/cothanhthanthien" TargetMode="External"/><Relationship Id="rId31" Type="http://schemas.openxmlformats.org/officeDocument/2006/relationships/hyperlink" Target="https://docs.google.com/spreadsheets/d/1ISzo0oFw_fO1PfSmt4hzGcltCGmQfhgobbqBt_abW-s/edit" TargetMode="External"/><Relationship Id="rId30" Type="http://schemas.openxmlformats.org/officeDocument/2006/relationships/hyperlink" Target="https://docs.google.com/spreadsheets/d/1ISzo0oFw_fO1PfSmt4hzGcltCGmQfhgobbqBt_abW-s/edit" TargetMode="External"/><Relationship Id="rId33" Type="http://schemas.openxmlformats.org/officeDocument/2006/relationships/hyperlink" Target="https://docs.google.com/spreadsheets/d/1ZGhRtAfODRu_Oi2ttrFIcltAZn38EAIvtdQihw-XWFY/edit" TargetMode="External"/><Relationship Id="rId32" Type="http://schemas.openxmlformats.org/officeDocument/2006/relationships/hyperlink" Target="https://docs.google.com/spreadsheets/d/1ISzo0oFw_fO1PfSmt4hzGcltCGmQfhgobbqBt_abW-s/edit" TargetMode="External"/><Relationship Id="rId35" Type="http://schemas.openxmlformats.org/officeDocument/2006/relationships/hyperlink" Target="https://docs.google.com/spreadsheets/d/1ZGhRtAfODRu_Oi2ttrFIcltAZn38EAIvtdQihw-XWFY/edit" TargetMode="External"/><Relationship Id="rId34" Type="http://schemas.openxmlformats.org/officeDocument/2006/relationships/hyperlink" Target="https://docs.google.com/spreadsheets/d/1ZGhRtAfODRu_Oi2ttrFIcltAZn38EAIvtdQihw-XWFY/edit" TargetMode="External"/><Relationship Id="rId37" Type="http://schemas.openxmlformats.org/officeDocument/2006/relationships/hyperlink" Target="https://docs.google.com/spreadsheets/d/1ZGhRtAfODRu_Oi2ttrFIcltAZn38EAIvtdQihw-XWFY/edit" TargetMode="External"/><Relationship Id="rId36" Type="http://schemas.openxmlformats.org/officeDocument/2006/relationships/hyperlink" Target="https://docs.google.com/spreadsheets/d/1ZGhRtAfODRu_Oi2ttrFIcltAZn38EAIvtdQihw-XWFY/edit" TargetMode="External"/><Relationship Id="rId39" Type="http://schemas.openxmlformats.org/officeDocument/2006/relationships/hyperlink" Target="https://docs.google.com/spreadsheets/d/1ZGhRtAfODRu_Oi2ttrFIcltAZn38EAIvtdQihw-XWFY/edit" TargetMode="External"/><Relationship Id="rId38" Type="http://schemas.openxmlformats.org/officeDocument/2006/relationships/hyperlink" Target="https://docs.google.com/spreadsheets/d/1ZGhRtAfODRu_Oi2ttrFIcltAZn38EAIvtdQihw-XWFY/edit" TargetMode="External"/><Relationship Id="rId20" Type="http://schemas.openxmlformats.org/officeDocument/2006/relationships/hyperlink" Target="https://docs.google.com/spreadsheets/d/1ISzo0oFw_fO1PfSmt4hzGcltCGmQfhgobbqBt_abW-s/edit" TargetMode="External"/><Relationship Id="rId22" Type="http://schemas.openxmlformats.org/officeDocument/2006/relationships/hyperlink" Target="https://docs.google.com/spreadsheets/d/1ISzo0oFw_fO1PfSmt4hzGcltCGmQfhgobbqBt_abW-s/edit" TargetMode="External"/><Relationship Id="rId21" Type="http://schemas.openxmlformats.org/officeDocument/2006/relationships/hyperlink" Target="https://docs.google.com/spreadsheets/d/1ISzo0oFw_fO1PfSmt4hzGcltCGmQfhgobbqBt_abW-s/edit" TargetMode="External"/><Relationship Id="rId24" Type="http://schemas.openxmlformats.org/officeDocument/2006/relationships/hyperlink" Target="https://docs.google.com/spreadsheets/d/1ISzo0oFw_fO1PfSmt4hzGcltCGmQfhgobbqBt_abW-s/edit" TargetMode="External"/><Relationship Id="rId23" Type="http://schemas.openxmlformats.org/officeDocument/2006/relationships/hyperlink" Target="https://docs.google.com/spreadsheets/d/1ISzo0oFw_fO1PfSmt4hzGcltCGmQfhgobbqBt_abW-s/edit" TargetMode="External"/><Relationship Id="rId26" Type="http://schemas.openxmlformats.org/officeDocument/2006/relationships/hyperlink" Target="https://docs.google.com/spreadsheets/d/1ISzo0oFw_fO1PfSmt4hzGcltCGmQfhgobbqBt_abW-s/edit" TargetMode="External"/><Relationship Id="rId25" Type="http://schemas.openxmlformats.org/officeDocument/2006/relationships/hyperlink" Target="https://docs.google.com/spreadsheets/d/1ISzo0oFw_fO1PfSmt4hzGcltCGmQfhgobbqBt_abW-s/edit" TargetMode="External"/><Relationship Id="rId28" Type="http://schemas.openxmlformats.org/officeDocument/2006/relationships/hyperlink" Target="https://docs.google.com/spreadsheets/d/1ISzo0oFw_fO1PfSmt4hzGcltCGmQfhgobbqBt_abW-s/edit" TargetMode="External"/><Relationship Id="rId27" Type="http://schemas.openxmlformats.org/officeDocument/2006/relationships/hyperlink" Target="https://docs.google.com/spreadsheets/d/1ISzo0oFw_fO1PfSmt4hzGcltCGmQfhgobbqBt_abW-s/edit" TargetMode="External"/><Relationship Id="rId29" Type="http://schemas.openxmlformats.org/officeDocument/2006/relationships/hyperlink" Target="https://docs.google.com/spreadsheets/d/1ISzo0oFw_fO1PfSmt4hzGcltCGmQfhgobbqBt_abW-s/edit" TargetMode="External"/><Relationship Id="rId51" Type="http://schemas.openxmlformats.org/officeDocument/2006/relationships/drawing" Target="../drawings/drawing2.xml"/><Relationship Id="rId50" Type="http://schemas.openxmlformats.org/officeDocument/2006/relationships/hyperlink" Target="https://docs.google.com/spreadsheets/d/1ZGhRtAfODRu_Oi2ttrFIcltAZn38EAIvtdQihw-XWFY/edit" TargetMode="External"/><Relationship Id="rId52" Type="http://schemas.openxmlformats.org/officeDocument/2006/relationships/vmlDrawing" Target="../drawings/vmlDrawing1.vml"/><Relationship Id="rId11" Type="http://schemas.openxmlformats.org/officeDocument/2006/relationships/hyperlink" Target="https://www.facebook.com/hathithanhnhan206" TargetMode="External"/><Relationship Id="rId10" Type="http://schemas.openxmlformats.org/officeDocument/2006/relationships/hyperlink" Target="https://www.facebook.com/huong.phuong.568" TargetMode="External"/><Relationship Id="rId13" Type="http://schemas.openxmlformats.org/officeDocument/2006/relationships/hyperlink" Target="https://www.facebook.com/thuhuyen.pham.587/?show_switched_toast=0&amp;show_invite_to_follow=0&amp;show_switched_tooltip=0&amp;show_podcast_settings=0&amp;show_community_review_changes=0&amp;show_community_rollback=0&amp;show_follower_visibility_disclosure=0" TargetMode="External"/><Relationship Id="rId12" Type="http://schemas.openxmlformats.org/officeDocument/2006/relationships/hyperlink" Target="https://www.facebook.com/nguyen.phuong.54772" TargetMode="External"/><Relationship Id="rId15" Type="http://schemas.openxmlformats.org/officeDocument/2006/relationships/hyperlink" Target="http://hocmai.vn/" TargetMode="External"/><Relationship Id="rId14" Type="http://schemas.openxmlformats.org/officeDocument/2006/relationships/hyperlink" Target="https://www.facebook.com/hagiang.le.75/?show_switched_toast=0&amp;show_invite_to_follow=0&amp;show_switched_tooltip=0&amp;show_podcast_settings=0&amp;show_community_review_changes=0&amp;show_community_rollback=0&amp;show_follower_visibility_disclosure=0" TargetMode="External"/><Relationship Id="rId17" Type="http://schemas.openxmlformats.org/officeDocument/2006/relationships/hyperlink" Target="https://docs.google.com/spreadsheets/d/1ISzo0oFw_fO1PfSmt4hzGcltCGmQfhgobbqBt_abW-s/edit" TargetMode="External"/><Relationship Id="rId16" Type="http://schemas.openxmlformats.org/officeDocument/2006/relationships/hyperlink" Target="https://docs.google.com/spreadsheets/d/1ISzo0oFw_fO1PfSmt4hzGcltCGmQfhgobbqBt_abW-s/edit" TargetMode="External"/><Relationship Id="rId19" Type="http://schemas.openxmlformats.org/officeDocument/2006/relationships/hyperlink" Target="https://docs.google.com/spreadsheets/d/1ISzo0oFw_fO1PfSmt4hzGcltCGmQfhgobbqBt_abW-s/edit" TargetMode="External"/><Relationship Id="rId18" Type="http://schemas.openxmlformats.org/officeDocument/2006/relationships/hyperlink" Target="https://docs.google.com/spreadsheets/d/1ISzo0oFw_fO1PfSmt4hzGcltCGmQfhgobbqBt_abW-s/ed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0"/>
  <cols>
    <col customWidth="1" min="1" max="1" width="12.0"/>
    <col customWidth="1" min="2" max="2" width="17.25"/>
    <col customWidth="1" min="3" max="3" width="20.88"/>
    <col customWidth="1" min="4" max="4" width="18.88"/>
    <col customWidth="1" min="5" max="5" width="12.88"/>
    <col customWidth="1" min="6" max="6" width="7.25"/>
    <col customWidth="1" min="7" max="7" width="8.75"/>
    <col customWidth="1" min="8" max="8" width="14.0"/>
    <col customWidth="1" min="9" max="9" width="10.5"/>
    <col customWidth="1" min="10" max="10" width="10.25"/>
    <col customWidth="1" min="11" max="11" width="20.63"/>
    <col customWidth="1" min="12" max="12" width="14.5"/>
    <col customWidth="1" min="13" max="14" width="21.38"/>
    <col customWidth="1" min="15" max="15" width="52.88"/>
    <col customWidth="1" min="16" max="16" width="20.88"/>
    <col customWidth="1" min="17" max="17" width="10.63"/>
    <col customWidth="1" min="18" max="18" width="10.38"/>
    <col customWidth="1" min="19" max="19" width="42.25"/>
    <col customWidth="1" min="20" max="22" width="19.5"/>
    <col customWidth="1" min="23" max="23" width="22.25"/>
    <col customWidth="1" min="24" max="26" width="19.5"/>
    <col customWidth="1" min="27" max="27" width="6.25"/>
    <col customWidth="1" min="28" max="28" width="7.38"/>
  </cols>
  <sheetData>
    <row r="1" ht="15.75" customHeight="1">
      <c r="A1" s="1" t="s">
        <v>0</v>
      </c>
      <c r="B1" s="2" t="s">
        <v>1</v>
      </c>
      <c r="C1" s="2" t="s">
        <v>2</v>
      </c>
      <c r="D1" s="2" t="s">
        <v>3</v>
      </c>
      <c r="E1" s="3" t="s">
        <v>4</v>
      </c>
      <c r="F1" s="2" t="s">
        <v>5</v>
      </c>
      <c r="G1" s="2" t="s">
        <v>6</v>
      </c>
      <c r="H1" s="4" t="s">
        <v>7</v>
      </c>
      <c r="I1" s="5" t="s">
        <v>8</v>
      </c>
      <c r="J1" s="5" t="s">
        <v>9</v>
      </c>
      <c r="K1" s="6" t="s">
        <v>10</v>
      </c>
      <c r="L1" s="2" t="s">
        <v>11</v>
      </c>
      <c r="M1" s="2" t="s">
        <v>12</v>
      </c>
      <c r="N1" s="2" t="s">
        <v>13</v>
      </c>
      <c r="O1" s="2" t="s">
        <v>14</v>
      </c>
      <c r="P1" s="3" t="s">
        <v>15</v>
      </c>
      <c r="Q1" s="2" t="s">
        <v>16</v>
      </c>
      <c r="R1" s="2" t="s">
        <v>17</v>
      </c>
      <c r="S1" s="2" t="s">
        <v>18</v>
      </c>
      <c r="T1" s="2" t="s">
        <v>19</v>
      </c>
      <c r="U1" s="7" t="s">
        <v>20</v>
      </c>
      <c r="V1" s="3" t="s">
        <v>21</v>
      </c>
      <c r="W1" s="3" t="s">
        <v>22</v>
      </c>
      <c r="X1" s="8" t="s">
        <v>23</v>
      </c>
      <c r="Y1" s="9" t="s">
        <v>24</v>
      </c>
      <c r="Z1" s="8" t="s">
        <v>25</v>
      </c>
      <c r="AA1" s="10" t="s">
        <v>26</v>
      </c>
      <c r="AB1" s="10" t="s">
        <v>27</v>
      </c>
    </row>
    <row r="2" ht="15.75" customHeight="1">
      <c r="A2" s="11"/>
      <c r="B2" s="11"/>
      <c r="C2" s="11"/>
      <c r="D2" s="11"/>
      <c r="E2" s="11"/>
      <c r="F2" s="11"/>
      <c r="G2" s="11"/>
      <c r="H2" s="11"/>
      <c r="I2" s="11"/>
      <c r="J2" s="11"/>
      <c r="K2" s="11"/>
      <c r="L2" s="11"/>
      <c r="M2" s="11"/>
      <c r="N2" s="11"/>
      <c r="O2" s="11"/>
      <c r="P2" s="11"/>
      <c r="Q2" s="11"/>
      <c r="R2" s="11"/>
      <c r="S2" s="11"/>
      <c r="T2" s="11"/>
      <c r="U2" s="11"/>
      <c r="V2" s="11"/>
      <c r="W2" s="11"/>
      <c r="X2" s="11"/>
      <c r="Y2" s="11"/>
      <c r="Z2" s="11"/>
    </row>
    <row r="3" ht="15.75" customHeight="1">
      <c r="A3" s="12">
        <v>45047.0</v>
      </c>
      <c r="B3" s="13" t="s">
        <v>28</v>
      </c>
      <c r="C3" s="13" t="s">
        <v>29</v>
      </c>
      <c r="D3" s="14"/>
      <c r="E3" s="13">
        <v>3.0</v>
      </c>
      <c r="F3" s="14"/>
      <c r="G3" s="14"/>
      <c r="H3" s="15" t="s">
        <v>30</v>
      </c>
      <c r="I3" s="16" t="s">
        <v>31</v>
      </c>
      <c r="J3" s="14"/>
      <c r="K3" s="13" t="s">
        <v>32</v>
      </c>
      <c r="L3" s="14" t="s">
        <v>33</v>
      </c>
      <c r="M3" s="14" t="s">
        <v>34</v>
      </c>
      <c r="N3" s="14" t="b">
        <v>0</v>
      </c>
      <c r="O3" s="14"/>
      <c r="P3" s="14"/>
      <c r="Q3" s="14"/>
      <c r="R3" s="14"/>
      <c r="S3" s="14" t="s">
        <v>35</v>
      </c>
      <c r="T3" s="14" t="s">
        <v>36</v>
      </c>
      <c r="U3" s="17"/>
      <c r="V3" s="14"/>
      <c r="W3" s="14"/>
      <c r="X3" s="18"/>
      <c r="Y3" s="18"/>
      <c r="Z3" s="18"/>
      <c r="AA3" s="19">
        <f t="shared" ref="AA3:AA952" si="1">if(or(month(A3)&lt;5,A3=""),"", month(A3))</f>
        <v>5</v>
      </c>
      <c r="AB3" s="19" t="str">
        <f t="shared" ref="AB3:AB931" si="2">if(V2="","", month(V2))</f>
        <v/>
      </c>
    </row>
    <row r="4" ht="15.75" customHeight="1">
      <c r="A4" s="12">
        <v>45047.0</v>
      </c>
      <c r="B4" s="13" t="s">
        <v>28</v>
      </c>
      <c r="C4" s="14" t="s">
        <v>37</v>
      </c>
      <c r="D4" s="14" t="s">
        <v>38</v>
      </c>
      <c r="E4" s="13">
        <v>11.0</v>
      </c>
      <c r="F4" s="14"/>
      <c r="G4" s="14"/>
      <c r="H4" s="15" t="s">
        <v>39</v>
      </c>
      <c r="I4" s="16" t="s">
        <v>40</v>
      </c>
      <c r="J4" s="14"/>
      <c r="K4" s="20"/>
      <c r="L4" s="14" t="s">
        <v>33</v>
      </c>
      <c r="M4" s="14" t="s">
        <v>34</v>
      </c>
      <c r="N4" s="14" t="b">
        <v>1</v>
      </c>
      <c r="O4" s="13" t="s">
        <v>41</v>
      </c>
      <c r="P4" s="13" t="s">
        <v>42</v>
      </c>
      <c r="Q4" s="14"/>
      <c r="R4" s="14"/>
      <c r="S4" s="14" t="s">
        <v>43</v>
      </c>
      <c r="T4" s="14" t="s">
        <v>36</v>
      </c>
      <c r="U4" s="17"/>
      <c r="V4" s="14"/>
      <c r="W4" s="14"/>
      <c r="X4" s="18"/>
      <c r="Y4" s="18"/>
      <c r="Z4" s="18"/>
      <c r="AA4" s="19">
        <f t="shared" si="1"/>
        <v>5</v>
      </c>
      <c r="AB4" s="19" t="str">
        <f t="shared" si="2"/>
        <v/>
      </c>
    </row>
    <row r="5" ht="15.75" customHeight="1">
      <c r="A5" s="12">
        <v>45052.0</v>
      </c>
      <c r="B5" s="13" t="s">
        <v>28</v>
      </c>
      <c r="C5" s="14" t="s">
        <v>44</v>
      </c>
      <c r="D5" s="14" t="s">
        <v>45</v>
      </c>
      <c r="E5" s="13">
        <v>6.0</v>
      </c>
      <c r="F5" s="14"/>
      <c r="G5" s="14"/>
      <c r="H5" s="21" t="s">
        <v>46</v>
      </c>
      <c r="I5" s="16" t="s">
        <v>47</v>
      </c>
      <c r="J5" s="14"/>
      <c r="K5" s="14"/>
      <c r="L5" s="14" t="s">
        <v>48</v>
      </c>
      <c r="M5" s="14" t="s">
        <v>34</v>
      </c>
      <c r="N5" s="14" t="b">
        <v>0</v>
      </c>
      <c r="O5" s="14"/>
      <c r="P5" s="14"/>
      <c r="Q5" s="14"/>
      <c r="R5" s="14"/>
      <c r="S5" s="14" t="s">
        <v>49</v>
      </c>
      <c r="T5" s="14" t="s">
        <v>36</v>
      </c>
      <c r="U5" s="17"/>
      <c r="V5" s="14"/>
      <c r="W5" s="14"/>
      <c r="X5" s="18"/>
      <c r="Y5" s="18"/>
      <c r="Z5" s="18"/>
      <c r="AA5" s="19">
        <f t="shared" si="1"/>
        <v>5</v>
      </c>
      <c r="AB5" s="19" t="str">
        <f t="shared" si="2"/>
        <v/>
      </c>
    </row>
    <row r="6" ht="15.75" customHeight="1">
      <c r="A6" s="12">
        <v>45054.0</v>
      </c>
      <c r="B6" s="13" t="s">
        <v>28</v>
      </c>
      <c r="C6" s="14" t="s">
        <v>50</v>
      </c>
      <c r="D6" s="14" t="s">
        <v>51</v>
      </c>
      <c r="E6" s="13">
        <v>11.0</v>
      </c>
      <c r="F6" s="14" t="s">
        <v>52</v>
      </c>
      <c r="G6" s="14"/>
      <c r="H6" s="15" t="s">
        <v>53</v>
      </c>
      <c r="I6" s="16" t="s">
        <v>54</v>
      </c>
      <c r="J6" s="14">
        <v>9.05575651E8</v>
      </c>
      <c r="K6" s="13" t="s">
        <v>55</v>
      </c>
      <c r="L6" s="14" t="s">
        <v>56</v>
      </c>
      <c r="M6" s="14" t="s">
        <v>34</v>
      </c>
      <c r="N6" s="14" t="b">
        <v>1</v>
      </c>
      <c r="O6" s="14" t="s">
        <v>57</v>
      </c>
      <c r="P6" s="13" t="s">
        <v>42</v>
      </c>
      <c r="Q6" s="14"/>
      <c r="R6" s="14"/>
      <c r="S6" s="14" t="s">
        <v>58</v>
      </c>
      <c r="T6" s="14" t="s">
        <v>36</v>
      </c>
      <c r="U6" s="22"/>
      <c r="V6" s="23">
        <v>45075.0</v>
      </c>
      <c r="W6" s="24" t="s">
        <v>59</v>
      </c>
      <c r="X6" s="25"/>
      <c r="Y6" s="25"/>
      <c r="Z6" s="25">
        <v>1000000.0</v>
      </c>
      <c r="AA6" s="19">
        <f t="shared" si="1"/>
        <v>5</v>
      </c>
      <c r="AB6" s="19" t="str">
        <f t="shared" si="2"/>
        <v/>
      </c>
    </row>
    <row r="7" ht="15.75" customHeight="1">
      <c r="A7" s="26">
        <v>45054.0</v>
      </c>
      <c r="B7" s="27" t="s">
        <v>60</v>
      </c>
      <c r="C7" s="28" t="s">
        <v>61</v>
      </c>
      <c r="D7" s="27" t="s">
        <v>62</v>
      </c>
      <c r="E7" s="24">
        <v>7.0</v>
      </c>
      <c r="F7" s="27" t="s">
        <v>63</v>
      </c>
      <c r="G7" s="27" t="s">
        <v>64</v>
      </c>
      <c r="H7" s="29" t="s">
        <v>65</v>
      </c>
      <c r="I7" s="27"/>
      <c r="J7" s="27"/>
      <c r="K7" s="27"/>
      <c r="L7" s="27" t="s">
        <v>66</v>
      </c>
      <c r="M7" s="27" t="s">
        <v>67</v>
      </c>
      <c r="N7" s="13" t="b">
        <v>1</v>
      </c>
      <c r="O7" s="27" t="s">
        <v>68</v>
      </c>
      <c r="P7" s="13" t="s">
        <v>69</v>
      </c>
      <c r="Q7" s="24" t="s">
        <v>59</v>
      </c>
      <c r="R7" s="27" t="s">
        <v>70</v>
      </c>
      <c r="S7" s="24" t="s">
        <v>71</v>
      </c>
      <c r="T7" s="24" t="s">
        <v>72</v>
      </c>
      <c r="U7" s="26"/>
      <c r="V7" s="14"/>
      <c r="W7" s="14"/>
      <c r="X7" s="18"/>
      <c r="Y7" s="18"/>
      <c r="Z7" s="18"/>
      <c r="AA7" s="19">
        <f t="shared" si="1"/>
        <v>5</v>
      </c>
      <c r="AB7" s="19">
        <f t="shared" si="2"/>
        <v>5</v>
      </c>
    </row>
    <row r="8" ht="15.75" customHeight="1">
      <c r="A8" s="12">
        <v>45054.0</v>
      </c>
      <c r="B8" s="14" t="s">
        <v>73</v>
      </c>
      <c r="C8" s="14"/>
      <c r="D8" s="13" t="s">
        <v>74</v>
      </c>
      <c r="E8" s="13">
        <v>24.0</v>
      </c>
      <c r="F8" s="14"/>
      <c r="G8" s="14" t="s">
        <v>64</v>
      </c>
      <c r="H8" s="15" t="s">
        <v>75</v>
      </c>
      <c r="I8" s="14"/>
      <c r="J8" s="14"/>
      <c r="K8" s="14" t="s">
        <v>76</v>
      </c>
      <c r="L8" s="14" t="s">
        <v>33</v>
      </c>
      <c r="M8" s="14" t="s">
        <v>34</v>
      </c>
      <c r="N8" s="14" t="b">
        <v>0</v>
      </c>
      <c r="O8" s="14"/>
      <c r="P8" s="14"/>
      <c r="Q8" s="14"/>
      <c r="R8" s="14"/>
      <c r="S8" s="14" t="s">
        <v>77</v>
      </c>
      <c r="T8" s="14" t="s">
        <v>36</v>
      </c>
      <c r="U8" s="17"/>
      <c r="V8" s="30">
        <v>45056.0</v>
      </c>
      <c r="W8" s="27" t="s">
        <v>78</v>
      </c>
      <c r="X8" s="25">
        <v>7500000.0</v>
      </c>
      <c r="Y8" s="25">
        <v>0.0</v>
      </c>
      <c r="Z8" s="25">
        <v>7500000.0</v>
      </c>
      <c r="AA8" s="19">
        <f t="shared" si="1"/>
        <v>5</v>
      </c>
      <c r="AB8" s="19" t="str">
        <f t="shared" si="2"/>
        <v/>
      </c>
    </row>
    <row r="9" ht="15.75" customHeight="1">
      <c r="A9" s="26">
        <v>45054.0</v>
      </c>
      <c r="B9" s="24" t="s">
        <v>28</v>
      </c>
      <c r="C9" s="27"/>
      <c r="D9" s="24" t="s">
        <v>79</v>
      </c>
      <c r="E9" s="24">
        <v>27.0</v>
      </c>
      <c r="F9" s="27"/>
      <c r="G9" s="27" t="s">
        <v>64</v>
      </c>
      <c r="H9" s="31" t="s">
        <v>80</v>
      </c>
      <c r="I9" s="27"/>
      <c r="J9" s="27"/>
      <c r="K9" s="27" t="s">
        <v>76</v>
      </c>
      <c r="L9" s="27" t="s">
        <v>33</v>
      </c>
      <c r="M9" s="27" t="s">
        <v>67</v>
      </c>
      <c r="N9" s="13" t="b">
        <v>1</v>
      </c>
      <c r="O9" s="24" t="s">
        <v>81</v>
      </c>
      <c r="P9" s="13" t="s">
        <v>69</v>
      </c>
      <c r="Q9" s="24" t="s">
        <v>81</v>
      </c>
      <c r="R9" s="27"/>
      <c r="S9" s="27" t="s">
        <v>82</v>
      </c>
      <c r="T9" s="24" t="s">
        <v>72</v>
      </c>
      <c r="U9" s="26"/>
      <c r="V9" s="32">
        <v>45073.0</v>
      </c>
      <c r="W9" s="24" t="s">
        <v>83</v>
      </c>
      <c r="X9" s="25">
        <v>8750000.0</v>
      </c>
      <c r="Y9" s="25">
        <f>X9-Z9</f>
        <v>1312500</v>
      </c>
      <c r="Z9" s="25">
        <v>7437500.0</v>
      </c>
      <c r="AA9" s="19">
        <f t="shared" si="1"/>
        <v>5</v>
      </c>
      <c r="AB9" s="19">
        <f t="shared" si="2"/>
        <v>5</v>
      </c>
    </row>
    <row r="10" ht="15.75" customHeight="1">
      <c r="A10" s="12">
        <v>45054.0</v>
      </c>
      <c r="B10" s="27" t="s">
        <v>84</v>
      </c>
      <c r="C10" s="33" t="s">
        <v>85</v>
      </c>
      <c r="D10" s="27" t="s">
        <v>86</v>
      </c>
      <c r="E10" s="24">
        <v>13.0</v>
      </c>
      <c r="F10" s="27" t="s">
        <v>87</v>
      </c>
      <c r="G10" s="27" t="s">
        <v>64</v>
      </c>
      <c r="H10" s="34" t="s">
        <v>88</v>
      </c>
      <c r="I10" s="27"/>
      <c r="J10" s="27"/>
      <c r="K10" s="27"/>
      <c r="L10" s="27" t="s">
        <v>89</v>
      </c>
      <c r="M10" s="27" t="s">
        <v>67</v>
      </c>
      <c r="N10" s="13" t="b">
        <v>1</v>
      </c>
      <c r="O10" s="27" t="s">
        <v>90</v>
      </c>
      <c r="P10" s="13" t="s">
        <v>42</v>
      </c>
      <c r="Q10" s="24" t="s">
        <v>91</v>
      </c>
      <c r="R10" s="27"/>
      <c r="S10" s="27" t="s">
        <v>92</v>
      </c>
      <c r="T10" s="24" t="s">
        <v>72</v>
      </c>
      <c r="U10" s="26"/>
      <c r="V10" s="14"/>
      <c r="W10" s="14"/>
      <c r="X10" s="18"/>
      <c r="Y10" s="18"/>
      <c r="Z10" s="18"/>
      <c r="AA10" s="19">
        <f t="shared" si="1"/>
        <v>5</v>
      </c>
      <c r="AB10" s="19">
        <f t="shared" si="2"/>
        <v>5</v>
      </c>
    </row>
    <row r="11" ht="15.75" customHeight="1">
      <c r="A11" s="12">
        <v>45054.0</v>
      </c>
      <c r="B11" s="24" t="s">
        <v>28</v>
      </c>
      <c r="C11" s="14"/>
      <c r="D11" s="14" t="s">
        <v>93</v>
      </c>
      <c r="E11" s="13">
        <v>20.0</v>
      </c>
      <c r="F11" s="14"/>
      <c r="G11" s="14" t="s">
        <v>64</v>
      </c>
      <c r="H11" s="15" t="s">
        <v>94</v>
      </c>
      <c r="I11" s="14"/>
      <c r="J11" s="14"/>
      <c r="K11" s="14" t="s">
        <v>95</v>
      </c>
      <c r="L11" s="14" t="s">
        <v>33</v>
      </c>
      <c r="M11" s="14" t="s">
        <v>34</v>
      </c>
      <c r="N11" s="14" t="b">
        <v>0</v>
      </c>
      <c r="O11" s="14"/>
      <c r="P11" s="14"/>
      <c r="Q11" s="14"/>
      <c r="R11" s="14"/>
      <c r="S11" s="14" t="s">
        <v>96</v>
      </c>
      <c r="T11" s="14" t="s">
        <v>36</v>
      </c>
      <c r="U11" s="17"/>
      <c r="V11" s="14"/>
      <c r="W11" s="14"/>
      <c r="X11" s="18"/>
      <c r="Y11" s="18"/>
      <c r="Z11" s="18"/>
      <c r="AA11" s="19">
        <f t="shared" si="1"/>
        <v>5</v>
      </c>
      <c r="AB11" s="19" t="str">
        <f t="shared" si="2"/>
        <v/>
      </c>
    </row>
    <row r="12" ht="15.75" customHeight="1">
      <c r="A12" s="12">
        <v>45055.0</v>
      </c>
      <c r="B12" s="13" t="s">
        <v>28</v>
      </c>
      <c r="C12" s="35" t="s">
        <v>97</v>
      </c>
      <c r="D12" s="13" t="s">
        <v>98</v>
      </c>
      <c r="E12" s="13">
        <v>7.0</v>
      </c>
      <c r="F12" s="14"/>
      <c r="G12" s="14"/>
      <c r="H12" s="15" t="s">
        <v>99</v>
      </c>
      <c r="I12" s="14"/>
      <c r="J12" s="14"/>
      <c r="K12" s="14"/>
      <c r="L12" s="14" t="s">
        <v>48</v>
      </c>
      <c r="M12" s="14" t="s">
        <v>34</v>
      </c>
      <c r="N12" s="14" t="b">
        <v>0</v>
      </c>
      <c r="O12" s="14"/>
      <c r="P12" s="14"/>
      <c r="Q12" s="14"/>
      <c r="R12" s="14"/>
      <c r="S12" s="14" t="s">
        <v>100</v>
      </c>
      <c r="T12" s="14" t="s">
        <v>36</v>
      </c>
      <c r="U12" s="36"/>
      <c r="V12" s="37"/>
      <c r="W12" s="37"/>
      <c r="X12" s="38"/>
      <c r="Y12" s="38"/>
      <c r="Z12" s="38"/>
      <c r="AA12" s="19">
        <f t="shared" si="1"/>
        <v>5</v>
      </c>
      <c r="AB12" s="19" t="str">
        <f t="shared" si="2"/>
        <v/>
      </c>
    </row>
    <row r="13" ht="15.75" customHeight="1">
      <c r="A13" s="39">
        <v>45056.0</v>
      </c>
      <c r="B13" s="13" t="s">
        <v>28</v>
      </c>
      <c r="C13" s="35" t="s">
        <v>101</v>
      </c>
      <c r="D13" s="37" t="s">
        <v>102</v>
      </c>
      <c r="E13" s="35">
        <v>11.0</v>
      </c>
      <c r="F13" s="37" t="s">
        <v>103</v>
      </c>
      <c r="G13" s="37" t="s">
        <v>64</v>
      </c>
      <c r="H13" s="40" t="s">
        <v>104</v>
      </c>
      <c r="I13" s="37"/>
      <c r="J13" s="37"/>
      <c r="K13" s="37" t="s">
        <v>105</v>
      </c>
      <c r="L13" s="37" t="s">
        <v>33</v>
      </c>
      <c r="M13" s="37" t="s">
        <v>34</v>
      </c>
      <c r="N13" s="14" t="b">
        <v>1</v>
      </c>
      <c r="O13" s="35" t="s">
        <v>106</v>
      </c>
      <c r="P13" s="35" t="s">
        <v>69</v>
      </c>
      <c r="Q13" s="14"/>
      <c r="R13" s="14"/>
      <c r="S13" s="37" t="s">
        <v>107</v>
      </c>
      <c r="T13" s="14" t="s">
        <v>36</v>
      </c>
      <c r="U13" s="36"/>
      <c r="V13" s="14"/>
      <c r="W13" s="14"/>
      <c r="X13" s="18"/>
      <c r="Y13" s="18"/>
      <c r="Z13" s="18"/>
      <c r="AA13" s="19">
        <f t="shared" si="1"/>
        <v>5</v>
      </c>
      <c r="AB13" s="19" t="str">
        <f t="shared" si="2"/>
        <v/>
      </c>
    </row>
    <row r="14" ht="15.75" customHeight="1">
      <c r="A14" s="12">
        <v>45057.0</v>
      </c>
      <c r="B14" s="13" t="s">
        <v>28</v>
      </c>
      <c r="C14" s="14" t="s">
        <v>108</v>
      </c>
      <c r="D14" s="14" t="s">
        <v>109</v>
      </c>
      <c r="E14" s="13">
        <v>16.0</v>
      </c>
      <c r="F14" s="14" t="s">
        <v>103</v>
      </c>
      <c r="G14" s="14"/>
      <c r="H14" s="15" t="s">
        <v>110</v>
      </c>
      <c r="I14" s="14"/>
      <c r="J14" s="14"/>
      <c r="K14" s="14"/>
      <c r="L14" s="14" t="s">
        <v>111</v>
      </c>
      <c r="M14" s="14" t="s">
        <v>34</v>
      </c>
      <c r="N14" s="14" t="b">
        <v>1</v>
      </c>
      <c r="O14" s="13" t="s">
        <v>112</v>
      </c>
      <c r="P14" s="13" t="s">
        <v>69</v>
      </c>
      <c r="Q14" s="14"/>
      <c r="R14" s="14"/>
      <c r="S14" s="14" t="s">
        <v>113</v>
      </c>
      <c r="T14" s="14" t="s">
        <v>36</v>
      </c>
      <c r="U14" s="17"/>
      <c r="V14" s="14"/>
      <c r="W14" s="14"/>
      <c r="X14" s="18"/>
      <c r="Y14" s="18"/>
      <c r="Z14" s="18"/>
      <c r="AA14" s="19">
        <f t="shared" si="1"/>
        <v>5</v>
      </c>
      <c r="AB14" s="19" t="str">
        <f t="shared" si="2"/>
        <v/>
      </c>
    </row>
    <row r="15" ht="15.75" customHeight="1">
      <c r="A15" s="12">
        <v>45057.0</v>
      </c>
      <c r="B15" s="13" t="s">
        <v>28</v>
      </c>
      <c r="C15" s="14" t="s">
        <v>114</v>
      </c>
      <c r="D15" s="14"/>
      <c r="E15" s="13">
        <v>10.0</v>
      </c>
      <c r="F15" s="14" t="s">
        <v>115</v>
      </c>
      <c r="G15" s="14" t="s">
        <v>64</v>
      </c>
      <c r="H15" s="15" t="s">
        <v>116</v>
      </c>
      <c r="I15" s="14"/>
      <c r="J15" s="14"/>
      <c r="K15" s="14"/>
      <c r="L15" s="14" t="s">
        <v>48</v>
      </c>
      <c r="M15" s="14" t="s">
        <v>34</v>
      </c>
      <c r="N15" s="14" t="b">
        <v>0</v>
      </c>
      <c r="O15" s="14"/>
      <c r="P15" s="14"/>
      <c r="Q15" s="14"/>
      <c r="R15" s="14"/>
      <c r="S15" s="13" t="s">
        <v>117</v>
      </c>
      <c r="T15" s="14" t="s">
        <v>36</v>
      </c>
      <c r="U15" s="41"/>
      <c r="V15" s="14"/>
      <c r="W15" s="14"/>
      <c r="X15" s="18"/>
      <c r="Y15" s="18"/>
      <c r="Z15" s="18"/>
      <c r="AA15" s="19">
        <f t="shared" si="1"/>
        <v>5</v>
      </c>
      <c r="AB15" s="19" t="str">
        <f t="shared" si="2"/>
        <v/>
      </c>
    </row>
    <row r="16" ht="15.75" customHeight="1">
      <c r="A16" s="12">
        <v>45057.0</v>
      </c>
      <c r="B16" s="13" t="s">
        <v>28</v>
      </c>
      <c r="C16" s="14" t="s">
        <v>118</v>
      </c>
      <c r="D16" s="14" t="s">
        <v>119</v>
      </c>
      <c r="E16" s="13">
        <v>10.0</v>
      </c>
      <c r="F16" s="14"/>
      <c r="G16" s="14" t="s">
        <v>64</v>
      </c>
      <c r="H16" s="15" t="s">
        <v>120</v>
      </c>
      <c r="I16" s="14"/>
      <c r="J16" s="14"/>
      <c r="K16" s="14" t="s">
        <v>121</v>
      </c>
      <c r="L16" s="14" t="s">
        <v>111</v>
      </c>
      <c r="M16" s="14" t="s">
        <v>34</v>
      </c>
      <c r="N16" s="14" t="b">
        <v>0</v>
      </c>
      <c r="O16" s="14"/>
      <c r="P16" s="14"/>
      <c r="Q16" s="14"/>
      <c r="R16" s="14"/>
      <c r="S16" s="14" t="s">
        <v>122</v>
      </c>
      <c r="T16" s="14" t="s">
        <v>36</v>
      </c>
      <c r="U16" s="41"/>
      <c r="V16" s="14"/>
      <c r="W16" s="14"/>
      <c r="X16" s="18"/>
      <c r="Y16" s="18"/>
      <c r="Z16" s="18"/>
      <c r="AA16" s="19">
        <f t="shared" si="1"/>
        <v>5</v>
      </c>
      <c r="AB16" s="19" t="str">
        <f t="shared" si="2"/>
        <v/>
      </c>
    </row>
    <row r="17" ht="15.75" customHeight="1">
      <c r="A17" s="12">
        <v>45057.0</v>
      </c>
      <c r="B17" s="13" t="s">
        <v>28</v>
      </c>
      <c r="C17" s="13" t="s">
        <v>123</v>
      </c>
      <c r="D17" s="14" t="s">
        <v>124</v>
      </c>
      <c r="E17" s="13">
        <v>8.0</v>
      </c>
      <c r="F17" s="14">
        <v>3.0</v>
      </c>
      <c r="G17" s="14" t="s">
        <v>64</v>
      </c>
      <c r="H17" s="42" t="s">
        <v>125</v>
      </c>
      <c r="I17" s="14"/>
      <c r="J17" s="42" t="s">
        <v>125</v>
      </c>
      <c r="K17" s="14" t="s">
        <v>126</v>
      </c>
      <c r="L17" s="14" t="s">
        <v>111</v>
      </c>
      <c r="M17" s="13" t="s">
        <v>34</v>
      </c>
      <c r="N17" s="13" t="b">
        <v>1</v>
      </c>
      <c r="O17" s="27" t="s">
        <v>127</v>
      </c>
      <c r="P17" s="13" t="s">
        <v>69</v>
      </c>
      <c r="Q17" s="14"/>
      <c r="R17" s="14"/>
      <c r="S17" s="14" t="s">
        <v>128</v>
      </c>
      <c r="T17" s="13" t="s">
        <v>129</v>
      </c>
      <c r="U17" s="41"/>
      <c r="V17" s="23">
        <v>45072.0</v>
      </c>
      <c r="W17" s="24" t="s">
        <v>130</v>
      </c>
      <c r="X17" s="25"/>
      <c r="Y17" s="25"/>
      <c r="Z17" s="25">
        <v>5205400.0</v>
      </c>
      <c r="AA17" s="19">
        <f t="shared" si="1"/>
        <v>5</v>
      </c>
      <c r="AB17" s="19" t="str">
        <f t="shared" si="2"/>
        <v/>
      </c>
    </row>
    <row r="18" ht="15.75" customHeight="1">
      <c r="A18" s="26">
        <v>45057.0</v>
      </c>
      <c r="B18" s="13" t="s">
        <v>28</v>
      </c>
      <c r="C18" s="27" t="s">
        <v>131</v>
      </c>
      <c r="D18" s="27" t="s">
        <v>132</v>
      </c>
      <c r="E18" s="24">
        <v>10.0</v>
      </c>
      <c r="F18" s="27"/>
      <c r="G18" s="27" t="s">
        <v>64</v>
      </c>
      <c r="H18" s="29" t="s">
        <v>133</v>
      </c>
      <c r="I18" s="27"/>
      <c r="J18" s="27"/>
      <c r="K18" s="27"/>
      <c r="L18" s="27" t="s">
        <v>66</v>
      </c>
      <c r="M18" s="27" t="s">
        <v>67</v>
      </c>
      <c r="N18" s="13" t="b">
        <v>1</v>
      </c>
      <c r="O18" s="27" t="s">
        <v>127</v>
      </c>
      <c r="P18" s="13" t="s">
        <v>69</v>
      </c>
      <c r="Q18" s="24" t="s">
        <v>91</v>
      </c>
      <c r="R18" s="27"/>
      <c r="S18" s="27" t="s">
        <v>134</v>
      </c>
      <c r="T18" s="24" t="s">
        <v>72</v>
      </c>
      <c r="U18" s="26"/>
      <c r="V18" s="14"/>
      <c r="W18" s="14"/>
      <c r="X18" s="18"/>
      <c r="Y18" s="18"/>
      <c r="Z18" s="18"/>
      <c r="AA18" s="19">
        <f t="shared" si="1"/>
        <v>5</v>
      </c>
      <c r="AB18" s="19">
        <f t="shared" si="2"/>
        <v>5</v>
      </c>
    </row>
    <row r="19" ht="15.75" customHeight="1">
      <c r="A19" s="12">
        <v>45057.0</v>
      </c>
      <c r="B19" s="13" t="s">
        <v>28</v>
      </c>
      <c r="C19" s="14" t="s">
        <v>135</v>
      </c>
      <c r="D19" s="14"/>
      <c r="E19" s="13">
        <v>5.0</v>
      </c>
      <c r="F19" s="14"/>
      <c r="G19" s="14" t="s">
        <v>64</v>
      </c>
      <c r="H19" s="15" t="s">
        <v>136</v>
      </c>
      <c r="I19" s="14"/>
      <c r="J19" s="14"/>
      <c r="K19" s="14" t="s">
        <v>137</v>
      </c>
      <c r="L19" s="14" t="s">
        <v>48</v>
      </c>
      <c r="M19" s="14" t="s">
        <v>34</v>
      </c>
      <c r="N19" s="14" t="b">
        <v>0</v>
      </c>
      <c r="O19" s="14"/>
      <c r="P19" s="14"/>
      <c r="Q19" s="14"/>
      <c r="R19" s="14"/>
      <c r="S19" s="14" t="s">
        <v>138</v>
      </c>
      <c r="T19" s="14" t="s">
        <v>36</v>
      </c>
      <c r="U19" s="41"/>
      <c r="V19" s="14"/>
      <c r="W19" s="14"/>
      <c r="X19" s="18"/>
      <c r="Y19" s="18"/>
      <c r="Z19" s="18"/>
      <c r="AA19" s="19">
        <f t="shared" si="1"/>
        <v>5</v>
      </c>
      <c r="AB19" s="19" t="str">
        <f t="shared" si="2"/>
        <v/>
      </c>
    </row>
    <row r="20" ht="15.75" customHeight="1">
      <c r="A20" s="12">
        <v>45058.0</v>
      </c>
      <c r="B20" s="13" t="s">
        <v>28</v>
      </c>
      <c r="C20" s="14"/>
      <c r="D20" s="43" t="s">
        <v>139</v>
      </c>
      <c r="E20" s="13">
        <v>9.0</v>
      </c>
      <c r="F20" s="14">
        <v>3.0</v>
      </c>
      <c r="G20" s="14"/>
      <c r="H20" s="42" t="s">
        <v>140</v>
      </c>
      <c r="I20" s="14"/>
      <c r="J20" s="14"/>
      <c r="K20" s="14"/>
      <c r="L20" s="14" t="s">
        <v>48</v>
      </c>
      <c r="M20" s="14" t="s">
        <v>34</v>
      </c>
      <c r="N20" s="14" t="b">
        <v>0</v>
      </c>
      <c r="O20" s="14"/>
      <c r="P20" s="14"/>
      <c r="Q20" s="14"/>
      <c r="R20" s="14"/>
      <c r="S20" s="14" t="s">
        <v>141</v>
      </c>
      <c r="T20" s="14" t="s">
        <v>36</v>
      </c>
      <c r="U20" s="17"/>
      <c r="V20" s="14"/>
      <c r="W20" s="14"/>
      <c r="X20" s="18"/>
      <c r="Y20" s="18"/>
      <c r="Z20" s="18"/>
      <c r="AA20" s="19">
        <f t="shared" si="1"/>
        <v>5</v>
      </c>
      <c r="AB20" s="19" t="str">
        <f t="shared" si="2"/>
        <v/>
      </c>
    </row>
    <row r="21" ht="15.75" customHeight="1">
      <c r="A21" s="12">
        <v>45048.0</v>
      </c>
      <c r="B21" s="24" t="s">
        <v>28</v>
      </c>
      <c r="C21" s="14"/>
      <c r="D21" s="14" t="s">
        <v>142</v>
      </c>
      <c r="E21" s="13">
        <v>19.0</v>
      </c>
      <c r="F21" s="14" t="s">
        <v>143</v>
      </c>
      <c r="G21" s="14"/>
      <c r="H21" s="15" t="s">
        <v>144</v>
      </c>
      <c r="I21" s="16" t="s">
        <v>145</v>
      </c>
      <c r="J21" s="14"/>
      <c r="K21" s="14" t="s">
        <v>146</v>
      </c>
      <c r="L21" s="14" t="s">
        <v>48</v>
      </c>
      <c r="M21" s="14" t="s">
        <v>34</v>
      </c>
      <c r="N21" s="14" t="b">
        <v>0</v>
      </c>
      <c r="O21" s="14"/>
      <c r="P21" s="14"/>
      <c r="Q21" s="14"/>
      <c r="R21" s="14"/>
      <c r="S21" s="14" t="s">
        <v>147</v>
      </c>
      <c r="T21" s="14" t="s">
        <v>36</v>
      </c>
      <c r="U21" s="41"/>
      <c r="V21" s="14"/>
      <c r="W21" s="14"/>
      <c r="X21" s="18"/>
      <c r="Y21" s="18"/>
      <c r="Z21" s="18"/>
      <c r="AA21" s="19">
        <f t="shared" si="1"/>
        <v>5</v>
      </c>
      <c r="AB21" s="19" t="str">
        <f t="shared" si="2"/>
        <v/>
      </c>
    </row>
    <row r="22" ht="15.75" customHeight="1">
      <c r="A22" s="12">
        <v>45059.0</v>
      </c>
      <c r="B22" s="24" t="s">
        <v>28</v>
      </c>
      <c r="C22" s="14"/>
      <c r="D22" s="14" t="s">
        <v>148</v>
      </c>
      <c r="E22" s="13">
        <v>20.0</v>
      </c>
      <c r="F22" s="14" t="s">
        <v>149</v>
      </c>
      <c r="G22" s="14" t="s">
        <v>64</v>
      </c>
      <c r="H22" s="15"/>
      <c r="I22" s="16" t="s">
        <v>150</v>
      </c>
      <c r="J22" s="14"/>
      <c r="K22" s="14" t="s">
        <v>151</v>
      </c>
      <c r="L22" s="14" t="s">
        <v>152</v>
      </c>
      <c r="M22" s="14" t="s">
        <v>34</v>
      </c>
      <c r="N22" s="14" t="b">
        <v>0</v>
      </c>
      <c r="O22" s="14"/>
      <c r="P22" s="14"/>
      <c r="Q22" s="14"/>
      <c r="R22" s="14"/>
      <c r="S22" s="14" t="s">
        <v>153</v>
      </c>
      <c r="T22" s="14" t="s">
        <v>36</v>
      </c>
      <c r="U22" s="17"/>
      <c r="V22" s="14"/>
      <c r="W22" s="14"/>
      <c r="X22" s="18"/>
      <c r="Y22" s="18"/>
      <c r="Z22" s="18"/>
      <c r="AA22" s="19">
        <f t="shared" si="1"/>
        <v>5</v>
      </c>
      <c r="AB22" s="19" t="str">
        <f t="shared" si="2"/>
        <v/>
      </c>
    </row>
    <row r="23" ht="15.75" customHeight="1">
      <c r="A23" s="12">
        <v>45059.0</v>
      </c>
      <c r="B23" s="14" t="s">
        <v>60</v>
      </c>
      <c r="C23" s="14" t="s">
        <v>154</v>
      </c>
      <c r="D23" s="14"/>
      <c r="E23" s="13">
        <v>11.0</v>
      </c>
      <c r="F23" s="14" t="s">
        <v>155</v>
      </c>
      <c r="G23" s="14"/>
      <c r="H23" s="15" t="s">
        <v>156</v>
      </c>
      <c r="I23" s="14"/>
      <c r="J23" s="14"/>
      <c r="K23" s="13" t="s">
        <v>157</v>
      </c>
      <c r="L23" s="14" t="s">
        <v>48</v>
      </c>
      <c r="M23" s="14" t="s">
        <v>158</v>
      </c>
      <c r="N23" s="13" t="b">
        <v>1</v>
      </c>
      <c r="O23" s="14" t="s">
        <v>159</v>
      </c>
      <c r="P23" s="13" t="s">
        <v>69</v>
      </c>
      <c r="Q23" s="14"/>
      <c r="R23" s="14"/>
      <c r="S23" s="14" t="s">
        <v>160</v>
      </c>
      <c r="T23" s="13" t="s">
        <v>129</v>
      </c>
      <c r="U23" s="17"/>
      <c r="V23" s="44"/>
      <c r="W23" s="44"/>
      <c r="X23" s="45"/>
      <c r="Y23" s="45"/>
      <c r="Z23" s="45"/>
      <c r="AA23" s="19">
        <f t="shared" si="1"/>
        <v>5</v>
      </c>
      <c r="AB23" s="19" t="str">
        <f t="shared" si="2"/>
        <v/>
      </c>
    </row>
    <row r="24" ht="15.75" customHeight="1">
      <c r="A24" s="12">
        <v>45059.0</v>
      </c>
      <c r="B24" s="44" t="s">
        <v>60</v>
      </c>
      <c r="C24" s="44" t="s">
        <v>161</v>
      </c>
      <c r="D24" s="44" t="s">
        <v>162</v>
      </c>
      <c r="E24" s="46">
        <v>7.0</v>
      </c>
      <c r="F24" s="44"/>
      <c r="G24" s="44"/>
      <c r="H24" s="47" t="s">
        <v>163</v>
      </c>
      <c r="I24" s="44"/>
      <c r="J24" s="44" t="s">
        <v>164</v>
      </c>
      <c r="K24" s="46" t="s">
        <v>165</v>
      </c>
      <c r="L24" s="44" t="s">
        <v>111</v>
      </c>
      <c r="M24" s="44" t="s">
        <v>34</v>
      </c>
      <c r="N24" s="14" t="b">
        <v>0</v>
      </c>
      <c r="O24" s="44"/>
      <c r="P24" s="44"/>
      <c r="Q24" s="14"/>
      <c r="R24" s="14"/>
      <c r="S24" s="44" t="s">
        <v>166</v>
      </c>
      <c r="T24" s="13" t="s">
        <v>129</v>
      </c>
      <c r="U24" s="48">
        <v>45094.0</v>
      </c>
      <c r="V24" s="14"/>
      <c r="W24" s="14"/>
      <c r="X24" s="18"/>
      <c r="Y24" s="18"/>
      <c r="Z24" s="18"/>
      <c r="AA24" s="19">
        <f t="shared" si="1"/>
        <v>5</v>
      </c>
      <c r="AB24" s="19" t="str">
        <f t="shared" si="2"/>
        <v/>
      </c>
    </row>
    <row r="25" ht="15.75" customHeight="1">
      <c r="A25" s="49">
        <v>45061.0</v>
      </c>
      <c r="B25" s="13" t="s">
        <v>28</v>
      </c>
      <c r="C25" s="50" t="s">
        <v>167</v>
      </c>
      <c r="D25" s="14" t="s">
        <v>168</v>
      </c>
      <c r="E25" s="13">
        <v>7.0</v>
      </c>
      <c r="F25" s="14" t="s">
        <v>169</v>
      </c>
      <c r="G25" s="14"/>
      <c r="H25" s="51" t="s">
        <v>170</v>
      </c>
      <c r="I25" s="52" t="s">
        <v>171</v>
      </c>
      <c r="J25" s="53"/>
      <c r="K25" s="53" t="s">
        <v>172</v>
      </c>
      <c r="L25" s="14" t="s">
        <v>111</v>
      </c>
      <c r="M25" s="14" t="s">
        <v>34</v>
      </c>
      <c r="N25" s="14" t="b">
        <v>1</v>
      </c>
      <c r="O25" s="13" t="s">
        <v>173</v>
      </c>
      <c r="P25" s="13" t="s">
        <v>69</v>
      </c>
      <c r="Q25" s="14"/>
      <c r="R25" s="14"/>
      <c r="S25" s="53" t="s">
        <v>174</v>
      </c>
      <c r="T25" s="14" t="s">
        <v>36</v>
      </c>
      <c r="U25" s="54"/>
      <c r="V25" s="14"/>
      <c r="W25" s="14"/>
      <c r="X25" s="18"/>
      <c r="Y25" s="18"/>
      <c r="Z25" s="18"/>
      <c r="AA25" s="19">
        <f t="shared" si="1"/>
        <v>5</v>
      </c>
      <c r="AB25" s="19" t="str">
        <f t="shared" si="2"/>
        <v/>
      </c>
    </row>
    <row r="26" ht="15.75" customHeight="1">
      <c r="A26" s="49">
        <v>45061.0</v>
      </c>
      <c r="B26" s="13" t="s">
        <v>28</v>
      </c>
      <c r="C26" s="50" t="s">
        <v>167</v>
      </c>
      <c r="D26" s="14" t="s">
        <v>175</v>
      </c>
      <c r="E26" s="13">
        <v>8.0</v>
      </c>
      <c r="F26" s="14" t="s">
        <v>176</v>
      </c>
      <c r="G26" s="14"/>
      <c r="H26" s="11"/>
      <c r="I26" s="11"/>
      <c r="J26" s="11"/>
      <c r="K26" s="11"/>
      <c r="L26" s="14" t="s">
        <v>111</v>
      </c>
      <c r="M26" s="14" t="s">
        <v>34</v>
      </c>
      <c r="N26" s="14" t="b">
        <v>1</v>
      </c>
      <c r="O26" s="55" t="s">
        <v>177</v>
      </c>
      <c r="P26" s="55" t="s">
        <v>69</v>
      </c>
      <c r="Q26" s="14"/>
      <c r="R26" s="14"/>
      <c r="S26" s="11"/>
      <c r="T26" s="14" t="s">
        <v>36</v>
      </c>
      <c r="U26" s="11"/>
      <c r="V26" s="14"/>
      <c r="W26" s="14"/>
      <c r="X26" s="18"/>
      <c r="Y26" s="18"/>
      <c r="Z26" s="18"/>
      <c r="AA26" s="19">
        <f t="shared" si="1"/>
        <v>5</v>
      </c>
      <c r="AB26" s="19" t="str">
        <f t="shared" si="2"/>
        <v/>
      </c>
    </row>
    <row r="27" ht="15.75" customHeight="1">
      <c r="A27" s="12">
        <v>45061.0</v>
      </c>
      <c r="B27" s="14" t="s">
        <v>84</v>
      </c>
      <c r="C27" s="14"/>
      <c r="D27" s="14" t="s">
        <v>178</v>
      </c>
      <c r="E27" s="13">
        <v>10.0</v>
      </c>
      <c r="F27" s="14"/>
      <c r="G27" s="14"/>
      <c r="H27" s="15" t="s">
        <v>179</v>
      </c>
      <c r="I27" s="14"/>
      <c r="J27" s="14"/>
      <c r="K27" s="14" t="s">
        <v>180</v>
      </c>
      <c r="L27" s="14" t="s">
        <v>111</v>
      </c>
      <c r="M27" s="14" t="s">
        <v>34</v>
      </c>
      <c r="N27" s="14" t="b">
        <v>0</v>
      </c>
      <c r="O27" s="14"/>
      <c r="P27" s="14"/>
      <c r="Q27" s="14"/>
      <c r="R27" s="14"/>
      <c r="S27" s="14" t="s">
        <v>181</v>
      </c>
      <c r="T27" s="14" t="s">
        <v>36</v>
      </c>
      <c r="U27" s="17"/>
      <c r="V27" s="14"/>
      <c r="W27" s="14"/>
      <c r="X27" s="18"/>
      <c r="Y27" s="18"/>
      <c r="Z27" s="18"/>
      <c r="AA27" s="19">
        <f t="shared" si="1"/>
        <v>5</v>
      </c>
      <c r="AB27" s="19" t="str">
        <f t="shared" si="2"/>
        <v/>
      </c>
    </row>
    <row r="28" ht="15.75" customHeight="1">
      <c r="A28" s="12">
        <v>45062.0</v>
      </c>
      <c r="B28" s="14" t="s">
        <v>60</v>
      </c>
      <c r="C28" s="13" t="s">
        <v>182</v>
      </c>
      <c r="D28" s="14" t="s">
        <v>183</v>
      </c>
      <c r="E28" s="13">
        <v>8.0</v>
      </c>
      <c r="F28" s="14"/>
      <c r="G28" s="14"/>
      <c r="H28" s="56" t="s">
        <v>184</v>
      </c>
      <c r="I28" s="14"/>
      <c r="J28" s="13" t="s">
        <v>185</v>
      </c>
      <c r="K28" s="14" t="s">
        <v>186</v>
      </c>
      <c r="L28" s="14" t="s">
        <v>111</v>
      </c>
      <c r="M28" s="14" t="s">
        <v>34</v>
      </c>
      <c r="N28" s="14" t="b">
        <v>1</v>
      </c>
      <c r="O28" s="13" t="s">
        <v>187</v>
      </c>
      <c r="P28" s="13" t="s">
        <v>69</v>
      </c>
      <c r="Q28" s="14"/>
      <c r="R28" s="14"/>
      <c r="S28" s="14" t="s">
        <v>188</v>
      </c>
      <c r="T28" s="14" t="s">
        <v>36</v>
      </c>
      <c r="U28" s="17"/>
      <c r="V28" s="14"/>
      <c r="W28" s="14"/>
      <c r="X28" s="18"/>
      <c r="Y28" s="18"/>
      <c r="Z28" s="18"/>
      <c r="AA28" s="19">
        <f t="shared" si="1"/>
        <v>5</v>
      </c>
      <c r="AB28" s="19" t="str">
        <f t="shared" si="2"/>
        <v/>
      </c>
    </row>
    <row r="29" ht="15.75" customHeight="1">
      <c r="A29" s="12">
        <v>45062.0</v>
      </c>
      <c r="B29" s="13" t="s">
        <v>28</v>
      </c>
      <c r="C29" s="14" t="s">
        <v>189</v>
      </c>
      <c r="D29" s="14" t="s">
        <v>190</v>
      </c>
      <c r="E29" s="13">
        <v>9.0</v>
      </c>
      <c r="F29" s="14"/>
      <c r="G29" s="14" t="s">
        <v>191</v>
      </c>
      <c r="H29" s="57" t="s">
        <v>192</v>
      </c>
      <c r="I29" s="16" t="s">
        <v>193</v>
      </c>
      <c r="J29" s="14"/>
      <c r="K29" s="13" t="s">
        <v>194</v>
      </c>
      <c r="L29" s="14" t="s">
        <v>48</v>
      </c>
      <c r="M29" s="14" t="s">
        <v>34</v>
      </c>
      <c r="N29" s="14" t="b">
        <v>0</v>
      </c>
      <c r="O29" s="14"/>
      <c r="P29" s="14"/>
      <c r="Q29" s="14"/>
      <c r="R29" s="14"/>
      <c r="S29" s="14" t="s">
        <v>195</v>
      </c>
      <c r="T29" s="14" t="s">
        <v>36</v>
      </c>
      <c r="U29" s="17"/>
      <c r="V29" s="14"/>
      <c r="W29" s="14"/>
      <c r="X29" s="18"/>
      <c r="Y29" s="18"/>
      <c r="Z29" s="18"/>
      <c r="AA29" s="19">
        <f t="shared" si="1"/>
        <v>5</v>
      </c>
      <c r="AB29" s="19" t="str">
        <f t="shared" si="2"/>
        <v/>
      </c>
    </row>
    <row r="30" ht="15.75" customHeight="1">
      <c r="A30" s="12">
        <v>45063.0</v>
      </c>
      <c r="B30" s="13" t="s">
        <v>28</v>
      </c>
      <c r="C30" s="13" t="s">
        <v>196</v>
      </c>
      <c r="D30" s="14" t="s">
        <v>197</v>
      </c>
      <c r="E30" s="13">
        <v>7.0</v>
      </c>
      <c r="F30" s="14"/>
      <c r="G30" s="14"/>
      <c r="H30" s="15" t="s">
        <v>198</v>
      </c>
      <c r="I30" s="14"/>
      <c r="J30" s="14"/>
      <c r="K30" s="14" t="s">
        <v>199</v>
      </c>
      <c r="L30" s="14" t="s">
        <v>111</v>
      </c>
      <c r="M30" s="14" t="s">
        <v>34</v>
      </c>
      <c r="N30" s="14" t="b">
        <v>0</v>
      </c>
      <c r="O30" s="14"/>
      <c r="P30" s="14"/>
      <c r="Q30" s="14"/>
      <c r="R30" s="14"/>
      <c r="S30" s="14" t="s">
        <v>200</v>
      </c>
      <c r="T30" s="14" t="s">
        <v>36</v>
      </c>
      <c r="U30" s="17"/>
      <c r="V30" s="14"/>
      <c r="W30" s="14"/>
      <c r="X30" s="18"/>
      <c r="Y30" s="18"/>
      <c r="Z30" s="18"/>
      <c r="AA30" s="19">
        <f t="shared" si="1"/>
        <v>5</v>
      </c>
      <c r="AB30" s="19" t="str">
        <f t="shared" si="2"/>
        <v/>
      </c>
    </row>
    <row r="31" ht="15.75" customHeight="1">
      <c r="A31" s="12">
        <v>45063.0</v>
      </c>
      <c r="B31" s="14" t="s">
        <v>201</v>
      </c>
      <c r="C31" s="13" t="s">
        <v>202</v>
      </c>
      <c r="D31" s="14"/>
      <c r="E31" s="13">
        <v>8.0</v>
      </c>
      <c r="F31" s="14">
        <v>2.0</v>
      </c>
      <c r="G31" s="14" t="s">
        <v>203</v>
      </c>
      <c r="H31" s="15" t="s">
        <v>204</v>
      </c>
      <c r="I31" s="14"/>
      <c r="J31" s="14"/>
      <c r="K31" s="14"/>
      <c r="L31" s="14" t="s">
        <v>56</v>
      </c>
      <c r="M31" s="14" t="s">
        <v>34</v>
      </c>
      <c r="N31" s="14" t="b">
        <v>1</v>
      </c>
      <c r="O31" s="13" t="s">
        <v>205</v>
      </c>
      <c r="P31" s="13" t="s">
        <v>69</v>
      </c>
      <c r="Q31" s="14"/>
      <c r="R31" s="14"/>
      <c r="S31" s="13" t="s">
        <v>206</v>
      </c>
      <c r="T31" s="13" t="s">
        <v>129</v>
      </c>
      <c r="U31" s="17"/>
      <c r="V31" s="14"/>
      <c r="W31" s="14"/>
      <c r="X31" s="18"/>
      <c r="Y31" s="18"/>
      <c r="Z31" s="18"/>
      <c r="AA31" s="19">
        <f t="shared" si="1"/>
        <v>5</v>
      </c>
      <c r="AB31" s="19" t="str">
        <f t="shared" si="2"/>
        <v/>
      </c>
    </row>
    <row r="32" ht="15.75" customHeight="1">
      <c r="A32" s="12">
        <v>45063.0</v>
      </c>
      <c r="B32" s="24" t="s">
        <v>28</v>
      </c>
      <c r="C32" s="14"/>
      <c r="D32" s="14" t="s">
        <v>207</v>
      </c>
      <c r="E32" s="13">
        <v>20.0</v>
      </c>
      <c r="F32" s="14" t="s">
        <v>149</v>
      </c>
      <c r="G32" s="14"/>
      <c r="H32" s="15" t="s">
        <v>94</v>
      </c>
      <c r="I32" s="14"/>
      <c r="J32" s="14" t="s">
        <v>208</v>
      </c>
      <c r="K32" s="14" t="s">
        <v>209</v>
      </c>
      <c r="L32" s="14" t="s">
        <v>56</v>
      </c>
      <c r="M32" s="14" t="s">
        <v>34</v>
      </c>
      <c r="N32" s="14" t="b">
        <v>0</v>
      </c>
      <c r="O32" s="14"/>
      <c r="P32" s="14"/>
      <c r="Q32" s="14"/>
      <c r="R32" s="14"/>
      <c r="S32" s="14"/>
      <c r="T32" s="14" t="s">
        <v>36</v>
      </c>
      <c r="U32" s="17"/>
      <c r="V32" s="14"/>
      <c r="W32" s="14"/>
      <c r="X32" s="18"/>
      <c r="Y32" s="18"/>
      <c r="Z32" s="18"/>
      <c r="AA32" s="19">
        <f t="shared" si="1"/>
        <v>5</v>
      </c>
      <c r="AB32" s="19" t="str">
        <f t="shared" si="2"/>
        <v/>
      </c>
    </row>
    <row r="33" ht="15.75" customHeight="1">
      <c r="A33" s="12">
        <v>45063.0</v>
      </c>
      <c r="B33" s="13" t="s">
        <v>28</v>
      </c>
      <c r="C33" s="14"/>
      <c r="D33" s="14" t="s">
        <v>210</v>
      </c>
      <c r="E33" s="13">
        <v>10.0</v>
      </c>
      <c r="F33" s="14">
        <v>4.0</v>
      </c>
      <c r="G33" s="14"/>
      <c r="H33" s="15" t="s">
        <v>211</v>
      </c>
      <c r="I33" s="14"/>
      <c r="J33" s="14"/>
      <c r="K33" s="14"/>
      <c r="L33" s="14" t="s">
        <v>48</v>
      </c>
      <c r="M33" s="14" t="s">
        <v>34</v>
      </c>
      <c r="N33" s="14" t="b">
        <v>0</v>
      </c>
      <c r="O33" s="14"/>
      <c r="P33" s="14"/>
      <c r="Q33" s="14"/>
      <c r="R33" s="14"/>
      <c r="S33" s="14" t="s">
        <v>212</v>
      </c>
      <c r="T33" s="14" t="s">
        <v>36</v>
      </c>
      <c r="U33" s="17"/>
      <c r="V33" s="14"/>
      <c r="W33" s="14"/>
      <c r="X33" s="18"/>
      <c r="Y33" s="18"/>
      <c r="Z33" s="18"/>
      <c r="AA33" s="19">
        <f t="shared" si="1"/>
        <v>5</v>
      </c>
      <c r="AB33" s="19" t="str">
        <f t="shared" si="2"/>
        <v/>
      </c>
    </row>
    <row r="34" ht="15.75" customHeight="1">
      <c r="A34" s="12">
        <v>45063.0</v>
      </c>
      <c r="B34" s="24" t="s">
        <v>28</v>
      </c>
      <c r="C34" s="14"/>
      <c r="D34" s="14" t="s">
        <v>213</v>
      </c>
      <c r="E34" s="13">
        <v>19.0</v>
      </c>
      <c r="F34" s="14"/>
      <c r="G34" s="14"/>
      <c r="H34" s="15" t="s">
        <v>214</v>
      </c>
      <c r="I34" s="14"/>
      <c r="J34" s="14"/>
      <c r="K34" s="14" t="s">
        <v>215</v>
      </c>
      <c r="L34" s="14" t="s">
        <v>152</v>
      </c>
      <c r="M34" s="14" t="s">
        <v>216</v>
      </c>
      <c r="N34" s="14" t="b">
        <v>0</v>
      </c>
      <c r="O34" s="14"/>
      <c r="P34" s="14"/>
      <c r="Q34" s="14"/>
      <c r="R34" s="14"/>
      <c r="S34" s="14" t="s">
        <v>217</v>
      </c>
      <c r="T34" s="14" t="s">
        <v>36</v>
      </c>
      <c r="U34" s="17"/>
      <c r="V34" s="14"/>
      <c r="W34" s="14"/>
      <c r="X34" s="18"/>
      <c r="Y34" s="18"/>
      <c r="Z34" s="18"/>
      <c r="AA34" s="19">
        <f t="shared" si="1"/>
        <v>5</v>
      </c>
      <c r="AB34" s="19" t="str">
        <f t="shared" si="2"/>
        <v/>
      </c>
    </row>
    <row r="35" ht="15.75" customHeight="1">
      <c r="A35" s="12">
        <v>45064.0</v>
      </c>
      <c r="B35" s="24" t="s">
        <v>28</v>
      </c>
      <c r="C35" s="14"/>
      <c r="D35" s="14" t="s">
        <v>218</v>
      </c>
      <c r="E35" s="13">
        <v>20.0</v>
      </c>
      <c r="F35" s="14" t="s">
        <v>219</v>
      </c>
      <c r="G35" s="14"/>
      <c r="H35" s="56" t="s">
        <v>220</v>
      </c>
      <c r="I35" s="14"/>
      <c r="J35" s="14"/>
      <c r="K35" s="14" t="s">
        <v>221</v>
      </c>
      <c r="L35" s="14" t="s">
        <v>152</v>
      </c>
      <c r="M35" s="14" t="s">
        <v>216</v>
      </c>
      <c r="N35" s="14" t="b">
        <v>0</v>
      </c>
      <c r="O35" s="14"/>
      <c r="P35" s="14"/>
      <c r="Q35" s="14"/>
      <c r="R35" s="14"/>
      <c r="S35" s="14" t="s">
        <v>222</v>
      </c>
      <c r="T35" s="14" t="s">
        <v>36</v>
      </c>
      <c r="U35" s="17"/>
      <c r="V35" s="14"/>
      <c r="W35" s="14"/>
      <c r="X35" s="18"/>
      <c r="Y35" s="18"/>
      <c r="Z35" s="18"/>
      <c r="AA35" s="19">
        <f t="shared" si="1"/>
        <v>5</v>
      </c>
      <c r="AB35" s="19" t="str">
        <f t="shared" si="2"/>
        <v/>
      </c>
    </row>
    <row r="36" ht="15.75" customHeight="1">
      <c r="A36" s="12">
        <v>45064.0</v>
      </c>
      <c r="B36" s="24" t="s">
        <v>28</v>
      </c>
      <c r="C36" s="14"/>
      <c r="D36" s="14" t="s">
        <v>223</v>
      </c>
      <c r="E36" s="13">
        <v>20.0</v>
      </c>
      <c r="F36" s="14"/>
      <c r="G36" s="14"/>
      <c r="H36" s="56" t="s">
        <v>224</v>
      </c>
      <c r="I36" s="14"/>
      <c r="J36" s="14"/>
      <c r="K36" s="14"/>
      <c r="L36" s="14" t="s">
        <v>152</v>
      </c>
      <c r="M36" s="14" t="s">
        <v>34</v>
      </c>
      <c r="N36" s="14" t="b">
        <v>0</v>
      </c>
      <c r="O36" s="14"/>
      <c r="P36" s="14"/>
      <c r="Q36" s="14"/>
      <c r="R36" s="14"/>
      <c r="S36" s="14" t="s">
        <v>225</v>
      </c>
      <c r="T36" s="14" t="s">
        <v>36</v>
      </c>
      <c r="U36" s="17"/>
      <c r="V36" s="14"/>
      <c r="W36" s="14"/>
      <c r="X36" s="18"/>
      <c r="Y36" s="18"/>
      <c r="Z36" s="18"/>
      <c r="AA36" s="19">
        <f t="shared" si="1"/>
        <v>5</v>
      </c>
      <c r="AB36" s="19" t="str">
        <f t="shared" si="2"/>
        <v/>
      </c>
    </row>
    <row r="37" ht="15.75" customHeight="1">
      <c r="A37" s="12">
        <v>45064.0</v>
      </c>
      <c r="B37" s="13" t="s">
        <v>28</v>
      </c>
      <c r="C37" s="14" t="s">
        <v>226</v>
      </c>
      <c r="D37" s="14"/>
      <c r="E37" s="13">
        <v>10.0</v>
      </c>
      <c r="F37" s="14"/>
      <c r="G37" s="14"/>
      <c r="H37" s="15" t="s">
        <v>227</v>
      </c>
      <c r="I37" s="14"/>
      <c r="J37" s="14"/>
      <c r="K37" s="14"/>
      <c r="L37" s="14" t="s">
        <v>56</v>
      </c>
      <c r="M37" s="14" t="s">
        <v>34</v>
      </c>
      <c r="N37" s="14" t="b">
        <v>0</v>
      </c>
      <c r="O37" s="14"/>
      <c r="P37" s="14"/>
      <c r="Q37" s="14"/>
      <c r="R37" s="14"/>
      <c r="S37" s="14" t="s">
        <v>228</v>
      </c>
      <c r="T37" s="13" t="s">
        <v>229</v>
      </c>
      <c r="U37" s="17"/>
      <c r="V37" s="32">
        <v>45071.0</v>
      </c>
      <c r="W37" s="24" t="s">
        <v>230</v>
      </c>
      <c r="X37" s="25" t="s">
        <v>231</v>
      </c>
      <c r="Y37" s="25"/>
      <c r="Z37" s="25">
        <v>5348000.0</v>
      </c>
      <c r="AA37" s="19">
        <f t="shared" si="1"/>
        <v>5</v>
      </c>
      <c r="AB37" s="19" t="str">
        <f t="shared" si="2"/>
        <v/>
      </c>
    </row>
    <row r="38" ht="15.75" customHeight="1">
      <c r="A38" s="26">
        <v>45064.0</v>
      </c>
      <c r="B38" s="13" t="s">
        <v>28</v>
      </c>
      <c r="C38" s="24" t="s">
        <v>232</v>
      </c>
      <c r="D38" s="27" t="s">
        <v>233</v>
      </c>
      <c r="E38" s="24">
        <v>13.0</v>
      </c>
      <c r="F38" s="58" t="s">
        <v>234</v>
      </c>
      <c r="G38" s="27"/>
      <c r="H38" s="34" t="s">
        <v>235</v>
      </c>
      <c r="I38" s="27"/>
      <c r="J38" s="27"/>
      <c r="K38" s="27" t="s">
        <v>236</v>
      </c>
      <c r="L38" s="27" t="s">
        <v>66</v>
      </c>
      <c r="M38" s="27" t="s">
        <v>67</v>
      </c>
      <c r="N38" s="14" t="b">
        <v>1</v>
      </c>
      <c r="O38" s="24" t="s">
        <v>237</v>
      </c>
      <c r="P38" s="24" t="s">
        <v>42</v>
      </c>
      <c r="Q38" s="24" t="s">
        <v>238</v>
      </c>
      <c r="R38" s="27"/>
      <c r="S38" s="24" t="s">
        <v>239</v>
      </c>
      <c r="T38" s="24" t="s">
        <v>72</v>
      </c>
      <c r="U38" s="26"/>
      <c r="V38" s="14"/>
      <c r="W38" s="14"/>
      <c r="X38" s="18"/>
      <c r="Y38" s="18"/>
      <c r="Z38" s="18"/>
      <c r="AA38" s="19">
        <f t="shared" si="1"/>
        <v>5</v>
      </c>
      <c r="AB38" s="19">
        <f t="shared" si="2"/>
        <v>5</v>
      </c>
    </row>
    <row r="39" ht="15.75" customHeight="1">
      <c r="A39" s="12">
        <v>45065.0</v>
      </c>
      <c r="B39" s="13" t="s">
        <v>28</v>
      </c>
      <c r="C39" s="14" t="s">
        <v>240</v>
      </c>
      <c r="D39" s="14"/>
      <c r="E39" s="13">
        <v>8.0</v>
      </c>
      <c r="F39" s="14"/>
      <c r="G39" s="14"/>
      <c r="H39" s="15" t="s">
        <v>241</v>
      </c>
      <c r="I39" s="14"/>
      <c r="J39" s="14"/>
      <c r="K39" s="14" t="s">
        <v>242</v>
      </c>
      <c r="L39" s="14" t="s">
        <v>111</v>
      </c>
      <c r="M39" s="14" t="s">
        <v>34</v>
      </c>
      <c r="N39" s="14" t="b">
        <v>0</v>
      </c>
      <c r="O39" s="14"/>
      <c r="P39" s="14"/>
      <c r="Q39" s="14"/>
      <c r="R39" s="14"/>
      <c r="S39" s="14" t="s">
        <v>243</v>
      </c>
      <c r="T39" s="14" t="s">
        <v>36</v>
      </c>
      <c r="U39" s="17"/>
      <c r="V39" s="14"/>
      <c r="W39" s="14"/>
      <c r="X39" s="18"/>
      <c r="Y39" s="18"/>
      <c r="Z39" s="18"/>
      <c r="AA39" s="19">
        <f t="shared" si="1"/>
        <v>5</v>
      </c>
      <c r="AB39" s="19" t="str">
        <f t="shared" si="2"/>
        <v/>
      </c>
    </row>
    <row r="40" ht="15.75" customHeight="1">
      <c r="A40" s="59">
        <v>45065.0</v>
      </c>
      <c r="B40" s="24" t="s">
        <v>28</v>
      </c>
      <c r="C40" s="14"/>
      <c r="D40" s="14" t="s">
        <v>244</v>
      </c>
      <c r="E40" s="13">
        <v>21.0</v>
      </c>
      <c r="F40" s="14"/>
      <c r="G40" s="14"/>
      <c r="H40" s="15"/>
      <c r="I40" s="13" t="s">
        <v>244</v>
      </c>
      <c r="J40" s="14"/>
      <c r="K40" s="14" t="s">
        <v>245</v>
      </c>
      <c r="L40" s="14" t="s">
        <v>152</v>
      </c>
      <c r="M40" s="14" t="s">
        <v>34</v>
      </c>
      <c r="N40" s="14" t="b">
        <v>0</v>
      </c>
      <c r="O40" s="14"/>
      <c r="P40" s="14"/>
      <c r="Q40" s="14"/>
      <c r="R40" s="14"/>
      <c r="S40" s="14" t="s">
        <v>246</v>
      </c>
      <c r="T40" s="14" t="s">
        <v>36</v>
      </c>
      <c r="U40" s="17"/>
      <c r="V40" s="14"/>
      <c r="W40" s="14"/>
      <c r="X40" s="18"/>
      <c r="Y40" s="18"/>
      <c r="Z40" s="18"/>
      <c r="AA40" s="19">
        <f t="shared" si="1"/>
        <v>5</v>
      </c>
      <c r="AB40" s="19" t="str">
        <f t="shared" si="2"/>
        <v/>
      </c>
    </row>
    <row r="41" ht="15.75" customHeight="1">
      <c r="A41" s="59">
        <v>45065.0</v>
      </c>
      <c r="B41" s="24" t="s">
        <v>28</v>
      </c>
      <c r="C41" s="14"/>
      <c r="D41" s="14" t="s">
        <v>247</v>
      </c>
      <c r="E41" s="13">
        <v>19.0</v>
      </c>
      <c r="F41" s="14"/>
      <c r="G41" s="14"/>
      <c r="H41" s="15"/>
      <c r="I41" s="13" t="s">
        <v>248</v>
      </c>
      <c r="J41" s="14"/>
      <c r="K41" s="14" t="s">
        <v>249</v>
      </c>
      <c r="L41" s="14" t="s">
        <v>152</v>
      </c>
      <c r="M41" s="14" t="s">
        <v>34</v>
      </c>
      <c r="N41" s="14" t="b">
        <v>0</v>
      </c>
      <c r="O41" s="14"/>
      <c r="P41" s="14"/>
      <c r="Q41" s="14"/>
      <c r="R41" s="14"/>
      <c r="S41" s="14" t="s">
        <v>250</v>
      </c>
      <c r="T41" s="14" t="s">
        <v>36</v>
      </c>
      <c r="U41" s="17"/>
      <c r="V41" s="14"/>
      <c r="W41" s="14"/>
      <c r="X41" s="18"/>
      <c r="Y41" s="18"/>
      <c r="Z41" s="18"/>
      <c r="AA41" s="19">
        <f t="shared" si="1"/>
        <v>5</v>
      </c>
      <c r="AB41" s="19" t="str">
        <f t="shared" si="2"/>
        <v/>
      </c>
    </row>
    <row r="42" ht="15.75" customHeight="1">
      <c r="A42" s="12">
        <v>45063.0</v>
      </c>
      <c r="B42" s="14" t="s">
        <v>201</v>
      </c>
      <c r="C42" s="14"/>
      <c r="D42" s="13" t="s">
        <v>251</v>
      </c>
      <c r="E42" s="13">
        <v>30.0</v>
      </c>
      <c r="F42" s="14"/>
      <c r="G42" s="14" t="s">
        <v>203</v>
      </c>
      <c r="H42" s="15" t="s">
        <v>252</v>
      </c>
      <c r="I42" s="14"/>
      <c r="J42" s="14"/>
      <c r="K42" s="14" t="s">
        <v>253</v>
      </c>
      <c r="L42" s="14" t="s">
        <v>111</v>
      </c>
      <c r="M42" s="14" t="s">
        <v>34</v>
      </c>
      <c r="N42" s="14" t="b">
        <v>0</v>
      </c>
      <c r="O42" s="14"/>
      <c r="P42" s="14"/>
      <c r="Q42" s="14"/>
      <c r="R42" s="14"/>
      <c r="S42" s="14" t="s">
        <v>254</v>
      </c>
      <c r="T42" s="14" t="s">
        <v>36</v>
      </c>
      <c r="U42" s="17"/>
      <c r="V42" s="14"/>
      <c r="W42" s="14"/>
      <c r="X42" s="18"/>
      <c r="Y42" s="18"/>
      <c r="Z42" s="18"/>
      <c r="AA42" s="19">
        <f t="shared" si="1"/>
        <v>5</v>
      </c>
      <c r="AB42" s="19" t="str">
        <f t="shared" si="2"/>
        <v/>
      </c>
    </row>
    <row r="43" ht="15.75" customHeight="1">
      <c r="A43" s="12">
        <v>45066.0</v>
      </c>
      <c r="B43" s="13" t="s">
        <v>28</v>
      </c>
      <c r="C43" s="14" t="s">
        <v>255</v>
      </c>
      <c r="D43" s="14"/>
      <c r="E43" s="13">
        <v>25.0</v>
      </c>
      <c r="F43" s="14"/>
      <c r="G43" s="14"/>
      <c r="H43" s="15" t="s">
        <v>256</v>
      </c>
      <c r="I43" s="14"/>
      <c r="J43" s="14"/>
      <c r="K43" s="14"/>
      <c r="L43" s="14" t="s">
        <v>56</v>
      </c>
      <c r="M43" s="14" t="s">
        <v>34</v>
      </c>
      <c r="N43" s="14" t="b">
        <v>0</v>
      </c>
      <c r="O43" s="14"/>
      <c r="P43" s="14"/>
      <c r="Q43" s="14"/>
      <c r="R43" s="14"/>
      <c r="S43" s="14" t="s">
        <v>257</v>
      </c>
      <c r="T43" s="14" t="s">
        <v>36</v>
      </c>
      <c r="U43" s="17"/>
      <c r="V43" s="14"/>
      <c r="W43" s="14"/>
      <c r="X43" s="18"/>
      <c r="Y43" s="18"/>
      <c r="Z43" s="18"/>
      <c r="AA43" s="19">
        <f t="shared" si="1"/>
        <v>5</v>
      </c>
      <c r="AB43" s="19" t="str">
        <f t="shared" si="2"/>
        <v/>
      </c>
    </row>
    <row r="44" ht="15.75" customHeight="1">
      <c r="A44" s="12">
        <v>45066.0</v>
      </c>
      <c r="B44" s="13" t="s">
        <v>28</v>
      </c>
      <c r="C44" s="14" t="s">
        <v>258</v>
      </c>
      <c r="D44" s="14"/>
      <c r="E44" s="13">
        <v>11.0</v>
      </c>
      <c r="F44" s="14"/>
      <c r="G44" s="14"/>
      <c r="H44" s="15" t="s">
        <v>259</v>
      </c>
      <c r="I44" s="14"/>
      <c r="J44" s="14"/>
      <c r="K44" s="14" t="s">
        <v>260</v>
      </c>
      <c r="L44" s="14" t="s">
        <v>111</v>
      </c>
      <c r="M44" s="14" t="s">
        <v>34</v>
      </c>
      <c r="N44" s="14" t="b">
        <v>0</v>
      </c>
      <c r="O44" s="14"/>
      <c r="P44" s="14"/>
      <c r="Q44" s="14"/>
      <c r="R44" s="14"/>
      <c r="S44" s="14" t="s">
        <v>261</v>
      </c>
      <c r="T44" s="14" t="s">
        <v>36</v>
      </c>
      <c r="U44" s="17"/>
      <c r="V44" s="14"/>
      <c r="W44" s="14"/>
      <c r="X44" s="18"/>
      <c r="Y44" s="18"/>
      <c r="Z44" s="18"/>
      <c r="AA44" s="19">
        <f t="shared" si="1"/>
        <v>5</v>
      </c>
      <c r="AB44" s="19" t="str">
        <f t="shared" si="2"/>
        <v/>
      </c>
    </row>
    <row r="45" ht="15.75" customHeight="1">
      <c r="A45" s="12">
        <v>45066.0</v>
      </c>
      <c r="B45" s="13" t="s">
        <v>28</v>
      </c>
      <c r="C45" s="14" t="s">
        <v>262</v>
      </c>
      <c r="D45" s="14" t="s">
        <v>263</v>
      </c>
      <c r="E45" s="13">
        <v>6.0</v>
      </c>
      <c r="F45" s="14"/>
      <c r="G45" s="14"/>
      <c r="H45" s="60" t="s">
        <v>264</v>
      </c>
      <c r="I45" s="14"/>
      <c r="J45" s="14"/>
      <c r="K45" s="14" t="s">
        <v>265</v>
      </c>
      <c r="L45" s="14" t="s">
        <v>48</v>
      </c>
      <c r="M45" s="14" t="s">
        <v>34</v>
      </c>
      <c r="N45" s="14" t="b">
        <v>0</v>
      </c>
      <c r="O45" s="14"/>
      <c r="P45" s="14"/>
      <c r="Q45" s="14"/>
      <c r="R45" s="14"/>
      <c r="S45" s="14" t="s">
        <v>266</v>
      </c>
      <c r="T45" s="14" t="s">
        <v>36</v>
      </c>
      <c r="U45" s="17"/>
      <c r="V45" s="14"/>
      <c r="W45" s="14"/>
      <c r="X45" s="18"/>
      <c r="Y45" s="18"/>
      <c r="Z45" s="18"/>
      <c r="AA45" s="19">
        <f t="shared" si="1"/>
        <v>5</v>
      </c>
      <c r="AB45" s="19" t="str">
        <f t="shared" si="2"/>
        <v/>
      </c>
    </row>
    <row r="46" ht="15.75" customHeight="1">
      <c r="A46" s="12">
        <v>45066.0</v>
      </c>
      <c r="B46" s="13" t="s">
        <v>28</v>
      </c>
      <c r="C46" s="14" t="s">
        <v>267</v>
      </c>
      <c r="D46" s="14"/>
      <c r="E46" s="13">
        <v>7.0</v>
      </c>
      <c r="F46" s="14"/>
      <c r="G46" s="14"/>
      <c r="H46" s="57" t="s">
        <v>268</v>
      </c>
      <c r="I46" s="14"/>
      <c r="J46" s="14"/>
      <c r="K46" s="14"/>
      <c r="L46" s="14" t="s">
        <v>111</v>
      </c>
      <c r="M46" s="14" t="s">
        <v>34</v>
      </c>
      <c r="N46" s="14" t="b">
        <v>0</v>
      </c>
      <c r="O46" s="14"/>
      <c r="P46" s="14"/>
      <c r="Q46" s="14"/>
      <c r="R46" s="14"/>
      <c r="S46" s="14" t="s">
        <v>269</v>
      </c>
      <c r="T46" s="14" t="s">
        <v>36</v>
      </c>
      <c r="U46" s="17"/>
      <c r="V46" s="14"/>
      <c r="W46" s="14"/>
      <c r="X46" s="18"/>
      <c r="Y46" s="18"/>
      <c r="Z46" s="18"/>
      <c r="AA46" s="19">
        <f t="shared" si="1"/>
        <v>5</v>
      </c>
      <c r="AB46" s="19" t="str">
        <f t="shared" si="2"/>
        <v/>
      </c>
    </row>
    <row r="47" ht="15.75" customHeight="1">
      <c r="A47" s="12">
        <v>45066.0</v>
      </c>
      <c r="B47" s="13" t="s">
        <v>28</v>
      </c>
      <c r="C47" s="14" t="s">
        <v>270</v>
      </c>
      <c r="D47" s="14" t="s">
        <v>271</v>
      </c>
      <c r="E47" s="13">
        <v>16.0</v>
      </c>
      <c r="F47" s="14">
        <v>10.0</v>
      </c>
      <c r="G47" s="14"/>
      <c r="H47" s="57" t="s">
        <v>272</v>
      </c>
      <c r="I47" s="14"/>
      <c r="J47" s="14"/>
      <c r="K47" s="14" t="s">
        <v>273</v>
      </c>
      <c r="L47" s="14" t="s">
        <v>48</v>
      </c>
      <c r="M47" s="14" t="s">
        <v>34</v>
      </c>
      <c r="N47" s="14" t="b">
        <v>1</v>
      </c>
      <c r="O47" s="14" t="s">
        <v>274</v>
      </c>
      <c r="P47" s="13" t="s">
        <v>42</v>
      </c>
      <c r="Q47" s="14"/>
      <c r="R47" s="14"/>
      <c r="S47" s="14" t="s">
        <v>275</v>
      </c>
      <c r="T47" s="14" t="s">
        <v>36</v>
      </c>
      <c r="U47" s="17"/>
      <c r="V47" s="14"/>
      <c r="W47" s="14"/>
      <c r="X47" s="18"/>
      <c r="Y47" s="18"/>
      <c r="Z47" s="18"/>
      <c r="AA47" s="19">
        <f t="shared" si="1"/>
        <v>5</v>
      </c>
      <c r="AB47" s="19" t="str">
        <f t="shared" si="2"/>
        <v/>
      </c>
    </row>
    <row r="48" ht="15.75" customHeight="1">
      <c r="A48" s="12">
        <v>45067.0</v>
      </c>
      <c r="B48" s="13" t="s">
        <v>28</v>
      </c>
      <c r="C48" s="14" t="s">
        <v>276</v>
      </c>
      <c r="D48" s="13" t="s">
        <v>277</v>
      </c>
      <c r="E48" s="13">
        <v>6.0</v>
      </c>
      <c r="F48" s="14"/>
      <c r="G48" s="14"/>
      <c r="H48" s="57" t="s">
        <v>278</v>
      </c>
      <c r="I48" s="14"/>
      <c r="J48" s="14"/>
      <c r="K48" s="14"/>
      <c r="L48" s="14" t="s">
        <v>111</v>
      </c>
      <c r="M48" s="14" t="s">
        <v>13</v>
      </c>
      <c r="N48" s="14" t="b">
        <v>1</v>
      </c>
      <c r="O48" s="13" t="s">
        <v>279</v>
      </c>
      <c r="P48" s="13" t="s">
        <v>42</v>
      </c>
      <c r="Q48" s="14"/>
      <c r="R48" s="14"/>
      <c r="S48" s="14" t="s">
        <v>280</v>
      </c>
      <c r="T48" s="14" t="s">
        <v>36</v>
      </c>
      <c r="U48" s="17"/>
      <c r="V48" s="14"/>
      <c r="W48" s="14"/>
      <c r="X48" s="18"/>
      <c r="Y48" s="18"/>
      <c r="Z48" s="18"/>
      <c r="AA48" s="19">
        <f t="shared" si="1"/>
        <v>5</v>
      </c>
      <c r="AB48" s="19" t="str">
        <f t="shared" si="2"/>
        <v/>
      </c>
    </row>
    <row r="49" ht="15.75" customHeight="1">
      <c r="A49" s="12">
        <v>45067.0</v>
      </c>
      <c r="B49" s="13" t="s">
        <v>28</v>
      </c>
      <c r="C49" s="14" t="s">
        <v>281</v>
      </c>
      <c r="D49" s="14" t="s">
        <v>282</v>
      </c>
      <c r="E49" s="13">
        <v>14.0</v>
      </c>
      <c r="F49" s="14"/>
      <c r="G49" s="14"/>
      <c r="H49" s="57" t="s">
        <v>283</v>
      </c>
      <c r="I49" s="14"/>
      <c r="J49" s="14"/>
      <c r="K49" s="14"/>
      <c r="L49" s="14" t="s">
        <v>56</v>
      </c>
      <c r="M49" s="14" t="s">
        <v>34</v>
      </c>
      <c r="N49" s="14" t="b">
        <v>0</v>
      </c>
      <c r="O49" s="14"/>
      <c r="P49" s="14"/>
      <c r="Q49" s="14"/>
      <c r="R49" s="14"/>
      <c r="S49" s="14" t="s">
        <v>284</v>
      </c>
      <c r="T49" s="14" t="s">
        <v>36</v>
      </c>
      <c r="U49" s="17"/>
      <c r="V49" s="14"/>
      <c r="W49" s="14"/>
      <c r="X49" s="18"/>
      <c r="Y49" s="18"/>
      <c r="Z49" s="18"/>
      <c r="AA49" s="19">
        <f t="shared" si="1"/>
        <v>5</v>
      </c>
      <c r="AB49" s="19" t="str">
        <f t="shared" si="2"/>
        <v/>
      </c>
    </row>
    <row r="50" ht="15.75" customHeight="1">
      <c r="A50" s="12">
        <v>45068.0</v>
      </c>
      <c r="B50" s="14" t="s">
        <v>201</v>
      </c>
      <c r="C50" s="13" t="s">
        <v>285</v>
      </c>
      <c r="D50" s="14" t="s">
        <v>286</v>
      </c>
      <c r="E50" s="13">
        <v>11.0</v>
      </c>
      <c r="F50" s="14"/>
      <c r="G50" s="14"/>
      <c r="H50" s="57" t="s">
        <v>287</v>
      </c>
      <c r="I50" s="14"/>
      <c r="J50" s="14"/>
      <c r="K50" s="13" t="s">
        <v>288</v>
      </c>
      <c r="L50" s="14" t="s">
        <v>111</v>
      </c>
      <c r="M50" s="14" t="s">
        <v>158</v>
      </c>
      <c r="N50" s="14" t="b">
        <v>0</v>
      </c>
      <c r="O50" s="14" t="s">
        <v>289</v>
      </c>
      <c r="P50" s="14"/>
      <c r="Q50" s="14"/>
      <c r="R50" s="14"/>
      <c r="S50" s="13" t="s">
        <v>290</v>
      </c>
      <c r="T50" s="13" t="s">
        <v>229</v>
      </c>
      <c r="U50" s="17"/>
      <c r="V50" s="14"/>
      <c r="W50" s="14"/>
      <c r="X50" s="18"/>
      <c r="Y50" s="18"/>
      <c r="Z50" s="18"/>
      <c r="AA50" s="19">
        <f t="shared" si="1"/>
        <v>5</v>
      </c>
      <c r="AB50" s="19" t="str">
        <f t="shared" si="2"/>
        <v/>
      </c>
    </row>
    <row r="51" ht="15.75" customHeight="1">
      <c r="A51" s="12">
        <v>45068.0</v>
      </c>
      <c r="B51" s="24" t="s">
        <v>28</v>
      </c>
      <c r="C51" s="14" t="s">
        <v>291</v>
      </c>
      <c r="D51" s="14" t="s">
        <v>292</v>
      </c>
      <c r="E51" s="13">
        <v>8.0</v>
      </c>
      <c r="F51" s="14"/>
      <c r="G51" s="14"/>
      <c r="H51" s="57" t="s">
        <v>293</v>
      </c>
      <c r="I51" s="14"/>
      <c r="J51" s="14"/>
      <c r="K51" s="14" t="s">
        <v>294</v>
      </c>
      <c r="L51" s="14" t="s">
        <v>111</v>
      </c>
      <c r="M51" s="14" t="s">
        <v>34</v>
      </c>
      <c r="N51" s="14" t="b">
        <v>0</v>
      </c>
      <c r="O51" s="14"/>
      <c r="P51" s="14"/>
      <c r="Q51" s="14"/>
      <c r="R51" s="14"/>
      <c r="S51" s="13" t="s">
        <v>295</v>
      </c>
      <c r="T51" s="14" t="s">
        <v>36</v>
      </c>
      <c r="U51" s="17"/>
      <c r="V51" s="14"/>
      <c r="W51" s="14"/>
      <c r="X51" s="18"/>
      <c r="Y51" s="18"/>
      <c r="Z51" s="18"/>
      <c r="AA51" s="19">
        <f t="shared" si="1"/>
        <v>5</v>
      </c>
      <c r="AB51" s="19" t="str">
        <f t="shared" si="2"/>
        <v/>
      </c>
    </row>
    <row r="52" ht="15.75" customHeight="1">
      <c r="A52" s="12">
        <v>45068.0</v>
      </c>
      <c r="B52" s="14" t="s">
        <v>201</v>
      </c>
      <c r="C52" s="14" t="s">
        <v>296</v>
      </c>
      <c r="D52" s="14"/>
      <c r="E52" s="13">
        <v>12.0</v>
      </c>
      <c r="F52" s="14" t="s">
        <v>297</v>
      </c>
      <c r="G52" s="14"/>
      <c r="H52" s="57" t="s">
        <v>298</v>
      </c>
      <c r="I52" s="14"/>
      <c r="J52" s="14"/>
      <c r="K52" s="14"/>
      <c r="L52" s="14" t="s">
        <v>111</v>
      </c>
      <c r="M52" s="14" t="s">
        <v>34</v>
      </c>
      <c r="N52" s="14" t="b">
        <v>1</v>
      </c>
      <c r="O52" s="13" t="s">
        <v>299</v>
      </c>
      <c r="P52" s="13" t="s">
        <v>69</v>
      </c>
      <c r="Q52" s="13" t="s">
        <v>91</v>
      </c>
      <c r="R52" s="14"/>
      <c r="S52" s="13" t="s">
        <v>300</v>
      </c>
      <c r="T52" s="14" t="s">
        <v>36</v>
      </c>
      <c r="U52" s="61"/>
      <c r="V52" s="14"/>
      <c r="W52" s="14"/>
      <c r="X52" s="18"/>
      <c r="Y52" s="18"/>
      <c r="Z52" s="18"/>
      <c r="AA52" s="19">
        <f t="shared" si="1"/>
        <v>5</v>
      </c>
      <c r="AB52" s="19" t="str">
        <f t="shared" si="2"/>
        <v/>
      </c>
    </row>
    <row r="53" ht="15.75" customHeight="1">
      <c r="A53" s="12">
        <v>45068.0</v>
      </c>
      <c r="B53" s="24" t="s">
        <v>28</v>
      </c>
      <c r="C53" s="14"/>
      <c r="D53" s="62" t="s">
        <v>301</v>
      </c>
      <c r="E53" s="13">
        <v>8.0</v>
      </c>
      <c r="F53" s="14"/>
      <c r="G53" s="14"/>
      <c r="H53" s="15" t="s">
        <v>302</v>
      </c>
      <c r="I53" s="14"/>
      <c r="J53" s="14"/>
      <c r="K53" s="14"/>
      <c r="L53" s="14" t="s">
        <v>152</v>
      </c>
      <c r="M53" s="14" t="s">
        <v>34</v>
      </c>
      <c r="N53" s="14" t="b">
        <v>0</v>
      </c>
      <c r="O53" s="14"/>
      <c r="P53" s="14"/>
      <c r="Q53" s="14"/>
      <c r="R53" s="14"/>
      <c r="S53" s="14" t="s">
        <v>303</v>
      </c>
      <c r="T53" s="14" t="s">
        <v>36</v>
      </c>
      <c r="U53" s="17"/>
      <c r="V53" s="23">
        <v>45072.0</v>
      </c>
      <c r="W53" s="24" t="s">
        <v>130</v>
      </c>
      <c r="X53" s="25" t="s">
        <v>304</v>
      </c>
      <c r="Y53" s="25">
        <v>0.15</v>
      </c>
      <c r="Z53" s="63">
        <v>5205000.0</v>
      </c>
      <c r="AA53" s="19">
        <f t="shared" si="1"/>
        <v>5</v>
      </c>
      <c r="AB53" s="19" t="str">
        <f t="shared" si="2"/>
        <v/>
      </c>
    </row>
    <row r="54" ht="15.75" customHeight="1">
      <c r="A54" s="26">
        <v>45069.0</v>
      </c>
      <c r="B54" s="27" t="s">
        <v>60</v>
      </c>
      <c r="C54" s="27" t="s">
        <v>305</v>
      </c>
      <c r="D54" s="27" t="s">
        <v>306</v>
      </c>
      <c r="E54" s="24">
        <v>10.0</v>
      </c>
      <c r="F54" s="64"/>
      <c r="G54" s="64"/>
      <c r="H54" s="65" t="s">
        <v>307</v>
      </c>
      <c r="I54" s="64"/>
      <c r="J54" s="64"/>
      <c r="K54" s="27" t="s">
        <v>308</v>
      </c>
      <c r="L54" s="27" t="s">
        <v>66</v>
      </c>
      <c r="M54" s="27" t="s">
        <v>67</v>
      </c>
      <c r="N54" s="14" t="b">
        <v>1</v>
      </c>
      <c r="O54" s="24" t="s">
        <v>309</v>
      </c>
      <c r="P54" s="24" t="s">
        <v>69</v>
      </c>
      <c r="Q54" s="24" t="s">
        <v>91</v>
      </c>
      <c r="R54" s="27" t="s">
        <v>70</v>
      </c>
      <c r="S54" s="64" t="s">
        <v>310</v>
      </c>
      <c r="T54" s="24" t="s">
        <v>72</v>
      </c>
      <c r="U54" s="66"/>
      <c r="V54" s="67">
        <v>45098.0</v>
      </c>
      <c r="W54" s="13" t="s">
        <v>311</v>
      </c>
      <c r="X54" s="68">
        <v>5116000.0</v>
      </c>
      <c r="Y54" s="69">
        <v>0.0</v>
      </c>
      <c r="Z54" s="68">
        <v>5116000.0</v>
      </c>
      <c r="AA54" s="19">
        <f t="shared" si="1"/>
        <v>5</v>
      </c>
      <c r="AB54" s="19">
        <f t="shared" si="2"/>
        <v>5</v>
      </c>
    </row>
    <row r="55" ht="15.75" customHeight="1">
      <c r="A55" s="17">
        <v>45069.0</v>
      </c>
      <c r="B55" s="14" t="s">
        <v>60</v>
      </c>
      <c r="C55" s="14" t="s">
        <v>305</v>
      </c>
      <c r="D55" s="14" t="s">
        <v>312</v>
      </c>
      <c r="E55" s="13">
        <v>7.0</v>
      </c>
      <c r="F55" s="11"/>
      <c r="G55" s="11"/>
      <c r="H55" s="11"/>
      <c r="I55" s="11"/>
      <c r="J55" s="11"/>
      <c r="K55" s="14"/>
      <c r="L55" s="14" t="s">
        <v>66</v>
      </c>
      <c r="M55" s="14" t="s">
        <v>67</v>
      </c>
      <c r="N55" s="14" t="b">
        <v>1</v>
      </c>
      <c r="O55" s="13" t="s">
        <v>313</v>
      </c>
      <c r="P55" s="13" t="s">
        <v>69</v>
      </c>
      <c r="Q55" s="13" t="s">
        <v>91</v>
      </c>
      <c r="R55" s="14"/>
      <c r="S55" s="11"/>
      <c r="T55" s="13" t="s">
        <v>129</v>
      </c>
      <c r="U55" s="11"/>
      <c r="V55" s="70">
        <v>45076.0</v>
      </c>
      <c r="W55" s="24" t="s">
        <v>314</v>
      </c>
      <c r="X55" s="25">
        <v>7116000.0</v>
      </c>
      <c r="Y55" s="25">
        <f>X55-Z55</f>
        <v>1767400</v>
      </c>
      <c r="Z55" s="25">
        <v>5348600.0</v>
      </c>
      <c r="AA55" s="19">
        <f t="shared" si="1"/>
        <v>5</v>
      </c>
      <c r="AB55" s="19">
        <f t="shared" si="2"/>
        <v>6</v>
      </c>
    </row>
    <row r="56" ht="15.75" customHeight="1">
      <c r="A56" s="26">
        <v>45069.0</v>
      </c>
      <c r="B56" s="27" t="s">
        <v>84</v>
      </c>
      <c r="C56" s="27" t="s">
        <v>315</v>
      </c>
      <c r="D56" s="27" t="s">
        <v>316</v>
      </c>
      <c r="E56" s="24">
        <v>12.0</v>
      </c>
      <c r="F56" s="27" t="s">
        <v>317</v>
      </c>
      <c r="G56" s="27"/>
      <c r="H56" s="34" t="s">
        <v>318</v>
      </c>
      <c r="I56" s="27"/>
      <c r="J56" s="27"/>
      <c r="K56" s="27"/>
      <c r="L56" s="27" t="s">
        <v>89</v>
      </c>
      <c r="M56" s="27" t="s">
        <v>67</v>
      </c>
      <c r="N56" s="14" t="b">
        <v>1</v>
      </c>
      <c r="O56" s="24" t="s">
        <v>319</v>
      </c>
      <c r="P56" s="24" t="s">
        <v>69</v>
      </c>
      <c r="Q56" s="24" t="s">
        <v>320</v>
      </c>
      <c r="R56" s="27"/>
      <c r="S56" s="27" t="s">
        <v>321</v>
      </c>
      <c r="T56" s="24" t="s">
        <v>72</v>
      </c>
      <c r="U56" s="26"/>
      <c r="V56" s="14"/>
      <c r="W56" s="14"/>
      <c r="X56" s="18"/>
      <c r="Y56" s="18"/>
      <c r="Z56" s="18"/>
      <c r="AA56" s="19">
        <f t="shared" si="1"/>
        <v>5</v>
      </c>
      <c r="AB56" s="19">
        <f t="shared" si="2"/>
        <v>5</v>
      </c>
    </row>
    <row r="57" ht="15.75" customHeight="1">
      <c r="A57" s="12">
        <v>45069.0</v>
      </c>
      <c r="B57" s="14" t="s">
        <v>201</v>
      </c>
      <c r="C57" s="13" t="s">
        <v>322</v>
      </c>
      <c r="D57" s="14"/>
      <c r="E57" s="13">
        <v>8.0</v>
      </c>
      <c r="F57" s="14"/>
      <c r="G57" s="14"/>
      <c r="H57" s="71" t="s">
        <v>323</v>
      </c>
      <c r="I57" s="14"/>
      <c r="J57" s="14"/>
      <c r="K57" s="13" t="s">
        <v>324</v>
      </c>
      <c r="L57" s="14" t="s">
        <v>152</v>
      </c>
      <c r="M57" s="14" t="s">
        <v>34</v>
      </c>
      <c r="N57" s="14" t="b">
        <v>0</v>
      </c>
      <c r="O57" s="14"/>
      <c r="P57" s="14"/>
      <c r="Q57" s="14"/>
      <c r="R57" s="14"/>
      <c r="S57" s="13" t="s">
        <v>325</v>
      </c>
      <c r="T57" s="13" t="s">
        <v>229</v>
      </c>
      <c r="U57" s="17"/>
      <c r="V57" s="14"/>
      <c r="W57" s="14"/>
      <c r="X57" s="18"/>
      <c r="Y57" s="18"/>
      <c r="Z57" s="18"/>
      <c r="AA57" s="19">
        <f t="shared" si="1"/>
        <v>5</v>
      </c>
      <c r="AB57" s="19" t="str">
        <f t="shared" si="2"/>
        <v/>
      </c>
    </row>
    <row r="58" ht="15.75" customHeight="1">
      <c r="A58" s="12">
        <v>45069.0</v>
      </c>
      <c r="B58" s="14" t="s">
        <v>201</v>
      </c>
      <c r="C58" s="13" t="s">
        <v>326</v>
      </c>
      <c r="D58" s="14"/>
      <c r="E58" s="13">
        <v>5.0</v>
      </c>
      <c r="F58" s="14"/>
      <c r="G58" s="14"/>
      <c r="H58" s="15" t="s">
        <v>327</v>
      </c>
      <c r="I58" s="14"/>
      <c r="J58" s="14"/>
      <c r="K58" s="13" t="s">
        <v>328</v>
      </c>
      <c r="L58" s="14" t="s">
        <v>111</v>
      </c>
      <c r="M58" s="14" t="s">
        <v>34</v>
      </c>
      <c r="N58" s="14" t="b">
        <v>0</v>
      </c>
      <c r="O58" s="14"/>
      <c r="P58" s="14"/>
      <c r="Q58" s="14"/>
      <c r="R58" s="14"/>
      <c r="S58" s="13" t="s">
        <v>329</v>
      </c>
      <c r="T58" s="13" t="s">
        <v>129</v>
      </c>
      <c r="U58" s="17">
        <v>45094.0</v>
      </c>
      <c r="V58" s="14"/>
      <c r="W58" s="14"/>
      <c r="X58" s="18"/>
      <c r="Y58" s="18"/>
      <c r="Z58" s="18"/>
      <c r="AA58" s="19">
        <f t="shared" si="1"/>
        <v>5</v>
      </c>
      <c r="AB58" s="19" t="str">
        <f t="shared" si="2"/>
        <v/>
      </c>
    </row>
    <row r="59" ht="15.75" customHeight="1">
      <c r="A59" s="12">
        <v>45069.0</v>
      </c>
      <c r="B59" s="13" t="s">
        <v>28</v>
      </c>
      <c r="C59" s="13" t="s">
        <v>330</v>
      </c>
      <c r="D59" s="14"/>
      <c r="E59" s="13">
        <v>8.0</v>
      </c>
      <c r="F59" s="14"/>
      <c r="G59" s="14"/>
      <c r="H59" s="15" t="s">
        <v>331</v>
      </c>
      <c r="I59" s="14"/>
      <c r="J59" s="14"/>
      <c r="K59" s="14" t="s">
        <v>332</v>
      </c>
      <c r="L59" s="14" t="s">
        <v>48</v>
      </c>
      <c r="M59" s="14" t="s">
        <v>333</v>
      </c>
      <c r="N59" s="14" t="b">
        <v>0</v>
      </c>
      <c r="O59" s="14"/>
      <c r="P59" s="14"/>
      <c r="Q59" s="14"/>
      <c r="R59" s="14"/>
      <c r="S59" s="14" t="s">
        <v>334</v>
      </c>
      <c r="T59" s="14" t="s">
        <v>36</v>
      </c>
      <c r="U59" s="17"/>
      <c r="V59" s="23">
        <v>45072.0</v>
      </c>
      <c r="W59" s="24" t="s">
        <v>130</v>
      </c>
      <c r="X59" s="25">
        <v>8750000.0</v>
      </c>
      <c r="Y59" s="25">
        <f>X59-Z59</f>
        <v>1312500</v>
      </c>
      <c r="Z59" s="25">
        <v>7437500.0</v>
      </c>
      <c r="AA59" s="19">
        <f t="shared" si="1"/>
        <v>5</v>
      </c>
      <c r="AB59" s="19" t="str">
        <f t="shared" si="2"/>
        <v/>
      </c>
    </row>
    <row r="60" ht="15.75" customHeight="1">
      <c r="A60" s="26">
        <v>45069.0</v>
      </c>
      <c r="B60" s="27" t="s">
        <v>84</v>
      </c>
      <c r="C60" s="27" t="s">
        <v>335</v>
      </c>
      <c r="D60" s="27"/>
      <c r="E60" s="24">
        <v>3.0</v>
      </c>
      <c r="F60" s="27">
        <v>3.0</v>
      </c>
      <c r="G60" s="27"/>
      <c r="H60" s="34" t="s">
        <v>336</v>
      </c>
      <c r="I60" s="27"/>
      <c r="J60" s="27"/>
      <c r="K60" s="24" t="s">
        <v>337</v>
      </c>
      <c r="L60" s="27" t="s">
        <v>89</v>
      </c>
      <c r="M60" s="27" t="s">
        <v>67</v>
      </c>
      <c r="N60" s="14" t="b">
        <v>1</v>
      </c>
      <c r="O60" s="24" t="s">
        <v>338</v>
      </c>
      <c r="P60" s="24" t="s">
        <v>69</v>
      </c>
      <c r="Q60" s="24" t="s">
        <v>91</v>
      </c>
      <c r="R60" s="27"/>
      <c r="S60" s="27" t="s">
        <v>339</v>
      </c>
      <c r="T60" s="24" t="s">
        <v>72</v>
      </c>
      <c r="U60" s="26"/>
      <c r="V60" s="14"/>
      <c r="W60" s="14"/>
      <c r="X60" s="18"/>
      <c r="Y60" s="18"/>
      <c r="Z60" s="18"/>
      <c r="AA60" s="19">
        <f t="shared" si="1"/>
        <v>5</v>
      </c>
      <c r="AB60" s="19">
        <f t="shared" si="2"/>
        <v>5</v>
      </c>
    </row>
    <row r="61" ht="15.75" customHeight="1">
      <c r="A61" s="12">
        <v>45070.0</v>
      </c>
      <c r="B61" s="14" t="s">
        <v>340</v>
      </c>
      <c r="C61" s="14" t="s">
        <v>341</v>
      </c>
      <c r="D61" s="14" t="s">
        <v>342</v>
      </c>
      <c r="E61" s="13">
        <v>13.0</v>
      </c>
      <c r="F61" s="14" t="s">
        <v>343</v>
      </c>
      <c r="G61" s="14"/>
      <c r="H61" s="15" t="s">
        <v>344</v>
      </c>
      <c r="I61" s="14"/>
      <c r="J61" s="14"/>
      <c r="K61" s="14" t="s">
        <v>345</v>
      </c>
      <c r="L61" s="14" t="s">
        <v>48</v>
      </c>
      <c r="M61" s="14" t="s">
        <v>34</v>
      </c>
      <c r="N61" s="14" t="b">
        <v>1</v>
      </c>
      <c r="O61" s="13" t="s">
        <v>346</v>
      </c>
      <c r="P61" s="13" t="s">
        <v>69</v>
      </c>
      <c r="Q61" s="14"/>
      <c r="R61" s="14"/>
      <c r="S61" s="13" t="s">
        <v>347</v>
      </c>
      <c r="T61" s="14" t="s">
        <v>36</v>
      </c>
      <c r="U61" s="17"/>
      <c r="V61" s="32">
        <v>45076.0</v>
      </c>
      <c r="W61" s="24" t="s">
        <v>59</v>
      </c>
      <c r="X61" s="25">
        <v>2000000.0</v>
      </c>
      <c r="Y61" s="25">
        <v>1000000.0</v>
      </c>
      <c r="Z61" s="25">
        <v>1000000.0</v>
      </c>
      <c r="AA61" s="19">
        <f t="shared" si="1"/>
        <v>5</v>
      </c>
      <c r="AB61" s="19" t="str">
        <f t="shared" si="2"/>
        <v/>
      </c>
    </row>
    <row r="62" ht="15.75" customHeight="1">
      <c r="A62" s="26">
        <v>45068.0</v>
      </c>
      <c r="B62" s="13" t="s">
        <v>28</v>
      </c>
      <c r="C62" s="27" t="s">
        <v>348</v>
      </c>
      <c r="D62" s="27"/>
      <c r="E62" s="24">
        <v>7.0</v>
      </c>
      <c r="F62" s="27" t="s">
        <v>349</v>
      </c>
      <c r="G62" s="27"/>
      <c r="H62" s="72" t="s">
        <v>350</v>
      </c>
      <c r="I62" s="27"/>
      <c r="J62" s="27"/>
      <c r="K62" s="73" t="s">
        <v>351</v>
      </c>
      <c r="L62" s="27" t="s">
        <v>66</v>
      </c>
      <c r="M62" s="27" t="s">
        <v>67</v>
      </c>
      <c r="N62" s="14" t="b">
        <v>0</v>
      </c>
      <c r="O62" s="27"/>
      <c r="P62" s="27"/>
      <c r="Q62" s="24" t="s">
        <v>59</v>
      </c>
      <c r="R62" s="27" t="s">
        <v>70</v>
      </c>
      <c r="S62" s="27" t="s">
        <v>352</v>
      </c>
      <c r="T62" s="24" t="s">
        <v>72</v>
      </c>
      <c r="U62" s="26"/>
      <c r="V62" s="14"/>
      <c r="W62" s="14"/>
      <c r="X62" s="18"/>
      <c r="Y62" s="18"/>
      <c r="Z62" s="18"/>
      <c r="AA62" s="19">
        <f t="shared" si="1"/>
        <v>5</v>
      </c>
      <c r="AB62" s="19">
        <f t="shared" si="2"/>
        <v>5</v>
      </c>
    </row>
    <row r="63" ht="15.75" customHeight="1">
      <c r="A63" s="12">
        <v>45070.0</v>
      </c>
      <c r="B63" s="13" t="s">
        <v>28</v>
      </c>
      <c r="C63" s="14" t="s">
        <v>353</v>
      </c>
      <c r="D63" s="14"/>
      <c r="E63" s="14"/>
      <c r="F63" s="14"/>
      <c r="G63" s="14"/>
      <c r="H63" s="15" t="s">
        <v>354</v>
      </c>
      <c r="I63" s="14"/>
      <c r="J63" s="14"/>
      <c r="K63" s="74" t="s">
        <v>355</v>
      </c>
      <c r="L63" s="14" t="s">
        <v>111</v>
      </c>
      <c r="M63" s="14" t="s">
        <v>34</v>
      </c>
      <c r="N63" s="14" t="b">
        <v>0</v>
      </c>
      <c r="O63" s="14"/>
      <c r="P63" s="14"/>
      <c r="Q63" s="14"/>
      <c r="R63" s="14"/>
      <c r="S63" s="14" t="s">
        <v>356</v>
      </c>
      <c r="T63" s="14" t="s">
        <v>36</v>
      </c>
      <c r="U63" s="17"/>
      <c r="V63" s="14"/>
      <c r="W63" s="14"/>
      <c r="X63" s="18"/>
      <c r="Y63" s="18"/>
      <c r="Z63" s="18"/>
      <c r="AA63" s="19">
        <f t="shared" si="1"/>
        <v>5</v>
      </c>
      <c r="AB63" s="19" t="str">
        <f t="shared" si="2"/>
        <v/>
      </c>
    </row>
    <row r="64" ht="15.75" customHeight="1">
      <c r="A64" s="12">
        <v>45070.0</v>
      </c>
      <c r="B64" s="13" t="s">
        <v>28</v>
      </c>
      <c r="C64" s="14" t="s">
        <v>357</v>
      </c>
      <c r="D64" s="14"/>
      <c r="E64" s="13">
        <v>14.0</v>
      </c>
      <c r="F64" s="14" t="s">
        <v>358</v>
      </c>
      <c r="G64" s="15"/>
      <c r="H64" s="15" t="s">
        <v>359</v>
      </c>
      <c r="I64" s="14"/>
      <c r="J64" s="14"/>
      <c r="K64" s="14" t="s">
        <v>360</v>
      </c>
      <c r="L64" s="14" t="s">
        <v>111</v>
      </c>
      <c r="M64" s="14" t="s">
        <v>34</v>
      </c>
      <c r="N64" s="14" t="b">
        <v>1</v>
      </c>
      <c r="O64" s="13" t="s">
        <v>361</v>
      </c>
      <c r="P64" s="13" t="s">
        <v>69</v>
      </c>
      <c r="Q64" s="14"/>
      <c r="R64" s="14"/>
      <c r="S64" s="14" t="s">
        <v>362</v>
      </c>
      <c r="T64" s="14" t="s">
        <v>36</v>
      </c>
      <c r="U64" s="17"/>
      <c r="V64" s="14"/>
      <c r="W64" s="14"/>
      <c r="X64" s="18"/>
      <c r="Y64" s="18"/>
      <c r="Z64" s="18"/>
      <c r="AA64" s="19">
        <f t="shared" si="1"/>
        <v>5</v>
      </c>
      <c r="AB64" s="19" t="str">
        <f t="shared" si="2"/>
        <v/>
      </c>
    </row>
    <row r="65" ht="15.75" customHeight="1">
      <c r="A65" s="12">
        <v>45070.0</v>
      </c>
      <c r="B65" s="13" t="s">
        <v>28</v>
      </c>
      <c r="C65" s="14" t="s">
        <v>363</v>
      </c>
      <c r="D65" s="14" t="s">
        <v>364</v>
      </c>
      <c r="E65" s="13">
        <v>6.0</v>
      </c>
      <c r="F65" s="14" t="s">
        <v>365</v>
      </c>
      <c r="G65" s="14"/>
      <c r="H65" s="15" t="s">
        <v>366</v>
      </c>
      <c r="I65" s="14"/>
      <c r="J65" s="14"/>
      <c r="K65" s="75" t="s">
        <v>367</v>
      </c>
      <c r="L65" s="14" t="s">
        <v>111</v>
      </c>
      <c r="M65" s="14" t="s">
        <v>34</v>
      </c>
      <c r="N65" s="14" t="b">
        <v>0</v>
      </c>
      <c r="O65" s="14"/>
      <c r="P65" s="14"/>
      <c r="Q65" s="14"/>
      <c r="R65" s="14"/>
      <c r="S65" s="14" t="s">
        <v>368</v>
      </c>
      <c r="T65" s="14" t="s">
        <v>36</v>
      </c>
      <c r="U65" s="17"/>
      <c r="V65" s="14"/>
      <c r="W65" s="14"/>
      <c r="X65" s="18"/>
      <c r="Y65" s="18"/>
      <c r="Z65" s="18"/>
      <c r="AA65" s="19">
        <f t="shared" si="1"/>
        <v>5</v>
      </c>
      <c r="AB65" s="19" t="str">
        <f t="shared" si="2"/>
        <v/>
      </c>
    </row>
    <row r="66" ht="15.75" customHeight="1">
      <c r="A66" s="12">
        <v>45070.0</v>
      </c>
      <c r="B66" s="14" t="s">
        <v>84</v>
      </c>
      <c r="C66" s="14" t="s">
        <v>369</v>
      </c>
      <c r="D66" s="14" t="s">
        <v>370</v>
      </c>
      <c r="E66" s="13">
        <v>15.0</v>
      </c>
      <c r="F66" s="14" t="s">
        <v>371</v>
      </c>
      <c r="G66" s="14"/>
      <c r="H66" s="15" t="s">
        <v>372</v>
      </c>
      <c r="I66" s="14"/>
      <c r="J66" s="14"/>
      <c r="K66" s="14" t="s">
        <v>373</v>
      </c>
      <c r="L66" s="14" t="s">
        <v>89</v>
      </c>
      <c r="M66" s="14" t="s">
        <v>34</v>
      </c>
      <c r="N66" s="14" t="b">
        <v>1</v>
      </c>
      <c r="O66" s="14" t="s">
        <v>374</v>
      </c>
      <c r="P66" s="13" t="s">
        <v>69</v>
      </c>
      <c r="Q66" s="14"/>
      <c r="R66" s="14"/>
      <c r="S66" s="14" t="s">
        <v>375</v>
      </c>
      <c r="T66" s="14" t="s">
        <v>36</v>
      </c>
      <c r="U66" s="61"/>
      <c r="V66" s="14"/>
      <c r="W66" s="14"/>
      <c r="X66" s="18"/>
      <c r="Y66" s="18"/>
      <c r="Z66" s="18"/>
      <c r="AA66" s="19">
        <f t="shared" si="1"/>
        <v>5</v>
      </c>
      <c r="AB66" s="19" t="str">
        <f t="shared" si="2"/>
        <v/>
      </c>
    </row>
    <row r="67" ht="15.75" customHeight="1">
      <c r="A67" s="12">
        <v>45070.0</v>
      </c>
      <c r="B67" s="13" t="s">
        <v>28</v>
      </c>
      <c r="C67" s="14" t="s">
        <v>376</v>
      </c>
      <c r="D67" s="14" t="s">
        <v>377</v>
      </c>
      <c r="E67" s="13">
        <v>9.0</v>
      </c>
      <c r="F67" s="14">
        <v>4.0</v>
      </c>
      <c r="G67" s="14" t="s">
        <v>64</v>
      </c>
      <c r="H67" s="42" t="s">
        <v>378</v>
      </c>
      <c r="I67" s="14" t="s">
        <v>379</v>
      </c>
      <c r="J67" s="14"/>
      <c r="K67" s="76" t="s">
        <v>380</v>
      </c>
      <c r="L67" s="14" t="s">
        <v>56</v>
      </c>
      <c r="M67" s="14" t="s">
        <v>34</v>
      </c>
      <c r="N67" s="14" t="b">
        <v>0</v>
      </c>
      <c r="O67" s="14"/>
      <c r="P67" s="14"/>
      <c r="Q67" s="14"/>
      <c r="R67" s="14"/>
      <c r="S67" s="14" t="s">
        <v>381</v>
      </c>
      <c r="T67" s="14" t="s">
        <v>36</v>
      </c>
      <c r="U67" s="61"/>
      <c r="V67" s="23">
        <v>45083.0</v>
      </c>
      <c r="W67" s="24" t="s">
        <v>59</v>
      </c>
      <c r="X67" s="25">
        <v>2000000.0</v>
      </c>
      <c r="Y67" s="25">
        <v>1000000.0</v>
      </c>
      <c r="Z67" s="25">
        <v>1000000.0</v>
      </c>
      <c r="AA67" s="19">
        <f t="shared" si="1"/>
        <v>5</v>
      </c>
      <c r="AB67" s="19" t="str">
        <f t="shared" si="2"/>
        <v/>
      </c>
    </row>
    <row r="68" ht="15.75" customHeight="1">
      <c r="A68" s="26">
        <v>45071.0</v>
      </c>
      <c r="B68" s="13" t="s">
        <v>28</v>
      </c>
      <c r="C68" s="27" t="s">
        <v>382</v>
      </c>
      <c r="D68" s="27" t="s">
        <v>383</v>
      </c>
      <c r="E68" s="24">
        <v>7.0</v>
      </c>
      <c r="F68" s="27">
        <v>1.0</v>
      </c>
      <c r="G68" s="27"/>
      <c r="H68" s="34" t="s">
        <v>384</v>
      </c>
      <c r="I68" s="27"/>
      <c r="J68" s="27"/>
      <c r="K68" s="77" t="s">
        <v>385</v>
      </c>
      <c r="L68" s="27" t="s">
        <v>66</v>
      </c>
      <c r="M68" s="27" t="s">
        <v>67</v>
      </c>
      <c r="N68" s="14" t="b">
        <v>0</v>
      </c>
      <c r="O68" s="27"/>
      <c r="P68" s="27"/>
      <c r="Q68" s="24" t="s">
        <v>59</v>
      </c>
      <c r="R68" s="27"/>
      <c r="S68" s="24" t="s">
        <v>386</v>
      </c>
      <c r="T68" s="24" t="s">
        <v>72</v>
      </c>
      <c r="U68" s="26"/>
      <c r="V68" s="14"/>
      <c r="W68" s="14"/>
      <c r="X68" s="18"/>
      <c r="Y68" s="18"/>
      <c r="Z68" s="18"/>
      <c r="AA68" s="19">
        <f t="shared" si="1"/>
        <v>5</v>
      </c>
      <c r="AB68" s="19">
        <f t="shared" si="2"/>
        <v>6</v>
      </c>
    </row>
    <row r="69" ht="15.75" customHeight="1">
      <c r="A69" s="12">
        <v>45071.0</v>
      </c>
      <c r="B69" s="13" t="s">
        <v>28</v>
      </c>
      <c r="C69" s="14" t="s">
        <v>387</v>
      </c>
      <c r="D69" s="14" t="s">
        <v>388</v>
      </c>
      <c r="E69" s="13">
        <v>14.0</v>
      </c>
      <c r="F69" s="14">
        <v>8.0</v>
      </c>
      <c r="G69" s="14"/>
      <c r="H69" s="15" t="s">
        <v>389</v>
      </c>
      <c r="I69" s="14"/>
      <c r="J69" s="14"/>
      <c r="K69" s="13" t="s">
        <v>390</v>
      </c>
      <c r="L69" s="14" t="s">
        <v>111</v>
      </c>
      <c r="M69" s="14" t="s">
        <v>34</v>
      </c>
      <c r="N69" s="14" t="b">
        <v>1</v>
      </c>
      <c r="O69" s="13" t="s">
        <v>391</v>
      </c>
      <c r="P69" s="13" t="s">
        <v>69</v>
      </c>
      <c r="Q69" s="14"/>
      <c r="R69" s="14"/>
      <c r="S69" s="14" t="s">
        <v>392</v>
      </c>
      <c r="T69" s="14" t="s">
        <v>36</v>
      </c>
      <c r="U69" s="17"/>
      <c r="V69" s="78">
        <v>45077.0</v>
      </c>
      <c r="W69" s="79" t="s">
        <v>314</v>
      </c>
      <c r="X69" s="80"/>
      <c r="Y69" s="80"/>
      <c r="Z69" s="80">
        <v>5348600.0</v>
      </c>
      <c r="AA69" s="19">
        <f t="shared" si="1"/>
        <v>5</v>
      </c>
      <c r="AB69" s="19" t="str">
        <f t="shared" si="2"/>
        <v/>
      </c>
    </row>
    <row r="70" ht="15.75" customHeight="1">
      <c r="A70" s="81">
        <v>45071.0</v>
      </c>
      <c r="B70" s="33" t="s">
        <v>60</v>
      </c>
      <c r="C70" s="33" t="s">
        <v>393</v>
      </c>
      <c r="D70" s="33" t="s">
        <v>394</v>
      </c>
      <c r="E70" s="79">
        <v>11.0</v>
      </c>
      <c r="F70" s="33" t="s">
        <v>155</v>
      </c>
      <c r="G70" s="33"/>
      <c r="H70" s="82" t="s">
        <v>395</v>
      </c>
      <c r="I70" s="33"/>
      <c r="J70" s="33"/>
      <c r="K70" s="33" t="s">
        <v>396</v>
      </c>
      <c r="L70" s="33" t="s">
        <v>66</v>
      </c>
      <c r="M70" s="33" t="s">
        <v>67</v>
      </c>
      <c r="N70" s="14" t="b">
        <v>1</v>
      </c>
      <c r="O70" s="27" t="s">
        <v>397</v>
      </c>
      <c r="P70" s="79" t="s">
        <v>42</v>
      </c>
      <c r="Q70" s="79" t="s">
        <v>320</v>
      </c>
      <c r="R70" s="33"/>
      <c r="S70" s="79" t="s">
        <v>398</v>
      </c>
      <c r="T70" s="24" t="s">
        <v>72</v>
      </c>
      <c r="U70" s="81"/>
      <c r="V70" s="32">
        <v>45107.0</v>
      </c>
      <c r="W70" s="79" t="s">
        <v>399</v>
      </c>
      <c r="X70" s="25">
        <v>8750000.0</v>
      </c>
      <c r="Y70" s="25">
        <f t="shared" ref="Y70:Y71" si="3">X70-Z70</f>
        <v>1300000</v>
      </c>
      <c r="Z70" s="25">
        <v>7450000.0</v>
      </c>
      <c r="AA70" s="19">
        <f t="shared" si="1"/>
        <v>5</v>
      </c>
      <c r="AB70" s="19">
        <f t="shared" si="2"/>
        <v>5</v>
      </c>
    </row>
    <row r="71" ht="15.75" customHeight="1">
      <c r="A71" s="26">
        <v>45071.0</v>
      </c>
      <c r="B71" s="27" t="s">
        <v>84</v>
      </c>
      <c r="C71" s="27" t="s">
        <v>400</v>
      </c>
      <c r="D71" s="27" t="s">
        <v>401</v>
      </c>
      <c r="E71" s="24">
        <v>16.0</v>
      </c>
      <c r="F71" s="27" t="s">
        <v>402</v>
      </c>
      <c r="G71" s="27"/>
      <c r="H71" s="34" t="s">
        <v>403</v>
      </c>
      <c r="I71" s="27"/>
      <c r="J71" s="27"/>
      <c r="K71" s="27" t="s">
        <v>404</v>
      </c>
      <c r="L71" s="27" t="s">
        <v>48</v>
      </c>
      <c r="M71" s="27" t="s">
        <v>67</v>
      </c>
      <c r="N71" s="14" t="b">
        <v>1</v>
      </c>
      <c r="O71" s="27" t="s">
        <v>405</v>
      </c>
      <c r="P71" s="24" t="s">
        <v>42</v>
      </c>
      <c r="Q71" s="24" t="s">
        <v>91</v>
      </c>
      <c r="R71" s="27"/>
      <c r="S71" s="24" t="s">
        <v>406</v>
      </c>
      <c r="T71" s="24" t="s">
        <v>72</v>
      </c>
      <c r="U71" s="26"/>
      <c r="V71" s="23">
        <v>45082.0</v>
      </c>
      <c r="W71" s="24" t="s">
        <v>407</v>
      </c>
      <c r="X71" s="25">
        <v>6124000.0</v>
      </c>
      <c r="Y71" s="25">
        <f t="shared" si="3"/>
        <v>919000</v>
      </c>
      <c r="Z71" s="25">
        <v>5205000.0</v>
      </c>
      <c r="AA71" s="19">
        <f t="shared" si="1"/>
        <v>5</v>
      </c>
      <c r="AB71" s="19">
        <f t="shared" si="2"/>
        <v>6</v>
      </c>
    </row>
    <row r="72" ht="15.75" customHeight="1">
      <c r="A72" s="26">
        <v>45071.0</v>
      </c>
      <c r="B72" s="13" t="s">
        <v>28</v>
      </c>
      <c r="C72" s="27" t="s">
        <v>408</v>
      </c>
      <c r="D72" s="27" t="s">
        <v>409</v>
      </c>
      <c r="E72" s="24">
        <v>12.0</v>
      </c>
      <c r="F72" s="27" t="s">
        <v>234</v>
      </c>
      <c r="G72" s="27"/>
      <c r="H72" s="34" t="s">
        <v>410</v>
      </c>
      <c r="I72" s="27"/>
      <c r="J72" s="27"/>
      <c r="K72" s="27" t="s">
        <v>411</v>
      </c>
      <c r="L72" s="27" t="s">
        <v>412</v>
      </c>
      <c r="M72" s="27" t="s">
        <v>67</v>
      </c>
      <c r="N72" s="14" t="b">
        <v>1</v>
      </c>
      <c r="O72" s="24" t="s">
        <v>413</v>
      </c>
      <c r="P72" s="24" t="s">
        <v>69</v>
      </c>
      <c r="Q72" s="24" t="s">
        <v>91</v>
      </c>
      <c r="R72" s="27"/>
      <c r="S72" s="27" t="s">
        <v>414</v>
      </c>
      <c r="T72" s="24" t="s">
        <v>72</v>
      </c>
      <c r="U72" s="26"/>
      <c r="V72" s="59"/>
      <c r="W72" s="14"/>
      <c r="X72" s="18"/>
      <c r="Y72" s="18"/>
      <c r="Z72" s="18"/>
      <c r="AA72" s="19">
        <f t="shared" si="1"/>
        <v>5</v>
      </c>
      <c r="AB72" s="19">
        <f t="shared" si="2"/>
        <v>6</v>
      </c>
    </row>
    <row r="73" ht="15.75" customHeight="1">
      <c r="A73" s="12">
        <v>45071.0</v>
      </c>
      <c r="B73" s="13" t="s">
        <v>28</v>
      </c>
      <c r="C73" s="14" t="s">
        <v>415</v>
      </c>
      <c r="D73" s="14"/>
      <c r="E73" s="14"/>
      <c r="F73" s="14"/>
      <c r="G73" s="14"/>
      <c r="H73" s="15" t="s">
        <v>416</v>
      </c>
      <c r="I73" s="14"/>
      <c r="J73" s="14"/>
      <c r="K73" s="13" t="s">
        <v>417</v>
      </c>
      <c r="L73" s="14" t="s">
        <v>56</v>
      </c>
      <c r="M73" s="14" t="s">
        <v>34</v>
      </c>
      <c r="N73" s="14" t="b">
        <v>0</v>
      </c>
      <c r="O73" s="14"/>
      <c r="P73" s="14"/>
      <c r="Q73" s="13" t="s">
        <v>91</v>
      </c>
      <c r="R73" s="14"/>
      <c r="S73" s="14" t="s">
        <v>414</v>
      </c>
      <c r="T73" s="14" t="s">
        <v>36</v>
      </c>
      <c r="U73" s="17">
        <v>45079.0</v>
      </c>
      <c r="V73" s="14"/>
      <c r="W73" s="14"/>
      <c r="X73" s="18"/>
      <c r="Y73" s="18"/>
      <c r="Z73" s="18"/>
      <c r="AA73" s="19">
        <f t="shared" si="1"/>
        <v>5</v>
      </c>
      <c r="AB73" s="19" t="str">
        <f t="shared" si="2"/>
        <v/>
      </c>
    </row>
    <row r="74" ht="15.75" customHeight="1">
      <c r="A74" s="12">
        <v>45071.0</v>
      </c>
      <c r="B74" s="13" t="s">
        <v>28</v>
      </c>
      <c r="C74" s="14" t="s">
        <v>418</v>
      </c>
      <c r="D74" s="14"/>
      <c r="E74" s="13">
        <v>6.0</v>
      </c>
      <c r="F74" s="14" t="s">
        <v>419</v>
      </c>
      <c r="G74" s="14"/>
      <c r="H74" s="57" t="s">
        <v>420</v>
      </c>
      <c r="I74" s="14"/>
      <c r="J74" s="14"/>
      <c r="K74" s="14" t="s">
        <v>421</v>
      </c>
      <c r="L74" s="14" t="s">
        <v>111</v>
      </c>
      <c r="M74" s="14" t="s">
        <v>34</v>
      </c>
      <c r="N74" s="14" t="b">
        <v>0</v>
      </c>
      <c r="O74" s="14"/>
      <c r="P74" s="14"/>
      <c r="Q74" s="14"/>
      <c r="R74" s="14"/>
      <c r="S74" s="14" t="s">
        <v>422</v>
      </c>
      <c r="T74" s="14" t="s">
        <v>36</v>
      </c>
      <c r="U74" s="17"/>
      <c r="V74" s="14"/>
      <c r="W74" s="14"/>
      <c r="X74" s="18"/>
      <c r="Y74" s="18"/>
      <c r="Z74" s="18"/>
      <c r="AA74" s="19">
        <f t="shared" si="1"/>
        <v>5</v>
      </c>
      <c r="AB74" s="19" t="str">
        <f t="shared" si="2"/>
        <v/>
      </c>
    </row>
    <row r="75" ht="15.75" customHeight="1">
      <c r="A75" s="12">
        <v>45072.0</v>
      </c>
      <c r="B75" s="13" t="s">
        <v>28</v>
      </c>
      <c r="C75" s="14" t="s">
        <v>423</v>
      </c>
      <c r="D75" s="14" t="s">
        <v>424</v>
      </c>
      <c r="E75" s="13">
        <v>9.0</v>
      </c>
      <c r="F75" s="14" t="s">
        <v>425</v>
      </c>
      <c r="G75" s="14"/>
      <c r="H75" s="15" t="s">
        <v>426</v>
      </c>
      <c r="I75" s="14"/>
      <c r="J75" s="14"/>
      <c r="K75" s="14"/>
      <c r="L75" s="14" t="s">
        <v>111</v>
      </c>
      <c r="M75" s="14" t="s">
        <v>13</v>
      </c>
      <c r="N75" s="14" t="b">
        <v>1</v>
      </c>
      <c r="O75" s="13" t="s">
        <v>427</v>
      </c>
      <c r="P75" s="13" t="s">
        <v>42</v>
      </c>
      <c r="Q75" s="14"/>
      <c r="R75" s="14"/>
      <c r="S75" s="14" t="s">
        <v>428</v>
      </c>
      <c r="T75" s="13" t="s">
        <v>129</v>
      </c>
      <c r="U75" s="17"/>
      <c r="V75" s="14"/>
      <c r="W75" s="14"/>
      <c r="X75" s="18"/>
      <c r="Y75" s="18"/>
      <c r="Z75" s="18"/>
      <c r="AA75" s="19">
        <f t="shared" si="1"/>
        <v>5</v>
      </c>
      <c r="AB75" s="19" t="str">
        <f t="shared" si="2"/>
        <v/>
      </c>
    </row>
    <row r="76" ht="15.75" customHeight="1">
      <c r="A76" s="12">
        <v>45072.0</v>
      </c>
      <c r="B76" s="14" t="s">
        <v>84</v>
      </c>
      <c r="C76" s="83" t="s">
        <v>429</v>
      </c>
      <c r="D76" s="83" t="s">
        <v>430</v>
      </c>
      <c r="E76" s="13">
        <v>9.0</v>
      </c>
      <c r="F76" s="14" t="s">
        <v>425</v>
      </c>
      <c r="G76" s="14"/>
      <c r="H76" s="84" t="s">
        <v>431</v>
      </c>
      <c r="I76" s="14"/>
      <c r="J76" s="14" t="s">
        <v>432</v>
      </c>
      <c r="K76" s="14"/>
      <c r="L76" s="14" t="s">
        <v>111</v>
      </c>
      <c r="M76" s="14" t="s">
        <v>72</v>
      </c>
      <c r="N76" s="14" t="b">
        <v>1</v>
      </c>
      <c r="O76" s="13" t="s">
        <v>433</v>
      </c>
      <c r="P76" s="13" t="s">
        <v>69</v>
      </c>
      <c r="Q76" s="14"/>
      <c r="R76" s="14"/>
      <c r="S76" s="14" t="s">
        <v>434</v>
      </c>
      <c r="T76" s="13" t="s">
        <v>129</v>
      </c>
      <c r="U76" s="17"/>
      <c r="V76" s="14"/>
      <c r="W76" s="14"/>
      <c r="X76" s="18"/>
      <c r="Y76" s="18"/>
      <c r="Z76" s="18"/>
      <c r="AA76" s="19">
        <f t="shared" si="1"/>
        <v>5</v>
      </c>
      <c r="AB76" s="19" t="str">
        <f t="shared" si="2"/>
        <v/>
      </c>
    </row>
    <row r="77" ht="15.75" customHeight="1">
      <c r="A77" s="12">
        <v>45072.0</v>
      </c>
      <c r="B77" s="13" t="s">
        <v>28</v>
      </c>
      <c r="C77" s="14" t="s">
        <v>435</v>
      </c>
      <c r="D77" s="14" t="s">
        <v>436</v>
      </c>
      <c r="E77" s="13">
        <v>11.0</v>
      </c>
      <c r="F77" s="14" t="s">
        <v>437</v>
      </c>
      <c r="G77" s="14"/>
      <c r="H77" s="57" t="s">
        <v>438</v>
      </c>
      <c r="I77" s="16" t="s">
        <v>439</v>
      </c>
      <c r="J77" s="14"/>
      <c r="K77" s="14" t="s">
        <v>440</v>
      </c>
      <c r="L77" s="14" t="s">
        <v>48</v>
      </c>
      <c r="M77" s="14" t="s">
        <v>13</v>
      </c>
      <c r="N77" s="14" t="b">
        <v>1</v>
      </c>
      <c r="O77" s="13" t="s">
        <v>441</v>
      </c>
      <c r="P77" s="13" t="s">
        <v>69</v>
      </c>
      <c r="Q77" s="14"/>
      <c r="R77" s="14"/>
      <c r="S77" s="85" t="s">
        <v>442</v>
      </c>
      <c r="T77" s="14" t="s">
        <v>36</v>
      </c>
      <c r="U77" s="17"/>
      <c r="V77" s="32">
        <v>45080.0</v>
      </c>
      <c r="W77" s="24" t="s">
        <v>407</v>
      </c>
      <c r="X77" s="25">
        <v>6124000.0</v>
      </c>
      <c r="Y77" s="25">
        <v>0.15</v>
      </c>
      <c r="Z77" s="25">
        <v>2756000.0</v>
      </c>
      <c r="AA77" s="19">
        <f t="shared" si="1"/>
        <v>5</v>
      </c>
      <c r="AB77" s="19" t="str">
        <f t="shared" si="2"/>
        <v/>
      </c>
    </row>
    <row r="78" ht="15.75" customHeight="1">
      <c r="A78" s="26">
        <v>45072.0</v>
      </c>
      <c r="B78" s="27" t="s">
        <v>201</v>
      </c>
      <c r="C78" s="86" t="s">
        <v>443</v>
      </c>
      <c r="D78" s="87" t="s">
        <v>444</v>
      </c>
      <c r="E78" s="24">
        <v>11.0</v>
      </c>
      <c r="F78" s="27">
        <v>2012.0</v>
      </c>
      <c r="G78" s="27"/>
      <c r="H78" s="88" t="s">
        <v>445</v>
      </c>
      <c r="I78" s="27"/>
      <c r="J78" s="27"/>
      <c r="K78" s="24" t="s">
        <v>446</v>
      </c>
      <c r="L78" s="27" t="s">
        <v>412</v>
      </c>
      <c r="M78" s="27" t="s">
        <v>67</v>
      </c>
      <c r="N78" s="13" t="b">
        <v>1</v>
      </c>
      <c r="O78" s="27" t="s">
        <v>447</v>
      </c>
      <c r="P78" s="13" t="s">
        <v>69</v>
      </c>
      <c r="Q78" s="24" t="s">
        <v>91</v>
      </c>
      <c r="R78" s="27"/>
      <c r="S78" s="87" t="s">
        <v>448</v>
      </c>
      <c r="T78" s="24" t="s">
        <v>72</v>
      </c>
      <c r="U78" s="26"/>
      <c r="V78" s="14"/>
      <c r="W78" s="14"/>
      <c r="X78" s="18"/>
      <c r="Y78" s="18"/>
      <c r="Z78" s="18"/>
      <c r="AA78" s="19">
        <f t="shared" si="1"/>
        <v>5</v>
      </c>
      <c r="AB78" s="19">
        <f t="shared" si="2"/>
        <v>6</v>
      </c>
    </row>
    <row r="79" ht="15.75" customHeight="1">
      <c r="A79" s="12">
        <v>45072.0</v>
      </c>
      <c r="B79" s="14" t="s">
        <v>60</v>
      </c>
      <c r="C79" s="83" t="s">
        <v>449</v>
      </c>
      <c r="D79" s="83" t="s">
        <v>450</v>
      </c>
      <c r="E79" s="14"/>
      <c r="F79" s="14"/>
      <c r="G79" s="14"/>
      <c r="H79" s="89" t="s">
        <v>451</v>
      </c>
      <c r="I79" s="14"/>
      <c r="J79" s="14"/>
      <c r="K79" s="14"/>
      <c r="L79" s="14" t="s">
        <v>48</v>
      </c>
      <c r="M79" s="14" t="s">
        <v>34</v>
      </c>
      <c r="N79" s="14" t="b">
        <v>0</v>
      </c>
      <c r="O79" s="14"/>
      <c r="P79" s="14"/>
      <c r="Q79" s="14"/>
      <c r="R79" s="14"/>
      <c r="S79" s="14" t="s">
        <v>452</v>
      </c>
      <c r="T79" s="13" t="s">
        <v>129</v>
      </c>
      <c r="U79" s="17"/>
      <c r="V79" s="14"/>
      <c r="W79" s="14"/>
      <c r="X79" s="18"/>
      <c r="Y79" s="18"/>
      <c r="Z79" s="18"/>
      <c r="AA79" s="19">
        <f t="shared" si="1"/>
        <v>5</v>
      </c>
      <c r="AB79" s="19" t="str">
        <f t="shared" si="2"/>
        <v/>
      </c>
    </row>
    <row r="80" ht="15.75" customHeight="1">
      <c r="A80" s="12">
        <v>45072.0</v>
      </c>
      <c r="B80" s="14" t="s">
        <v>60</v>
      </c>
      <c r="C80" s="14"/>
      <c r="D80" s="14" t="s">
        <v>453</v>
      </c>
      <c r="E80" s="14"/>
      <c r="F80" s="14"/>
      <c r="G80" s="14"/>
      <c r="H80" s="15" t="s">
        <v>454</v>
      </c>
      <c r="I80" s="14"/>
      <c r="J80" s="14"/>
      <c r="K80" s="14"/>
      <c r="L80" s="14" t="s">
        <v>48</v>
      </c>
      <c r="M80" s="14" t="s">
        <v>333</v>
      </c>
      <c r="N80" s="14" t="b">
        <v>0</v>
      </c>
      <c r="O80" s="14"/>
      <c r="P80" s="14"/>
      <c r="Q80" s="14"/>
      <c r="R80" s="14"/>
      <c r="S80" s="62" t="s">
        <v>455</v>
      </c>
      <c r="T80" s="13" t="s">
        <v>229</v>
      </c>
      <c r="U80" s="17">
        <v>45108.0</v>
      </c>
      <c r="V80" s="14"/>
      <c r="W80" s="14"/>
      <c r="X80" s="18"/>
      <c r="Y80" s="18"/>
      <c r="Z80" s="18"/>
      <c r="AA80" s="19">
        <f t="shared" si="1"/>
        <v>5</v>
      </c>
      <c r="AB80" s="19" t="str">
        <f t="shared" si="2"/>
        <v/>
      </c>
    </row>
    <row r="81" ht="15.75" customHeight="1">
      <c r="A81" s="12">
        <v>45073.0</v>
      </c>
      <c r="B81" s="13" t="s">
        <v>28</v>
      </c>
      <c r="C81" s="14" t="s">
        <v>456</v>
      </c>
      <c r="D81" s="14"/>
      <c r="E81" s="13">
        <v>5.0</v>
      </c>
      <c r="F81" s="14" t="s">
        <v>457</v>
      </c>
      <c r="G81" s="14"/>
      <c r="H81" s="15" t="s">
        <v>458</v>
      </c>
      <c r="I81" s="14"/>
      <c r="J81" s="15" t="s">
        <v>458</v>
      </c>
      <c r="K81" s="14" t="s">
        <v>459</v>
      </c>
      <c r="L81" s="14" t="s">
        <v>111</v>
      </c>
      <c r="M81" s="14" t="s">
        <v>158</v>
      </c>
      <c r="N81" s="14" t="b">
        <v>0</v>
      </c>
      <c r="O81" s="14"/>
      <c r="P81" s="14"/>
      <c r="Q81" s="14"/>
      <c r="R81" s="14"/>
      <c r="S81" s="14" t="s">
        <v>460</v>
      </c>
      <c r="T81" s="13" t="s">
        <v>129</v>
      </c>
      <c r="U81" s="17">
        <v>45093.0</v>
      </c>
      <c r="V81" s="14"/>
      <c r="W81" s="14"/>
      <c r="X81" s="18"/>
      <c r="Y81" s="18"/>
      <c r="Z81" s="18"/>
      <c r="AA81" s="19">
        <f t="shared" si="1"/>
        <v>5</v>
      </c>
      <c r="AB81" s="19" t="str">
        <f t="shared" si="2"/>
        <v/>
      </c>
    </row>
    <row r="82" ht="15.75" customHeight="1">
      <c r="A82" s="12">
        <v>45073.0</v>
      </c>
      <c r="B82" s="14" t="s">
        <v>60</v>
      </c>
      <c r="C82" s="14" t="s">
        <v>50</v>
      </c>
      <c r="D82" s="14" t="s">
        <v>461</v>
      </c>
      <c r="E82" s="13">
        <v>11.0</v>
      </c>
      <c r="F82" s="14" t="s">
        <v>437</v>
      </c>
      <c r="G82" s="14"/>
      <c r="H82" s="15" t="s">
        <v>462</v>
      </c>
      <c r="I82" s="14"/>
      <c r="J82" s="14"/>
      <c r="K82" s="14" t="s">
        <v>463</v>
      </c>
      <c r="L82" s="14" t="s">
        <v>111</v>
      </c>
      <c r="M82" s="14" t="s">
        <v>34</v>
      </c>
      <c r="N82" s="14" t="b">
        <v>0</v>
      </c>
      <c r="O82" s="14"/>
      <c r="P82" s="14"/>
      <c r="Q82" s="14"/>
      <c r="R82" s="14"/>
      <c r="S82" s="14" t="s">
        <v>464</v>
      </c>
      <c r="T82" s="14" t="s">
        <v>36</v>
      </c>
      <c r="U82" s="17"/>
      <c r="V82" s="14"/>
      <c r="W82" s="14"/>
      <c r="X82" s="18"/>
      <c r="Y82" s="18"/>
      <c r="Z82" s="18"/>
      <c r="AA82" s="19">
        <f t="shared" si="1"/>
        <v>5</v>
      </c>
      <c r="AB82" s="19" t="str">
        <f t="shared" si="2"/>
        <v/>
      </c>
    </row>
    <row r="83" ht="15.75" customHeight="1">
      <c r="A83" s="12">
        <v>45073.0</v>
      </c>
      <c r="B83" s="24" t="s">
        <v>28</v>
      </c>
      <c r="C83" s="14" t="s">
        <v>465</v>
      </c>
      <c r="D83" s="14"/>
      <c r="E83" s="14"/>
      <c r="F83" s="14"/>
      <c r="G83" s="14"/>
      <c r="H83" s="15"/>
      <c r="I83" s="13" t="s">
        <v>465</v>
      </c>
      <c r="J83" s="14"/>
      <c r="K83" s="14"/>
      <c r="L83" s="14" t="s">
        <v>152</v>
      </c>
      <c r="M83" s="14" t="s">
        <v>34</v>
      </c>
      <c r="N83" s="14" t="b">
        <v>0</v>
      </c>
      <c r="O83" s="14"/>
      <c r="P83" s="14"/>
      <c r="Q83" s="14"/>
      <c r="R83" s="14"/>
      <c r="S83" s="14" t="s">
        <v>466</v>
      </c>
      <c r="T83" s="14" t="s">
        <v>36</v>
      </c>
      <c r="U83" s="17"/>
      <c r="V83" s="90"/>
      <c r="W83" s="14"/>
      <c r="X83" s="18"/>
      <c r="Y83" s="18"/>
      <c r="Z83" s="18"/>
      <c r="AA83" s="19">
        <f t="shared" si="1"/>
        <v>5</v>
      </c>
      <c r="AB83" s="19" t="str">
        <f t="shared" si="2"/>
        <v/>
      </c>
    </row>
    <row r="84" ht="15.75" customHeight="1">
      <c r="A84" s="12">
        <v>45073.0</v>
      </c>
      <c r="B84" s="14" t="s">
        <v>60</v>
      </c>
      <c r="C84" s="14" t="s">
        <v>467</v>
      </c>
      <c r="D84" s="14" t="s">
        <v>468</v>
      </c>
      <c r="E84" s="13">
        <v>12.0</v>
      </c>
      <c r="F84" s="14" t="s">
        <v>469</v>
      </c>
      <c r="G84" s="14"/>
      <c r="H84" s="15" t="s">
        <v>470</v>
      </c>
      <c r="I84" s="14"/>
      <c r="J84" s="14"/>
      <c r="K84" s="14"/>
      <c r="L84" s="14" t="s">
        <v>48</v>
      </c>
      <c r="M84" s="14" t="s">
        <v>333</v>
      </c>
      <c r="N84" s="14" t="b">
        <v>0</v>
      </c>
      <c r="O84" s="14"/>
      <c r="P84" s="14"/>
      <c r="Q84" s="14"/>
      <c r="R84" s="14"/>
      <c r="S84" s="14" t="s">
        <v>471</v>
      </c>
      <c r="T84" s="14" t="s">
        <v>36</v>
      </c>
      <c r="U84" s="17"/>
      <c r="V84" s="14"/>
      <c r="W84" s="14"/>
      <c r="X84" s="18"/>
      <c r="Y84" s="18"/>
      <c r="Z84" s="18"/>
      <c r="AA84" s="19">
        <f t="shared" si="1"/>
        <v>5</v>
      </c>
      <c r="AB84" s="19" t="str">
        <f t="shared" si="2"/>
        <v/>
      </c>
    </row>
    <row r="85" ht="15.75" customHeight="1">
      <c r="A85" s="12">
        <v>45073.0</v>
      </c>
      <c r="B85" s="14" t="s">
        <v>60</v>
      </c>
      <c r="C85" s="14" t="s">
        <v>472</v>
      </c>
      <c r="D85" s="14" t="s">
        <v>473</v>
      </c>
      <c r="E85" s="13">
        <v>11.0</v>
      </c>
      <c r="F85" s="14" t="s">
        <v>474</v>
      </c>
      <c r="G85" s="14"/>
      <c r="H85" s="91" t="s">
        <v>475</v>
      </c>
      <c r="I85" s="14"/>
      <c r="J85" s="14"/>
      <c r="K85" s="14"/>
      <c r="L85" s="14" t="s">
        <v>111</v>
      </c>
      <c r="M85" s="14" t="s">
        <v>72</v>
      </c>
      <c r="N85" s="13" t="b">
        <v>1</v>
      </c>
      <c r="O85" s="14" t="s">
        <v>476</v>
      </c>
      <c r="P85" s="13" t="s">
        <v>69</v>
      </c>
      <c r="Q85" s="14"/>
      <c r="R85" s="14"/>
      <c r="S85" s="14" t="s">
        <v>477</v>
      </c>
      <c r="T85" s="13" t="s">
        <v>129</v>
      </c>
      <c r="U85" s="17">
        <v>45112.0</v>
      </c>
      <c r="V85" s="14"/>
      <c r="W85" s="14"/>
      <c r="X85" s="18"/>
      <c r="Y85" s="18"/>
      <c r="Z85" s="18"/>
      <c r="AA85" s="19">
        <f t="shared" si="1"/>
        <v>5</v>
      </c>
      <c r="AB85" s="19" t="str">
        <f t="shared" si="2"/>
        <v/>
      </c>
    </row>
    <row r="86" ht="15.75" customHeight="1">
      <c r="A86" s="12">
        <v>45073.0</v>
      </c>
      <c r="B86" s="14" t="s">
        <v>60</v>
      </c>
      <c r="C86" s="92" t="s">
        <v>478</v>
      </c>
      <c r="D86" s="92" t="s">
        <v>479</v>
      </c>
      <c r="E86" s="13">
        <v>12.0</v>
      </c>
      <c r="F86" s="14" t="s">
        <v>480</v>
      </c>
      <c r="G86" s="14"/>
      <c r="H86" s="42" t="s">
        <v>481</v>
      </c>
      <c r="I86" s="14"/>
      <c r="J86" s="14"/>
      <c r="K86" s="14"/>
      <c r="L86" s="14" t="s">
        <v>412</v>
      </c>
      <c r="M86" s="14" t="s">
        <v>13</v>
      </c>
      <c r="N86" s="14" t="b">
        <v>1</v>
      </c>
      <c r="O86" s="13" t="s">
        <v>482</v>
      </c>
      <c r="P86" s="13" t="s">
        <v>42</v>
      </c>
      <c r="Q86" s="14"/>
      <c r="R86" s="14"/>
      <c r="S86" s="14" t="s">
        <v>483</v>
      </c>
      <c r="T86" s="13" t="s">
        <v>129</v>
      </c>
      <c r="U86" s="61" t="s">
        <v>289</v>
      </c>
      <c r="V86" s="14"/>
      <c r="W86" s="14"/>
      <c r="X86" s="18"/>
      <c r="Y86" s="18"/>
      <c r="Z86" s="18"/>
      <c r="AA86" s="19">
        <f t="shared" si="1"/>
        <v>5</v>
      </c>
      <c r="AB86" s="19" t="str">
        <f t="shared" si="2"/>
        <v/>
      </c>
    </row>
    <row r="87" ht="15.75" customHeight="1">
      <c r="A87" s="12">
        <v>45073.0</v>
      </c>
      <c r="B87" s="14" t="s">
        <v>60</v>
      </c>
      <c r="C87" s="14" t="s">
        <v>484</v>
      </c>
      <c r="D87" s="14" t="s">
        <v>485</v>
      </c>
      <c r="E87" s="13">
        <v>13.0</v>
      </c>
      <c r="F87" s="14" t="s">
        <v>87</v>
      </c>
      <c r="G87" s="14"/>
      <c r="H87" s="15" t="s">
        <v>486</v>
      </c>
      <c r="I87" s="14"/>
      <c r="J87" s="14"/>
      <c r="K87" s="14" t="s">
        <v>487</v>
      </c>
      <c r="L87" s="14" t="s">
        <v>48</v>
      </c>
      <c r="M87" s="14" t="s">
        <v>34</v>
      </c>
      <c r="N87" s="14" t="b">
        <v>0</v>
      </c>
      <c r="O87" s="14"/>
      <c r="P87" s="14"/>
      <c r="Q87" s="14"/>
      <c r="R87" s="14"/>
      <c r="S87" s="14" t="s">
        <v>488</v>
      </c>
      <c r="T87" s="13" t="s">
        <v>229</v>
      </c>
      <c r="U87" s="17">
        <v>45174.0</v>
      </c>
      <c r="V87" s="14"/>
      <c r="W87" s="14"/>
      <c r="X87" s="18"/>
      <c r="Y87" s="18"/>
      <c r="Z87" s="18"/>
      <c r="AA87" s="19">
        <f t="shared" si="1"/>
        <v>5</v>
      </c>
      <c r="AB87" s="19" t="str">
        <f t="shared" si="2"/>
        <v/>
      </c>
    </row>
    <row r="88" ht="15.75" customHeight="1">
      <c r="A88" s="12">
        <v>45073.0</v>
      </c>
      <c r="B88" s="14" t="s">
        <v>60</v>
      </c>
      <c r="C88" s="92" t="s">
        <v>489</v>
      </c>
      <c r="D88" s="92" t="s">
        <v>490</v>
      </c>
      <c r="E88" s="13">
        <v>5.0</v>
      </c>
      <c r="F88" s="14" t="s">
        <v>457</v>
      </c>
      <c r="G88" s="14"/>
      <c r="H88" s="15" t="s">
        <v>491</v>
      </c>
      <c r="I88" s="14"/>
      <c r="J88" s="15">
        <v>9.0667962E8</v>
      </c>
      <c r="K88" s="14"/>
      <c r="L88" s="14" t="s">
        <v>111</v>
      </c>
      <c r="M88" s="14" t="s">
        <v>158</v>
      </c>
      <c r="N88" s="14" t="b">
        <v>0</v>
      </c>
      <c r="O88" s="14"/>
      <c r="P88" s="14"/>
      <c r="Q88" s="14"/>
      <c r="R88" s="14"/>
      <c r="S88" s="14" t="s">
        <v>492</v>
      </c>
      <c r="T88" s="13" t="s">
        <v>129</v>
      </c>
      <c r="U88" s="17">
        <v>45093.0</v>
      </c>
      <c r="V88" s="14"/>
      <c r="W88" s="14"/>
      <c r="X88" s="18"/>
      <c r="Y88" s="18"/>
      <c r="Z88" s="18"/>
      <c r="AA88" s="19">
        <f t="shared" si="1"/>
        <v>5</v>
      </c>
      <c r="AB88" s="19" t="str">
        <f t="shared" si="2"/>
        <v/>
      </c>
    </row>
    <row r="89" ht="15.75" customHeight="1">
      <c r="A89" s="12">
        <v>45073.0</v>
      </c>
      <c r="B89" s="14" t="s">
        <v>60</v>
      </c>
      <c r="C89" s="92" t="s">
        <v>493</v>
      </c>
      <c r="D89" s="92" t="s">
        <v>494</v>
      </c>
      <c r="E89" s="13">
        <v>11.0</v>
      </c>
      <c r="F89" s="92" t="s">
        <v>495</v>
      </c>
      <c r="G89" s="14"/>
      <c r="H89" s="15" t="s">
        <v>496</v>
      </c>
      <c r="I89" s="14"/>
      <c r="J89" s="14"/>
      <c r="K89" s="14"/>
      <c r="L89" s="14" t="s">
        <v>48</v>
      </c>
      <c r="M89" s="14" t="s">
        <v>216</v>
      </c>
      <c r="N89" s="14" t="b">
        <v>0</v>
      </c>
      <c r="O89" s="14"/>
      <c r="P89" s="14"/>
      <c r="Q89" s="14"/>
      <c r="R89" s="14"/>
      <c r="S89" s="14" t="s">
        <v>428</v>
      </c>
      <c r="T89" s="14" t="s">
        <v>36</v>
      </c>
      <c r="U89" s="17"/>
      <c r="V89" s="14"/>
      <c r="W89" s="14"/>
      <c r="X89" s="18"/>
      <c r="Y89" s="18"/>
      <c r="Z89" s="18"/>
      <c r="AA89" s="19">
        <f t="shared" si="1"/>
        <v>5</v>
      </c>
      <c r="AB89" s="19" t="str">
        <f t="shared" si="2"/>
        <v/>
      </c>
    </row>
    <row r="90" ht="15.75" customHeight="1">
      <c r="A90" s="12">
        <v>45073.0</v>
      </c>
      <c r="B90" s="14" t="s">
        <v>60</v>
      </c>
      <c r="C90" s="14" t="s">
        <v>497</v>
      </c>
      <c r="D90" s="14" t="s">
        <v>498</v>
      </c>
      <c r="E90" s="14"/>
      <c r="F90" s="14"/>
      <c r="G90" s="14"/>
      <c r="H90" s="15" t="s">
        <v>499</v>
      </c>
      <c r="I90" s="14"/>
      <c r="J90" s="14"/>
      <c r="K90" s="14"/>
      <c r="L90" s="14" t="s">
        <v>111</v>
      </c>
      <c r="M90" s="14" t="s">
        <v>158</v>
      </c>
      <c r="N90" s="14" t="b">
        <v>0</v>
      </c>
      <c r="O90" s="14"/>
      <c r="P90" s="14"/>
      <c r="Q90" s="14"/>
      <c r="R90" s="14"/>
      <c r="S90" s="14" t="s">
        <v>500</v>
      </c>
      <c r="T90" s="13" t="s">
        <v>229</v>
      </c>
      <c r="U90" s="17">
        <v>45108.0</v>
      </c>
      <c r="V90" s="14"/>
      <c r="W90" s="14"/>
      <c r="X90" s="18"/>
      <c r="Y90" s="18"/>
      <c r="Z90" s="18"/>
      <c r="AA90" s="19">
        <f t="shared" si="1"/>
        <v>5</v>
      </c>
      <c r="AB90" s="19" t="str">
        <f t="shared" si="2"/>
        <v/>
      </c>
    </row>
    <row r="91" ht="15.75" customHeight="1">
      <c r="A91" s="12">
        <v>45073.0</v>
      </c>
      <c r="B91" s="14" t="s">
        <v>60</v>
      </c>
      <c r="C91" s="13" t="s">
        <v>501</v>
      </c>
      <c r="D91" s="14" t="s">
        <v>502</v>
      </c>
      <c r="E91" s="14"/>
      <c r="F91" s="14"/>
      <c r="G91" s="14"/>
      <c r="H91" s="15" t="s">
        <v>499</v>
      </c>
      <c r="I91" s="14"/>
      <c r="J91" s="14"/>
      <c r="K91" s="14"/>
      <c r="L91" s="14" t="s">
        <v>48</v>
      </c>
      <c r="M91" s="14" t="s">
        <v>34</v>
      </c>
      <c r="N91" s="14" t="b">
        <v>0</v>
      </c>
      <c r="O91" s="14"/>
      <c r="P91" s="14"/>
      <c r="Q91" s="14"/>
      <c r="R91" s="14"/>
      <c r="S91" s="14" t="s">
        <v>503</v>
      </c>
      <c r="T91" s="14" t="s">
        <v>36</v>
      </c>
      <c r="U91" s="17"/>
      <c r="V91" s="59"/>
      <c r="W91" s="13" t="s">
        <v>59</v>
      </c>
      <c r="X91" s="18">
        <v>1000000.0</v>
      </c>
      <c r="Y91" s="18"/>
      <c r="Z91" s="18"/>
      <c r="AA91" s="19">
        <f t="shared" si="1"/>
        <v>5</v>
      </c>
      <c r="AB91" s="19" t="str">
        <f t="shared" si="2"/>
        <v/>
      </c>
    </row>
    <row r="92" ht="15.75" customHeight="1">
      <c r="A92" s="12">
        <v>45073.0</v>
      </c>
      <c r="B92" s="13" t="s">
        <v>28</v>
      </c>
      <c r="C92" s="14" t="s">
        <v>504</v>
      </c>
      <c r="D92" s="14" t="s">
        <v>502</v>
      </c>
      <c r="E92" s="13">
        <v>8.0</v>
      </c>
      <c r="F92" s="14" t="s">
        <v>505</v>
      </c>
      <c r="G92" s="14"/>
      <c r="H92" s="15" t="s">
        <v>506</v>
      </c>
      <c r="I92" s="14"/>
      <c r="J92" s="14"/>
      <c r="K92" s="14"/>
      <c r="L92" s="14" t="s">
        <v>152</v>
      </c>
      <c r="M92" s="14" t="s">
        <v>34</v>
      </c>
      <c r="N92" s="14" t="b">
        <v>1</v>
      </c>
      <c r="O92" s="35" t="s">
        <v>507</v>
      </c>
      <c r="P92" s="35" t="s">
        <v>42</v>
      </c>
      <c r="Q92" s="13" t="s">
        <v>59</v>
      </c>
      <c r="R92" s="14"/>
      <c r="S92" s="13" t="s">
        <v>508</v>
      </c>
      <c r="T92" s="14" t="s">
        <v>36</v>
      </c>
      <c r="U92" s="17">
        <v>45078.0</v>
      </c>
      <c r="V92" s="14"/>
      <c r="W92" s="14"/>
      <c r="X92" s="18"/>
      <c r="Y92" s="18"/>
      <c r="Z92" s="18"/>
      <c r="AA92" s="19">
        <f t="shared" si="1"/>
        <v>5</v>
      </c>
      <c r="AB92" s="19" t="str">
        <f t="shared" si="2"/>
        <v/>
      </c>
    </row>
    <row r="93" ht="15.75" customHeight="1">
      <c r="A93" s="12">
        <v>45074.0</v>
      </c>
      <c r="B93" s="13" t="s">
        <v>28</v>
      </c>
      <c r="C93" s="14"/>
      <c r="D93" s="14" t="s">
        <v>509</v>
      </c>
      <c r="E93" s="13">
        <v>12.0</v>
      </c>
      <c r="F93" s="14" t="s">
        <v>155</v>
      </c>
      <c r="G93" s="14"/>
      <c r="H93" s="15" t="s">
        <v>510</v>
      </c>
      <c r="I93" s="14"/>
      <c r="J93" s="14"/>
      <c r="K93" s="13" t="s">
        <v>511</v>
      </c>
      <c r="L93" s="14" t="s">
        <v>48</v>
      </c>
      <c r="M93" s="14" t="s">
        <v>216</v>
      </c>
      <c r="N93" s="14" t="b">
        <v>0</v>
      </c>
      <c r="O93" s="14"/>
      <c r="P93" s="14"/>
      <c r="Q93" s="14"/>
      <c r="R93" s="14"/>
      <c r="S93" s="14" t="s">
        <v>512</v>
      </c>
      <c r="T93" s="14" t="s">
        <v>36</v>
      </c>
      <c r="U93" s="17"/>
      <c r="V93" s="14"/>
      <c r="W93" s="14"/>
      <c r="X93" s="18"/>
      <c r="Y93" s="18"/>
      <c r="Z93" s="18"/>
      <c r="AA93" s="19">
        <f t="shared" si="1"/>
        <v>5</v>
      </c>
      <c r="AB93" s="19" t="str">
        <f t="shared" si="2"/>
        <v/>
      </c>
    </row>
    <row r="94" ht="15.75" customHeight="1">
      <c r="A94" s="12">
        <v>45075.0</v>
      </c>
      <c r="B94" s="24" t="s">
        <v>28</v>
      </c>
      <c r="C94" s="14" t="s">
        <v>513</v>
      </c>
      <c r="D94" s="14" t="s">
        <v>514</v>
      </c>
      <c r="E94" s="13">
        <v>15.0</v>
      </c>
      <c r="F94" s="14" t="s">
        <v>371</v>
      </c>
      <c r="G94" s="14"/>
      <c r="H94" s="15" t="s">
        <v>515</v>
      </c>
      <c r="I94" s="14"/>
      <c r="J94" s="14"/>
      <c r="K94" s="13" t="s">
        <v>516</v>
      </c>
      <c r="L94" s="14" t="s">
        <v>111</v>
      </c>
      <c r="M94" s="14" t="s">
        <v>34</v>
      </c>
      <c r="N94" s="14" t="b">
        <v>0</v>
      </c>
      <c r="O94" s="14"/>
      <c r="P94" s="14"/>
      <c r="Q94" s="14"/>
      <c r="R94" s="14"/>
      <c r="S94" s="13" t="s">
        <v>517</v>
      </c>
      <c r="T94" s="14" t="s">
        <v>36</v>
      </c>
      <c r="U94" s="17"/>
      <c r="V94" s="14"/>
      <c r="W94" s="14"/>
      <c r="X94" s="18"/>
      <c r="Y94" s="18"/>
      <c r="Z94" s="18"/>
      <c r="AA94" s="19">
        <f t="shared" si="1"/>
        <v>5</v>
      </c>
      <c r="AB94" s="19" t="str">
        <f t="shared" si="2"/>
        <v/>
      </c>
    </row>
    <row r="95" ht="15.75" customHeight="1">
      <c r="A95" s="12">
        <v>45076.0</v>
      </c>
      <c r="B95" s="24" t="s">
        <v>28</v>
      </c>
      <c r="C95" s="14"/>
      <c r="D95" s="14" t="s">
        <v>518</v>
      </c>
      <c r="E95" s="13">
        <v>19.0</v>
      </c>
      <c r="F95" s="14"/>
      <c r="G95" s="14"/>
      <c r="H95" s="15" t="s">
        <v>519</v>
      </c>
      <c r="I95" s="14"/>
      <c r="J95" s="14"/>
      <c r="K95" s="14" t="s">
        <v>520</v>
      </c>
      <c r="L95" s="14" t="s">
        <v>48</v>
      </c>
      <c r="M95" s="14" t="s">
        <v>158</v>
      </c>
      <c r="N95" s="14" t="b">
        <v>0</v>
      </c>
      <c r="O95" s="14"/>
      <c r="P95" s="14"/>
      <c r="Q95" s="14"/>
      <c r="R95" s="14"/>
      <c r="S95" s="14" t="s">
        <v>521</v>
      </c>
      <c r="T95" s="14" t="s">
        <v>36</v>
      </c>
      <c r="U95" s="17"/>
      <c r="V95" s="14"/>
      <c r="W95" s="14"/>
      <c r="X95" s="18"/>
      <c r="Y95" s="18"/>
      <c r="Z95" s="18"/>
      <c r="AA95" s="19">
        <f t="shared" si="1"/>
        <v>5</v>
      </c>
      <c r="AB95" s="19" t="str">
        <f t="shared" si="2"/>
        <v/>
      </c>
    </row>
    <row r="96" ht="15.75" customHeight="1">
      <c r="A96" s="12">
        <v>45076.0</v>
      </c>
      <c r="B96" s="13" t="s">
        <v>28</v>
      </c>
      <c r="C96" s="14" t="s">
        <v>522</v>
      </c>
      <c r="D96" s="14"/>
      <c r="E96" s="13">
        <v>10.0</v>
      </c>
      <c r="F96" s="14"/>
      <c r="G96" s="14"/>
      <c r="H96" s="15" t="s">
        <v>523</v>
      </c>
      <c r="I96" s="14"/>
      <c r="J96" s="14"/>
      <c r="K96" s="13" t="s">
        <v>524</v>
      </c>
      <c r="L96" s="14" t="s">
        <v>111</v>
      </c>
      <c r="M96" s="14" t="s">
        <v>34</v>
      </c>
      <c r="N96" s="14" t="b">
        <v>0</v>
      </c>
      <c r="O96" s="14"/>
      <c r="P96" s="14"/>
      <c r="Q96" s="14"/>
      <c r="R96" s="14"/>
      <c r="S96" s="14" t="s">
        <v>525</v>
      </c>
      <c r="T96" s="14" t="s">
        <v>36</v>
      </c>
      <c r="U96" s="17"/>
      <c r="V96" s="14"/>
      <c r="W96" s="14"/>
      <c r="X96" s="18"/>
      <c r="Y96" s="18"/>
      <c r="Z96" s="18"/>
      <c r="AA96" s="19">
        <f t="shared" si="1"/>
        <v>5</v>
      </c>
      <c r="AB96" s="19" t="str">
        <f t="shared" si="2"/>
        <v/>
      </c>
    </row>
    <row r="97" ht="15.75" customHeight="1">
      <c r="A97" s="12">
        <v>45076.0</v>
      </c>
      <c r="B97" s="13" t="s">
        <v>28</v>
      </c>
      <c r="C97" s="14" t="s">
        <v>526</v>
      </c>
      <c r="D97" s="14" t="s">
        <v>527</v>
      </c>
      <c r="E97" s="13">
        <v>8.0</v>
      </c>
      <c r="F97" s="14" t="s">
        <v>528</v>
      </c>
      <c r="G97" s="14"/>
      <c r="H97" s="15" t="s">
        <v>529</v>
      </c>
      <c r="I97" s="14"/>
      <c r="J97" s="14"/>
      <c r="K97" s="14" t="s">
        <v>530</v>
      </c>
      <c r="L97" s="14" t="s">
        <v>111</v>
      </c>
      <c r="M97" s="14" t="s">
        <v>13</v>
      </c>
      <c r="N97" s="14" t="b">
        <v>1</v>
      </c>
      <c r="O97" s="13" t="s">
        <v>531</v>
      </c>
      <c r="P97" s="13" t="s">
        <v>69</v>
      </c>
      <c r="Q97" s="14"/>
      <c r="R97" s="14"/>
      <c r="S97" s="14" t="s">
        <v>532</v>
      </c>
      <c r="T97" s="13" t="s">
        <v>129</v>
      </c>
      <c r="U97" s="17">
        <v>45093.0</v>
      </c>
      <c r="V97" s="93">
        <v>45078.0</v>
      </c>
      <c r="W97" s="94" t="s">
        <v>533</v>
      </c>
      <c r="X97" s="95">
        <v>6124000.0</v>
      </c>
      <c r="Y97" s="95">
        <f>X97-Z97</f>
        <v>919000</v>
      </c>
      <c r="Z97" s="95">
        <v>5205000.0</v>
      </c>
      <c r="AA97" s="19">
        <f t="shared" si="1"/>
        <v>5</v>
      </c>
      <c r="AB97" s="19" t="str">
        <f t="shared" si="2"/>
        <v/>
      </c>
    </row>
    <row r="98" ht="15.75" customHeight="1">
      <c r="A98" s="93">
        <v>45076.0</v>
      </c>
      <c r="B98" s="94" t="s">
        <v>84</v>
      </c>
      <c r="C98" s="94" t="s">
        <v>534</v>
      </c>
      <c r="D98" s="94" t="s">
        <v>535</v>
      </c>
      <c r="E98" s="96">
        <v>8.0</v>
      </c>
      <c r="F98" s="94" t="s">
        <v>505</v>
      </c>
      <c r="G98" s="94"/>
      <c r="H98" s="97" t="s">
        <v>536</v>
      </c>
      <c r="I98" s="94"/>
      <c r="J98" s="94"/>
      <c r="K98" s="94"/>
      <c r="L98" s="94" t="s">
        <v>412</v>
      </c>
      <c r="M98" s="94" t="s">
        <v>67</v>
      </c>
      <c r="N98" s="14" t="b">
        <v>1</v>
      </c>
      <c r="O98" s="96" t="s">
        <v>537</v>
      </c>
      <c r="P98" s="13" t="s">
        <v>69</v>
      </c>
      <c r="Q98" s="96" t="s">
        <v>91</v>
      </c>
      <c r="R98" s="94"/>
      <c r="S98" s="94" t="s">
        <v>538</v>
      </c>
      <c r="T98" s="24" t="s">
        <v>72</v>
      </c>
      <c r="U98" s="98"/>
      <c r="V98" s="14"/>
      <c r="W98" s="14"/>
      <c r="X98" s="18"/>
      <c r="Y98" s="18"/>
      <c r="Z98" s="18"/>
      <c r="AA98" s="19">
        <f t="shared" si="1"/>
        <v>5</v>
      </c>
      <c r="AB98" s="19">
        <f t="shared" si="2"/>
        <v>6</v>
      </c>
    </row>
    <row r="99" ht="15.75" customHeight="1">
      <c r="A99" s="12">
        <v>45076.0</v>
      </c>
      <c r="B99" s="14" t="s">
        <v>539</v>
      </c>
      <c r="C99" s="14" t="s">
        <v>540</v>
      </c>
      <c r="D99" s="14" t="s">
        <v>541</v>
      </c>
      <c r="E99" s="13">
        <v>7.0</v>
      </c>
      <c r="F99" s="14" t="s">
        <v>542</v>
      </c>
      <c r="G99" s="14"/>
      <c r="H99" s="99" t="s">
        <v>543</v>
      </c>
      <c r="I99" s="14"/>
      <c r="J99" s="14"/>
      <c r="K99" s="14"/>
      <c r="L99" s="14" t="s">
        <v>111</v>
      </c>
      <c r="M99" s="14" t="s">
        <v>34</v>
      </c>
      <c r="N99" s="14" t="b">
        <v>1</v>
      </c>
      <c r="O99" s="13" t="s">
        <v>544</v>
      </c>
      <c r="P99" s="13" t="s">
        <v>42</v>
      </c>
      <c r="Q99" s="14"/>
      <c r="R99" s="14"/>
      <c r="S99" s="14" t="s">
        <v>545</v>
      </c>
      <c r="T99" s="13" t="s">
        <v>129</v>
      </c>
      <c r="U99" s="17">
        <v>45093.0</v>
      </c>
      <c r="V99" s="14"/>
      <c r="W99" s="14"/>
      <c r="X99" s="18"/>
      <c r="Y99" s="18"/>
      <c r="Z99" s="18"/>
      <c r="AA99" s="19">
        <f t="shared" si="1"/>
        <v>5</v>
      </c>
      <c r="AB99" s="19" t="str">
        <f t="shared" si="2"/>
        <v/>
      </c>
    </row>
    <row r="100" ht="15.75" customHeight="1">
      <c r="A100" s="12">
        <v>45076.0</v>
      </c>
      <c r="B100" s="14" t="s">
        <v>539</v>
      </c>
      <c r="C100" s="14" t="s">
        <v>546</v>
      </c>
      <c r="D100" s="13" t="s">
        <v>547</v>
      </c>
      <c r="E100" s="13">
        <v>7.0</v>
      </c>
      <c r="F100" s="14" t="s">
        <v>542</v>
      </c>
      <c r="G100" s="14"/>
      <c r="H100" s="15" t="s">
        <v>548</v>
      </c>
      <c r="I100" s="14"/>
      <c r="J100" s="14"/>
      <c r="K100" s="14"/>
      <c r="L100" s="14" t="s">
        <v>111</v>
      </c>
      <c r="M100" s="14" t="s">
        <v>13</v>
      </c>
      <c r="N100" s="14" t="b">
        <v>1</v>
      </c>
      <c r="O100" s="100" t="s">
        <v>549</v>
      </c>
      <c r="P100" s="100" t="s">
        <v>69</v>
      </c>
      <c r="Q100" s="14"/>
      <c r="R100" s="14"/>
      <c r="S100" s="14" t="s">
        <v>550</v>
      </c>
      <c r="T100" s="13" t="s">
        <v>129</v>
      </c>
      <c r="U100" s="17">
        <v>45093.0</v>
      </c>
      <c r="V100" s="14"/>
      <c r="W100" s="14"/>
      <c r="X100" s="18"/>
      <c r="Y100" s="18"/>
      <c r="Z100" s="18"/>
      <c r="AA100" s="19">
        <f t="shared" si="1"/>
        <v>5</v>
      </c>
      <c r="AB100" s="19" t="str">
        <f t="shared" si="2"/>
        <v/>
      </c>
    </row>
    <row r="101" ht="15.75" customHeight="1">
      <c r="A101" s="12">
        <v>45076.0</v>
      </c>
      <c r="B101" s="14" t="s">
        <v>539</v>
      </c>
      <c r="C101" s="61" t="s">
        <v>551</v>
      </c>
      <c r="D101" s="14"/>
      <c r="E101" s="14"/>
      <c r="F101" s="14"/>
      <c r="G101" s="14"/>
      <c r="H101" s="99" t="s">
        <v>552</v>
      </c>
      <c r="I101" s="14"/>
      <c r="J101" s="14"/>
      <c r="K101" s="14"/>
      <c r="L101" s="14" t="s">
        <v>111</v>
      </c>
      <c r="M101" s="14" t="s">
        <v>333</v>
      </c>
      <c r="N101" s="14" t="b">
        <v>0</v>
      </c>
      <c r="O101" s="14"/>
      <c r="P101" s="14"/>
      <c r="Q101" s="14"/>
      <c r="R101" s="14"/>
      <c r="S101" s="14" t="s">
        <v>553</v>
      </c>
      <c r="T101" s="13" t="s">
        <v>129</v>
      </c>
      <c r="U101" s="17">
        <v>45093.0</v>
      </c>
      <c r="V101" s="14"/>
      <c r="W101" s="14"/>
      <c r="X101" s="18"/>
      <c r="Y101" s="18"/>
      <c r="Z101" s="18"/>
      <c r="AA101" s="19">
        <f t="shared" si="1"/>
        <v>5</v>
      </c>
      <c r="AB101" s="19" t="str">
        <f t="shared" si="2"/>
        <v/>
      </c>
    </row>
    <row r="102" ht="15.75" customHeight="1">
      <c r="A102" s="12">
        <v>45076.0</v>
      </c>
      <c r="B102" s="14" t="s">
        <v>539</v>
      </c>
      <c r="C102" s="14"/>
      <c r="D102" s="13" t="s">
        <v>554</v>
      </c>
      <c r="E102" s="14"/>
      <c r="F102" s="14"/>
      <c r="G102" s="14"/>
      <c r="H102" s="99" t="s">
        <v>555</v>
      </c>
      <c r="I102" s="14"/>
      <c r="J102" s="14"/>
      <c r="K102" s="14"/>
      <c r="L102" s="14" t="s">
        <v>48</v>
      </c>
      <c r="M102" s="14" t="s">
        <v>333</v>
      </c>
      <c r="N102" s="14" t="b">
        <v>0</v>
      </c>
      <c r="O102" s="14"/>
      <c r="P102" s="14"/>
      <c r="Q102" s="14"/>
      <c r="R102" s="14"/>
      <c r="S102" s="14" t="s">
        <v>556</v>
      </c>
      <c r="T102" s="13" t="s">
        <v>129</v>
      </c>
      <c r="U102" s="17">
        <v>45100.0</v>
      </c>
      <c r="V102" s="14"/>
      <c r="W102" s="14"/>
      <c r="X102" s="18"/>
      <c r="Y102" s="18"/>
      <c r="Z102" s="18"/>
      <c r="AA102" s="19">
        <f t="shared" si="1"/>
        <v>5</v>
      </c>
      <c r="AB102" s="19" t="str">
        <f t="shared" si="2"/>
        <v/>
      </c>
    </row>
    <row r="103" ht="15.75" customHeight="1">
      <c r="A103" s="12">
        <v>45076.0</v>
      </c>
      <c r="B103" s="14" t="s">
        <v>539</v>
      </c>
      <c r="C103" s="14" t="s">
        <v>557</v>
      </c>
      <c r="D103" s="14" t="s">
        <v>558</v>
      </c>
      <c r="E103" s="13">
        <v>14.0</v>
      </c>
      <c r="F103" s="14" t="s">
        <v>559</v>
      </c>
      <c r="G103" s="14"/>
      <c r="H103" s="15" t="s">
        <v>560</v>
      </c>
      <c r="I103" s="14"/>
      <c r="J103" s="14"/>
      <c r="K103" s="14"/>
      <c r="L103" s="14" t="s">
        <v>111</v>
      </c>
      <c r="M103" s="14" t="s">
        <v>13</v>
      </c>
      <c r="N103" s="14" t="b">
        <v>1</v>
      </c>
      <c r="O103" s="13" t="s">
        <v>561</v>
      </c>
      <c r="P103" s="13" t="s">
        <v>42</v>
      </c>
      <c r="Q103" s="14"/>
      <c r="R103" s="14"/>
      <c r="S103" s="14" t="s">
        <v>562</v>
      </c>
      <c r="T103" s="13" t="s">
        <v>129</v>
      </c>
      <c r="U103" s="17">
        <v>45093.0</v>
      </c>
      <c r="V103" s="14"/>
      <c r="W103" s="14"/>
      <c r="X103" s="18"/>
      <c r="Y103" s="18"/>
      <c r="Z103" s="18"/>
      <c r="AA103" s="19">
        <f t="shared" si="1"/>
        <v>5</v>
      </c>
      <c r="AB103" s="19" t="str">
        <f t="shared" si="2"/>
        <v/>
      </c>
    </row>
    <row r="104" ht="15.75" customHeight="1">
      <c r="A104" s="12">
        <v>45076.0</v>
      </c>
      <c r="B104" s="14" t="s">
        <v>539</v>
      </c>
      <c r="C104" s="13" t="s">
        <v>563</v>
      </c>
      <c r="D104" s="14"/>
      <c r="E104" s="13">
        <v>13.0</v>
      </c>
      <c r="F104" s="14" t="s">
        <v>87</v>
      </c>
      <c r="G104" s="14"/>
      <c r="H104" s="101" t="s">
        <v>564</v>
      </c>
      <c r="I104" s="14"/>
      <c r="J104" s="14"/>
      <c r="K104" s="14"/>
      <c r="L104" s="14" t="s">
        <v>111</v>
      </c>
      <c r="M104" s="14" t="s">
        <v>565</v>
      </c>
      <c r="N104" s="14" t="b">
        <v>0</v>
      </c>
      <c r="O104" s="14"/>
      <c r="P104" s="14"/>
      <c r="Q104" s="14"/>
      <c r="R104" s="14"/>
      <c r="S104" s="14" t="s">
        <v>566</v>
      </c>
      <c r="T104" s="13" t="s">
        <v>129</v>
      </c>
      <c r="U104" s="17"/>
      <c r="V104" s="14"/>
      <c r="W104" s="14"/>
      <c r="X104" s="18"/>
      <c r="Y104" s="18"/>
      <c r="Z104" s="18"/>
      <c r="AA104" s="19">
        <f t="shared" si="1"/>
        <v>5</v>
      </c>
      <c r="AB104" s="19" t="str">
        <f t="shared" si="2"/>
        <v/>
      </c>
    </row>
    <row r="105" ht="15.75" customHeight="1">
      <c r="A105" s="12">
        <v>45076.0</v>
      </c>
      <c r="B105" s="13" t="s">
        <v>28</v>
      </c>
      <c r="C105" s="14" t="s">
        <v>567</v>
      </c>
      <c r="D105" s="14"/>
      <c r="E105" s="13">
        <v>10.0</v>
      </c>
      <c r="F105" s="14" t="s">
        <v>568</v>
      </c>
      <c r="G105" s="14"/>
      <c r="H105" s="102" t="s">
        <v>569</v>
      </c>
      <c r="I105" s="14"/>
      <c r="J105" s="14"/>
      <c r="K105" s="14" t="s">
        <v>570</v>
      </c>
      <c r="L105" s="14" t="s">
        <v>48</v>
      </c>
      <c r="M105" s="14" t="s">
        <v>565</v>
      </c>
      <c r="N105" s="14" t="b">
        <v>0</v>
      </c>
      <c r="O105" s="14"/>
      <c r="P105" s="14"/>
      <c r="Q105" s="14"/>
      <c r="R105" s="14"/>
      <c r="S105" s="14" t="s">
        <v>571</v>
      </c>
      <c r="T105" s="13" t="s">
        <v>129</v>
      </c>
      <c r="U105" s="17"/>
      <c r="V105" s="14"/>
      <c r="W105" s="14"/>
      <c r="X105" s="18"/>
      <c r="Y105" s="18"/>
      <c r="Z105" s="18"/>
      <c r="AA105" s="19">
        <f t="shared" si="1"/>
        <v>5</v>
      </c>
      <c r="AB105" s="19" t="str">
        <f t="shared" si="2"/>
        <v/>
      </c>
    </row>
    <row r="106" ht="15.75" customHeight="1">
      <c r="A106" s="12">
        <v>45076.0</v>
      </c>
      <c r="B106" s="14" t="s">
        <v>60</v>
      </c>
      <c r="C106" s="14"/>
      <c r="D106" s="14" t="s">
        <v>572</v>
      </c>
      <c r="E106" s="14"/>
      <c r="F106" s="14"/>
      <c r="G106" s="14"/>
      <c r="H106" s="15" t="s">
        <v>573</v>
      </c>
      <c r="I106" s="14"/>
      <c r="J106" s="14"/>
      <c r="K106" s="14"/>
      <c r="L106" s="14" t="s">
        <v>111</v>
      </c>
      <c r="M106" s="14" t="s">
        <v>34</v>
      </c>
      <c r="N106" s="14" t="b">
        <v>0</v>
      </c>
      <c r="O106" s="14"/>
      <c r="P106" s="14"/>
      <c r="Q106" s="14"/>
      <c r="R106" s="14"/>
      <c r="S106" s="14" t="s">
        <v>574</v>
      </c>
      <c r="T106" s="13" t="s">
        <v>129</v>
      </c>
      <c r="U106" s="17">
        <v>45093.0</v>
      </c>
      <c r="V106" s="32">
        <v>45077.0</v>
      </c>
      <c r="W106" s="24" t="s">
        <v>575</v>
      </c>
      <c r="X106" s="25">
        <v>3062000.0</v>
      </c>
      <c r="Y106" s="25"/>
      <c r="Z106" s="25">
        <v>2908900.0</v>
      </c>
      <c r="AA106" s="19">
        <f t="shared" si="1"/>
        <v>5</v>
      </c>
      <c r="AB106" s="19" t="str">
        <f t="shared" si="2"/>
        <v/>
      </c>
    </row>
    <row r="107" ht="15.75" customHeight="1">
      <c r="A107" s="26">
        <v>45076.0</v>
      </c>
      <c r="B107" s="27" t="s">
        <v>84</v>
      </c>
      <c r="C107" s="24" t="s">
        <v>576</v>
      </c>
      <c r="D107" s="27" t="s">
        <v>577</v>
      </c>
      <c r="E107" s="24">
        <v>12.0</v>
      </c>
      <c r="F107" s="27"/>
      <c r="G107" s="27"/>
      <c r="H107" s="34" t="s">
        <v>578</v>
      </c>
      <c r="I107" s="27"/>
      <c r="J107" s="27"/>
      <c r="K107" s="24" t="s">
        <v>579</v>
      </c>
      <c r="L107" s="27" t="s">
        <v>580</v>
      </c>
      <c r="M107" s="27" t="s">
        <v>67</v>
      </c>
      <c r="N107" s="14" t="b">
        <v>1</v>
      </c>
      <c r="O107" s="24" t="s">
        <v>581</v>
      </c>
      <c r="P107" s="24" t="s">
        <v>69</v>
      </c>
      <c r="Q107" s="24" t="s">
        <v>91</v>
      </c>
      <c r="R107" s="27"/>
      <c r="S107" s="27" t="s">
        <v>582</v>
      </c>
      <c r="T107" s="24" t="s">
        <v>72</v>
      </c>
      <c r="U107" s="26"/>
      <c r="V107" s="14"/>
      <c r="W107" s="14"/>
      <c r="X107" s="18"/>
      <c r="Y107" s="18"/>
      <c r="Z107" s="18"/>
      <c r="AA107" s="19">
        <f t="shared" si="1"/>
        <v>5</v>
      </c>
      <c r="AB107" s="19">
        <f t="shared" si="2"/>
        <v>5</v>
      </c>
    </row>
    <row r="108" ht="15.75" customHeight="1">
      <c r="A108" s="12">
        <v>45077.0</v>
      </c>
      <c r="B108" s="14" t="s">
        <v>84</v>
      </c>
      <c r="C108" s="14" t="s">
        <v>583</v>
      </c>
      <c r="D108" s="14" t="s">
        <v>51</v>
      </c>
      <c r="E108" s="13">
        <v>14.0</v>
      </c>
      <c r="F108" s="14" t="s">
        <v>358</v>
      </c>
      <c r="G108" s="14"/>
      <c r="H108" s="15" t="s">
        <v>584</v>
      </c>
      <c r="I108" s="14"/>
      <c r="J108" s="14"/>
      <c r="K108" s="14"/>
      <c r="L108" s="14" t="s">
        <v>412</v>
      </c>
      <c r="M108" s="14" t="s">
        <v>333</v>
      </c>
      <c r="N108" s="14" t="b">
        <v>1</v>
      </c>
      <c r="O108" s="13" t="s">
        <v>585</v>
      </c>
      <c r="P108" s="13" t="s">
        <v>69</v>
      </c>
      <c r="Q108" s="14"/>
      <c r="R108" s="14"/>
      <c r="S108" s="14" t="s">
        <v>586</v>
      </c>
      <c r="T108" s="13" t="s">
        <v>129</v>
      </c>
      <c r="U108" s="17">
        <v>45090.0</v>
      </c>
      <c r="V108" s="14"/>
      <c r="W108" s="14"/>
      <c r="X108" s="18"/>
      <c r="Y108" s="18"/>
      <c r="Z108" s="18"/>
      <c r="AA108" s="19">
        <f t="shared" si="1"/>
        <v>5</v>
      </c>
      <c r="AB108" s="19" t="str">
        <f t="shared" si="2"/>
        <v/>
      </c>
    </row>
    <row r="109" ht="15.75" customHeight="1">
      <c r="A109" s="12">
        <v>45077.0</v>
      </c>
      <c r="B109" s="14" t="s">
        <v>84</v>
      </c>
      <c r="C109" s="14" t="s">
        <v>587</v>
      </c>
      <c r="D109" s="13" t="s">
        <v>588</v>
      </c>
      <c r="E109" s="13">
        <v>12.0</v>
      </c>
      <c r="F109" s="14" t="s">
        <v>480</v>
      </c>
      <c r="G109" s="14"/>
      <c r="H109" s="15" t="s">
        <v>589</v>
      </c>
      <c r="I109" s="14"/>
      <c r="J109" s="14"/>
      <c r="K109" s="14" t="s">
        <v>590</v>
      </c>
      <c r="L109" s="14" t="s">
        <v>66</v>
      </c>
      <c r="M109" s="14" t="s">
        <v>565</v>
      </c>
      <c r="N109" s="14" t="b">
        <v>0</v>
      </c>
      <c r="O109" s="14"/>
      <c r="P109" s="14"/>
      <c r="Q109" s="14"/>
      <c r="R109" s="14"/>
      <c r="S109" s="14" t="s">
        <v>591</v>
      </c>
      <c r="T109" s="13" t="s">
        <v>229</v>
      </c>
      <c r="U109" s="17"/>
      <c r="V109" s="103">
        <v>45080.0</v>
      </c>
      <c r="W109" s="76" t="s">
        <v>575</v>
      </c>
      <c r="X109" s="104"/>
      <c r="Y109" s="104"/>
      <c r="Z109" s="18">
        <v>7437500.0</v>
      </c>
      <c r="AA109" s="19">
        <f t="shared" si="1"/>
        <v>5</v>
      </c>
      <c r="AB109" s="19" t="str">
        <f t="shared" si="2"/>
        <v/>
      </c>
    </row>
    <row r="110" ht="15.75" customHeight="1">
      <c r="A110" s="105">
        <v>45077.0</v>
      </c>
      <c r="B110" s="106" t="s">
        <v>84</v>
      </c>
      <c r="C110" s="76" t="s">
        <v>592</v>
      </c>
      <c r="D110" s="106"/>
      <c r="E110" s="76">
        <v>14.0</v>
      </c>
      <c r="F110" s="106">
        <v>14.0</v>
      </c>
      <c r="G110" s="106"/>
      <c r="H110" s="107" t="s">
        <v>593</v>
      </c>
      <c r="I110" s="106"/>
      <c r="J110" s="106"/>
      <c r="K110" s="76" t="s">
        <v>594</v>
      </c>
      <c r="L110" s="106" t="s">
        <v>66</v>
      </c>
      <c r="M110" s="106" t="s">
        <v>67</v>
      </c>
      <c r="N110" s="14" t="b">
        <v>1</v>
      </c>
      <c r="O110" s="76" t="s">
        <v>595</v>
      </c>
      <c r="P110" s="13" t="s">
        <v>69</v>
      </c>
      <c r="Q110" s="76" t="s">
        <v>91</v>
      </c>
      <c r="R110" s="106"/>
      <c r="S110" s="106" t="s">
        <v>596</v>
      </c>
      <c r="T110" s="24" t="s">
        <v>72</v>
      </c>
      <c r="U110" s="108"/>
      <c r="V110" s="14"/>
      <c r="W110" s="14"/>
      <c r="X110" s="18"/>
      <c r="Y110" s="18"/>
      <c r="Z110" s="18"/>
      <c r="AA110" s="19">
        <f t="shared" si="1"/>
        <v>5</v>
      </c>
      <c r="AB110" s="19">
        <f t="shared" si="2"/>
        <v>6</v>
      </c>
    </row>
    <row r="111" ht="15.75" customHeight="1">
      <c r="A111" s="12">
        <v>45077.0</v>
      </c>
      <c r="B111" s="14" t="s">
        <v>60</v>
      </c>
      <c r="C111" s="14"/>
      <c r="D111" s="14" t="s">
        <v>597</v>
      </c>
      <c r="E111" s="13">
        <v>21.0</v>
      </c>
      <c r="F111" s="14"/>
      <c r="G111" s="14"/>
      <c r="H111" s="15" t="s">
        <v>598</v>
      </c>
      <c r="I111" s="14"/>
      <c r="J111" s="14"/>
      <c r="K111" s="14" t="s">
        <v>599</v>
      </c>
      <c r="L111" s="14" t="s">
        <v>152</v>
      </c>
      <c r="M111" s="14" t="s">
        <v>216</v>
      </c>
      <c r="N111" s="14" t="b">
        <v>0</v>
      </c>
      <c r="O111" s="14" t="s">
        <v>289</v>
      </c>
      <c r="P111" s="14"/>
      <c r="Q111" s="14"/>
      <c r="R111" s="14"/>
      <c r="S111" s="14" t="s">
        <v>600</v>
      </c>
      <c r="T111" s="13" t="s">
        <v>129</v>
      </c>
      <c r="U111" s="17"/>
      <c r="V111" s="14"/>
      <c r="W111" s="14"/>
      <c r="X111" s="18"/>
      <c r="Y111" s="18"/>
      <c r="Z111" s="18"/>
      <c r="AA111" s="19">
        <f t="shared" si="1"/>
        <v>5</v>
      </c>
      <c r="AB111" s="19" t="str">
        <f t="shared" si="2"/>
        <v/>
      </c>
    </row>
    <row r="112" ht="15.75" customHeight="1">
      <c r="A112" s="12">
        <v>45077.0</v>
      </c>
      <c r="B112" s="13" t="s">
        <v>28</v>
      </c>
      <c r="C112" s="14" t="s">
        <v>601</v>
      </c>
      <c r="D112" s="14"/>
      <c r="E112" s="13">
        <v>9.0</v>
      </c>
      <c r="F112" s="14"/>
      <c r="G112" s="14"/>
      <c r="H112" s="15" t="s">
        <v>602</v>
      </c>
      <c r="I112" s="14"/>
      <c r="J112" s="14"/>
      <c r="K112" s="14" t="s">
        <v>603</v>
      </c>
      <c r="L112" s="14" t="s">
        <v>111</v>
      </c>
      <c r="M112" s="14" t="s">
        <v>34</v>
      </c>
      <c r="N112" s="14" t="b">
        <v>0</v>
      </c>
      <c r="O112" s="14"/>
      <c r="P112" s="14"/>
      <c r="Q112" s="14"/>
      <c r="R112" s="14"/>
      <c r="S112" s="14" t="s">
        <v>604</v>
      </c>
      <c r="T112" s="14" t="s">
        <v>36</v>
      </c>
      <c r="U112" s="17"/>
      <c r="V112" s="14"/>
      <c r="W112" s="14"/>
      <c r="X112" s="18"/>
      <c r="Y112" s="18"/>
      <c r="Z112" s="18"/>
      <c r="AA112" s="19">
        <f t="shared" si="1"/>
        <v>5</v>
      </c>
      <c r="AB112" s="19" t="str">
        <f t="shared" si="2"/>
        <v/>
      </c>
    </row>
    <row r="113" ht="15.75" customHeight="1">
      <c r="A113" s="12">
        <v>45077.0</v>
      </c>
      <c r="B113" s="14" t="s">
        <v>539</v>
      </c>
      <c r="C113" s="14"/>
      <c r="D113" s="14" t="s">
        <v>605</v>
      </c>
      <c r="E113" s="13">
        <v>12.0</v>
      </c>
      <c r="F113" s="14" t="s">
        <v>297</v>
      </c>
      <c r="G113" s="14"/>
      <c r="H113" s="15" t="s">
        <v>606</v>
      </c>
      <c r="I113" s="14"/>
      <c r="J113" s="14"/>
      <c r="K113" s="14" t="s">
        <v>607</v>
      </c>
      <c r="L113" s="14" t="s">
        <v>48</v>
      </c>
      <c r="M113" s="14" t="s">
        <v>565</v>
      </c>
      <c r="N113" s="14" t="b">
        <v>0</v>
      </c>
      <c r="O113" s="14"/>
      <c r="P113" s="14"/>
      <c r="Q113" s="14"/>
      <c r="R113" s="14"/>
      <c r="S113" s="14" t="s">
        <v>608</v>
      </c>
      <c r="T113" s="14" t="s">
        <v>36</v>
      </c>
      <c r="U113" s="17"/>
      <c r="V113" s="14"/>
      <c r="W113" s="14"/>
      <c r="X113" s="18"/>
      <c r="Y113" s="18"/>
      <c r="Z113" s="18"/>
      <c r="AA113" s="19">
        <f t="shared" si="1"/>
        <v>5</v>
      </c>
      <c r="AB113" s="19" t="str">
        <f t="shared" si="2"/>
        <v/>
      </c>
    </row>
    <row r="114" ht="15.75" customHeight="1">
      <c r="A114" s="12">
        <v>45078.0</v>
      </c>
      <c r="B114" s="24" t="s">
        <v>28</v>
      </c>
      <c r="C114" s="14"/>
      <c r="D114" s="14" t="s">
        <v>609</v>
      </c>
      <c r="E114" s="13">
        <v>20.0</v>
      </c>
      <c r="F114" s="14" t="s">
        <v>219</v>
      </c>
      <c r="G114" s="14"/>
      <c r="H114" s="15" t="s">
        <v>610</v>
      </c>
      <c r="I114" s="14"/>
      <c r="J114" s="14"/>
      <c r="K114" s="14" t="s">
        <v>611</v>
      </c>
      <c r="L114" s="14" t="s">
        <v>48</v>
      </c>
      <c r="M114" s="14" t="s">
        <v>13</v>
      </c>
      <c r="N114" s="14" t="b">
        <v>1</v>
      </c>
      <c r="O114" s="14" t="s">
        <v>612</v>
      </c>
      <c r="P114" s="13" t="s">
        <v>69</v>
      </c>
      <c r="Q114" s="14"/>
      <c r="R114" s="14"/>
      <c r="S114" s="14" t="s">
        <v>613</v>
      </c>
      <c r="T114" s="13" t="s">
        <v>129</v>
      </c>
      <c r="U114" s="17"/>
      <c r="V114" s="23">
        <v>45106.0</v>
      </c>
      <c r="W114" s="24" t="s">
        <v>59</v>
      </c>
      <c r="X114" s="25"/>
      <c r="Y114" s="25"/>
      <c r="Z114" s="25">
        <v>9897200.0</v>
      </c>
      <c r="AA114" s="19">
        <f t="shared" si="1"/>
        <v>6</v>
      </c>
      <c r="AB114" s="19" t="str">
        <f t="shared" si="2"/>
        <v/>
      </c>
    </row>
    <row r="115" ht="15.75" customHeight="1">
      <c r="A115" s="26">
        <v>45078.0</v>
      </c>
      <c r="B115" s="27" t="s">
        <v>201</v>
      </c>
      <c r="C115" s="24" t="s">
        <v>614</v>
      </c>
      <c r="D115" s="27" t="s">
        <v>588</v>
      </c>
      <c r="E115" s="24">
        <v>11.0</v>
      </c>
      <c r="F115" s="27" t="s">
        <v>155</v>
      </c>
      <c r="G115" s="27"/>
      <c r="H115" s="34" t="s">
        <v>615</v>
      </c>
      <c r="I115" s="27"/>
      <c r="J115" s="27"/>
      <c r="K115" s="27" t="s">
        <v>616</v>
      </c>
      <c r="L115" s="27" t="s">
        <v>66</v>
      </c>
      <c r="M115" s="27" t="s">
        <v>67</v>
      </c>
      <c r="N115" s="14" t="b">
        <v>1</v>
      </c>
      <c r="O115" s="24" t="s">
        <v>617</v>
      </c>
      <c r="P115" s="13" t="s">
        <v>42</v>
      </c>
      <c r="Q115" s="24" t="s">
        <v>59</v>
      </c>
      <c r="R115" s="27"/>
      <c r="S115" s="24" t="s">
        <v>618</v>
      </c>
      <c r="T115" s="24" t="s">
        <v>72</v>
      </c>
      <c r="U115" s="26"/>
      <c r="V115" s="70">
        <v>45090.0</v>
      </c>
      <c r="W115" s="24" t="s">
        <v>575</v>
      </c>
      <c r="X115" s="25">
        <v>6124000.0</v>
      </c>
      <c r="Y115" s="25">
        <v>0.0</v>
      </c>
      <c r="Z115" s="18">
        <v>5205400.0</v>
      </c>
      <c r="AA115" s="19">
        <f t="shared" si="1"/>
        <v>6</v>
      </c>
      <c r="AB115" s="19">
        <f t="shared" si="2"/>
        <v>6</v>
      </c>
    </row>
    <row r="116" ht="15.75" customHeight="1">
      <c r="A116" s="26">
        <v>45070.0</v>
      </c>
      <c r="B116" s="27" t="s">
        <v>84</v>
      </c>
      <c r="C116" s="27" t="s">
        <v>369</v>
      </c>
      <c r="D116" s="27" t="s">
        <v>619</v>
      </c>
      <c r="E116" s="24">
        <v>12.0</v>
      </c>
      <c r="F116" s="27" t="s">
        <v>297</v>
      </c>
      <c r="G116" s="27"/>
      <c r="H116" s="34" t="s">
        <v>372</v>
      </c>
      <c r="I116" s="27"/>
      <c r="J116" s="27"/>
      <c r="K116" s="27" t="s">
        <v>620</v>
      </c>
      <c r="L116" s="27" t="s">
        <v>89</v>
      </c>
      <c r="M116" s="27" t="s">
        <v>67</v>
      </c>
      <c r="N116" s="14" t="b">
        <v>1</v>
      </c>
      <c r="O116" s="24" t="s">
        <v>621</v>
      </c>
      <c r="P116" s="13" t="s">
        <v>69</v>
      </c>
      <c r="Q116" s="24" t="s">
        <v>622</v>
      </c>
      <c r="R116" s="27"/>
      <c r="S116" s="27" t="s">
        <v>623</v>
      </c>
      <c r="T116" s="24" t="s">
        <v>72</v>
      </c>
      <c r="U116" s="26"/>
      <c r="V116" s="14"/>
      <c r="W116" s="24" t="s">
        <v>407</v>
      </c>
      <c r="X116" s="18"/>
      <c r="Y116" s="18"/>
      <c r="Z116" s="18"/>
      <c r="AA116" s="19">
        <f t="shared" si="1"/>
        <v>5</v>
      </c>
      <c r="AB116" s="19">
        <f t="shared" si="2"/>
        <v>6</v>
      </c>
    </row>
    <row r="117" ht="15.75" customHeight="1">
      <c r="A117" s="12">
        <v>45078.0</v>
      </c>
      <c r="B117" s="14" t="s">
        <v>539</v>
      </c>
      <c r="C117" s="14"/>
      <c r="D117" s="14" t="s">
        <v>624</v>
      </c>
      <c r="E117" s="13">
        <v>14.0</v>
      </c>
      <c r="F117" s="14" t="s">
        <v>625</v>
      </c>
      <c r="G117" s="14"/>
      <c r="H117" s="40" t="s">
        <v>626</v>
      </c>
      <c r="I117" s="14"/>
      <c r="J117" s="14"/>
      <c r="K117" s="14"/>
      <c r="L117" s="14" t="s">
        <v>412</v>
      </c>
      <c r="M117" s="14" t="s">
        <v>72</v>
      </c>
      <c r="N117" s="14" t="b">
        <v>1</v>
      </c>
      <c r="O117" s="13" t="s">
        <v>585</v>
      </c>
      <c r="P117" s="13" t="s">
        <v>69</v>
      </c>
      <c r="Q117" s="24" t="s">
        <v>622</v>
      </c>
      <c r="R117" s="14"/>
      <c r="S117" s="14" t="s">
        <v>627</v>
      </c>
      <c r="T117" s="24" t="s">
        <v>72</v>
      </c>
      <c r="U117" s="17">
        <v>45087.0</v>
      </c>
      <c r="V117" s="14"/>
      <c r="W117" s="14"/>
      <c r="X117" s="18"/>
      <c r="Y117" s="18"/>
      <c r="Z117" s="18"/>
      <c r="AA117" s="19">
        <f t="shared" si="1"/>
        <v>6</v>
      </c>
      <c r="AB117" s="19" t="str">
        <f t="shared" si="2"/>
        <v/>
      </c>
    </row>
    <row r="118" ht="15.75" customHeight="1">
      <c r="A118" s="12">
        <v>45078.0</v>
      </c>
      <c r="B118" s="14" t="s">
        <v>201</v>
      </c>
      <c r="C118" s="14" t="s">
        <v>628</v>
      </c>
      <c r="D118" s="14" t="s">
        <v>629</v>
      </c>
      <c r="E118" s="14"/>
      <c r="F118" s="14"/>
      <c r="G118" s="14"/>
      <c r="H118" s="15" t="s">
        <v>630</v>
      </c>
      <c r="I118" s="14"/>
      <c r="J118" s="14"/>
      <c r="K118" s="14"/>
      <c r="L118" s="14" t="s">
        <v>66</v>
      </c>
      <c r="M118" s="14" t="s">
        <v>72</v>
      </c>
      <c r="N118" s="14" t="b">
        <v>1</v>
      </c>
      <c r="O118" s="13" t="s">
        <v>631</v>
      </c>
      <c r="P118" s="13" t="s">
        <v>69</v>
      </c>
      <c r="Q118" s="14"/>
      <c r="R118" s="14"/>
      <c r="S118" s="14" t="s">
        <v>632</v>
      </c>
      <c r="T118" s="13" t="s">
        <v>129</v>
      </c>
      <c r="U118" s="17">
        <v>45094.0</v>
      </c>
      <c r="V118" s="109">
        <v>45103.0</v>
      </c>
      <c r="W118" s="24" t="s">
        <v>407</v>
      </c>
      <c r="X118" s="25">
        <v>6124000.0</v>
      </c>
      <c r="Y118" s="25">
        <v>16.0</v>
      </c>
      <c r="Z118" s="25">
        <v>1.0254638E7</v>
      </c>
      <c r="AA118" s="19">
        <f t="shared" si="1"/>
        <v>6</v>
      </c>
      <c r="AB118" s="19" t="str">
        <f t="shared" si="2"/>
        <v/>
      </c>
    </row>
    <row r="119" ht="15.75" customHeight="1">
      <c r="A119" s="26">
        <v>45078.0</v>
      </c>
      <c r="B119" s="27" t="s">
        <v>201</v>
      </c>
      <c r="C119" s="110" t="s">
        <v>633</v>
      </c>
      <c r="D119" s="27" t="s">
        <v>634</v>
      </c>
      <c r="E119" s="24">
        <v>9.0</v>
      </c>
      <c r="F119" s="27" t="s">
        <v>115</v>
      </c>
      <c r="G119" s="27"/>
      <c r="H119" s="34" t="s">
        <v>635</v>
      </c>
      <c r="I119" s="27"/>
      <c r="J119" s="27"/>
      <c r="K119" s="27"/>
      <c r="L119" s="27" t="s">
        <v>89</v>
      </c>
      <c r="M119" s="27" t="s">
        <v>67</v>
      </c>
      <c r="N119" s="14" t="b">
        <v>1</v>
      </c>
      <c r="O119" s="24" t="s">
        <v>636</v>
      </c>
      <c r="P119" s="13" t="s">
        <v>69</v>
      </c>
      <c r="Q119" s="24" t="s">
        <v>91</v>
      </c>
      <c r="R119" s="27"/>
      <c r="S119" s="27" t="s">
        <v>637</v>
      </c>
      <c r="T119" s="24" t="s">
        <v>72</v>
      </c>
      <c r="U119" s="26"/>
      <c r="V119" s="109">
        <v>45103.0</v>
      </c>
      <c r="W119" s="24" t="s">
        <v>311</v>
      </c>
      <c r="X119" s="25">
        <v>6124000.0</v>
      </c>
      <c r="Y119" s="25"/>
      <c r="Z119" s="25"/>
      <c r="AA119" s="19">
        <f t="shared" si="1"/>
        <v>6</v>
      </c>
      <c r="AB119" s="19">
        <f t="shared" si="2"/>
        <v>6</v>
      </c>
    </row>
    <row r="120" ht="15.75" customHeight="1">
      <c r="A120" s="26">
        <v>45078.0</v>
      </c>
      <c r="B120" s="27" t="s">
        <v>201</v>
      </c>
      <c r="C120" s="110" t="s">
        <v>633</v>
      </c>
      <c r="D120" s="27" t="s">
        <v>638</v>
      </c>
      <c r="E120" s="27"/>
      <c r="F120" s="27"/>
      <c r="G120" s="27"/>
      <c r="H120" s="31" t="s">
        <v>639</v>
      </c>
      <c r="I120" s="27"/>
      <c r="J120" s="27"/>
      <c r="K120" s="27"/>
      <c r="L120" s="27" t="s">
        <v>89</v>
      </c>
      <c r="M120" s="27" t="s">
        <v>67</v>
      </c>
      <c r="N120" s="14" t="b">
        <v>0</v>
      </c>
      <c r="O120" s="27" t="s">
        <v>640</v>
      </c>
      <c r="P120" s="13" t="s">
        <v>69</v>
      </c>
      <c r="Q120" s="24" t="s">
        <v>91</v>
      </c>
      <c r="R120" s="27"/>
      <c r="S120" s="27"/>
      <c r="T120" s="24" t="s">
        <v>72</v>
      </c>
      <c r="U120" s="26"/>
      <c r="V120" s="14"/>
      <c r="W120" s="14"/>
      <c r="X120" s="18"/>
      <c r="Y120" s="18"/>
      <c r="Z120" s="18"/>
      <c r="AA120" s="19">
        <f t="shared" si="1"/>
        <v>6</v>
      </c>
      <c r="AB120" s="19">
        <f t="shared" si="2"/>
        <v>6</v>
      </c>
    </row>
    <row r="121" ht="15.75" customHeight="1">
      <c r="A121" s="12">
        <v>45078.0</v>
      </c>
      <c r="B121" s="13" t="s">
        <v>28</v>
      </c>
      <c r="C121" s="14" t="s">
        <v>641</v>
      </c>
      <c r="D121" s="14"/>
      <c r="E121" s="14"/>
      <c r="F121" s="14"/>
      <c r="G121" s="14"/>
      <c r="H121" s="15" t="s">
        <v>642</v>
      </c>
      <c r="I121" s="14"/>
      <c r="J121" s="14"/>
      <c r="K121" s="14"/>
      <c r="L121" s="14" t="s">
        <v>111</v>
      </c>
      <c r="M121" s="14" t="s">
        <v>34</v>
      </c>
      <c r="N121" s="14" t="b">
        <v>0</v>
      </c>
      <c r="O121" s="14"/>
      <c r="P121" s="14"/>
      <c r="Q121" s="14"/>
      <c r="R121" s="14"/>
      <c r="S121" s="14" t="s">
        <v>643</v>
      </c>
      <c r="T121" s="14" t="s">
        <v>36</v>
      </c>
      <c r="U121" s="17"/>
      <c r="V121" s="14"/>
      <c r="W121" s="14"/>
      <c r="X121" s="18"/>
      <c r="Y121" s="18"/>
      <c r="Z121" s="18"/>
      <c r="AA121" s="19">
        <f t="shared" si="1"/>
        <v>6</v>
      </c>
      <c r="AB121" s="19" t="str">
        <f t="shared" si="2"/>
        <v/>
      </c>
    </row>
    <row r="122" ht="15.75" customHeight="1">
      <c r="A122" s="12">
        <v>45078.0</v>
      </c>
      <c r="B122" s="13" t="s">
        <v>28</v>
      </c>
      <c r="C122" s="14" t="s">
        <v>644</v>
      </c>
      <c r="D122" s="14" t="s">
        <v>645</v>
      </c>
      <c r="E122" s="13">
        <v>7.0</v>
      </c>
      <c r="F122" s="14" t="s">
        <v>646</v>
      </c>
      <c r="G122" s="14"/>
      <c r="H122" s="15" t="s">
        <v>647</v>
      </c>
      <c r="I122" s="14"/>
      <c r="J122" s="14"/>
      <c r="K122" s="14" t="s">
        <v>648</v>
      </c>
      <c r="L122" s="14" t="s">
        <v>111</v>
      </c>
      <c r="M122" s="14" t="s">
        <v>13</v>
      </c>
      <c r="N122" s="14" t="b">
        <v>1</v>
      </c>
      <c r="O122" s="13" t="s">
        <v>649</v>
      </c>
      <c r="P122" s="13" t="s">
        <v>69</v>
      </c>
      <c r="Q122" s="14"/>
      <c r="R122" s="14"/>
      <c r="S122" s="14" t="s">
        <v>650</v>
      </c>
      <c r="T122" s="13" t="s">
        <v>129</v>
      </c>
      <c r="U122" s="17">
        <v>45096.0</v>
      </c>
      <c r="V122" s="14"/>
      <c r="W122" s="14"/>
      <c r="X122" s="18"/>
      <c r="Y122" s="18"/>
      <c r="Z122" s="18"/>
      <c r="AA122" s="19">
        <f t="shared" si="1"/>
        <v>6</v>
      </c>
      <c r="AB122" s="19" t="str">
        <f t="shared" si="2"/>
        <v/>
      </c>
    </row>
    <row r="123" ht="15.75" customHeight="1">
      <c r="A123" s="12">
        <v>45078.0</v>
      </c>
      <c r="B123" s="14" t="s">
        <v>60</v>
      </c>
      <c r="C123" s="14" t="s">
        <v>651</v>
      </c>
      <c r="D123" s="14" t="s">
        <v>652</v>
      </c>
      <c r="E123" s="13">
        <v>7.0</v>
      </c>
      <c r="F123" s="14" t="s">
        <v>542</v>
      </c>
      <c r="G123" s="14"/>
      <c r="H123" s="15" t="s">
        <v>653</v>
      </c>
      <c r="I123" s="14"/>
      <c r="J123" s="14"/>
      <c r="K123" s="14"/>
      <c r="L123" s="14" t="s">
        <v>111</v>
      </c>
      <c r="M123" s="14" t="s">
        <v>34</v>
      </c>
      <c r="N123" s="14" t="b">
        <v>1</v>
      </c>
      <c r="O123" s="13" t="s">
        <v>654</v>
      </c>
      <c r="P123" s="13" t="s">
        <v>42</v>
      </c>
      <c r="Q123" s="14"/>
      <c r="R123" s="14"/>
      <c r="S123" s="14" t="s">
        <v>655</v>
      </c>
      <c r="T123" s="14" t="s">
        <v>36</v>
      </c>
      <c r="U123" s="59"/>
      <c r="V123" s="14"/>
      <c r="W123" s="14"/>
      <c r="X123" s="18"/>
      <c r="Y123" s="18"/>
      <c r="Z123" s="18"/>
      <c r="AA123" s="19">
        <f t="shared" si="1"/>
        <v>6</v>
      </c>
      <c r="AB123" s="19" t="str">
        <f t="shared" si="2"/>
        <v/>
      </c>
    </row>
    <row r="124" ht="15.75" customHeight="1">
      <c r="A124" s="12">
        <v>45078.0</v>
      </c>
      <c r="B124" s="14" t="s">
        <v>201</v>
      </c>
      <c r="C124" s="14" t="s">
        <v>656</v>
      </c>
      <c r="D124" s="13" t="s">
        <v>657</v>
      </c>
      <c r="E124" s="13">
        <v>15.0</v>
      </c>
      <c r="F124" s="13" t="s">
        <v>371</v>
      </c>
      <c r="G124" s="14"/>
      <c r="H124" s="15" t="s">
        <v>658</v>
      </c>
      <c r="I124" s="14"/>
      <c r="J124" s="14"/>
      <c r="K124" s="14"/>
      <c r="L124" s="14" t="s">
        <v>48</v>
      </c>
      <c r="M124" s="14" t="s">
        <v>34</v>
      </c>
      <c r="N124" s="14" t="b">
        <v>1</v>
      </c>
      <c r="O124" s="13" t="s">
        <v>659</v>
      </c>
      <c r="P124" s="13" t="s">
        <v>69</v>
      </c>
      <c r="Q124" s="14"/>
      <c r="R124" s="14"/>
      <c r="S124" s="14" t="s">
        <v>660</v>
      </c>
      <c r="T124" s="14" t="s">
        <v>36</v>
      </c>
      <c r="U124" s="17"/>
      <c r="V124" s="14"/>
      <c r="W124" s="14"/>
      <c r="X124" s="18"/>
      <c r="Y124" s="18"/>
      <c r="Z124" s="18"/>
      <c r="AA124" s="19">
        <f t="shared" si="1"/>
        <v>6</v>
      </c>
      <c r="AB124" s="19" t="str">
        <f t="shared" si="2"/>
        <v/>
      </c>
    </row>
    <row r="125" ht="15.75" customHeight="1">
      <c r="A125" s="12">
        <v>45079.0</v>
      </c>
      <c r="B125" s="14" t="s">
        <v>84</v>
      </c>
      <c r="C125" s="14" t="s">
        <v>661</v>
      </c>
      <c r="D125" s="14"/>
      <c r="E125" s="13">
        <v>10.0</v>
      </c>
      <c r="F125" s="14" t="s">
        <v>115</v>
      </c>
      <c r="G125" s="14"/>
      <c r="H125" s="15" t="s">
        <v>662</v>
      </c>
      <c r="I125" s="14"/>
      <c r="J125" s="14"/>
      <c r="K125" s="13" t="s">
        <v>663</v>
      </c>
      <c r="L125" s="14" t="s">
        <v>48</v>
      </c>
      <c r="M125" s="14" t="s">
        <v>34</v>
      </c>
      <c r="N125" s="14" t="b">
        <v>0</v>
      </c>
      <c r="O125" s="14"/>
      <c r="P125" s="14"/>
      <c r="Q125" s="14"/>
      <c r="R125" s="14"/>
      <c r="S125" s="14" t="s">
        <v>664</v>
      </c>
      <c r="T125" s="14" t="s">
        <v>36</v>
      </c>
      <c r="U125" s="17"/>
      <c r="V125" s="14"/>
      <c r="W125" s="14"/>
      <c r="X125" s="18"/>
      <c r="Y125" s="18"/>
      <c r="Z125" s="18"/>
      <c r="AA125" s="19">
        <f t="shared" si="1"/>
        <v>6</v>
      </c>
      <c r="AB125" s="19" t="str">
        <f t="shared" si="2"/>
        <v/>
      </c>
    </row>
    <row r="126" ht="15.75" customHeight="1">
      <c r="A126" s="12">
        <v>45079.0</v>
      </c>
      <c r="B126" s="14" t="s">
        <v>539</v>
      </c>
      <c r="C126" s="14" t="s">
        <v>665</v>
      </c>
      <c r="D126" s="14" t="s">
        <v>666</v>
      </c>
      <c r="E126" s="13">
        <v>13.0</v>
      </c>
      <c r="F126" s="14" t="s">
        <v>234</v>
      </c>
      <c r="G126" s="14"/>
      <c r="H126" s="15" t="s">
        <v>667</v>
      </c>
      <c r="I126" s="14"/>
      <c r="J126" s="14"/>
      <c r="K126" s="14" t="s">
        <v>668</v>
      </c>
      <c r="L126" s="14" t="s">
        <v>111</v>
      </c>
      <c r="M126" s="14" t="s">
        <v>13</v>
      </c>
      <c r="N126" s="14" t="b">
        <v>1</v>
      </c>
      <c r="O126" s="13" t="s">
        <v>669</v>
      </c>
      <c r="P126" s="13" t="s">
        <v>42</v>
      </c>
      <c r="Q126" s="14"/>
      <c r="R126" s="14"/>
      <c r="S126" s="14" t="s">
        <v>670</v>
      </c>
      <c r="T126" s="13" t="s">
        <v>129</v>
      </c>
      <c r="U126" s="17">
        <v>45103.0</v>
      </c>
      <c r="V126" s="14"/>
      <c r="W126" s="14"/>
      <c r="X126" s="18"/>
      <c r="Y126" s="18"/>
      <c r="Z126" s="18"/>
      <c r="AA126" s="19">
        <f t="shared" si="1"/>
        <v>6</v>
      </c>
      <c r="AB126" s="19" t="str">
        <f t="shared" si="2"/>
        <v/>
      </c>
    </row>
    <row r="127" ht="15.75" customHeight="1">
      <c r="A127" s="12">
        <v>45079.0</v>
      </c>
      <c r="B127" s="14" t="s">
        <v>539</v>
      </c>
      <c r="C127" s="14" t="s">
        <v>671</v>
      </c>
      <c r="D127" s="14" t="s">
        <v>672</v>
      </c>
      <c r="E127" s="13">
        <v>13.0</v>
      </c>
      <c r="F127" s="14" t="s">
        <v>234</v>
      </c>
      <c r="G127" s="14"/>
      <c r="H127" s="15" t="s">
        <v>673</v>
      </c>
      <c r="I127" s="14"/>
      <c r="J127" s="14"/>
      <c r="K127" s="14" t="s">
        <v>674</v>
      </c>
      <c r="L127" s="14" t="s">
        <v>111</v>
      </c>
      <c r="M127" s="14" t="s">
        <v>34</v>
      </c>
      <c r="N127" s="14" t="b">
        <v>0</v>
      </c>
      <c r="O127" s="14"/>
      <c r="P127" s="14"/>
      <c r="Q127" s="14"/>
      <c r="R127" s="14"/>
      <c r="S127" s="14" t="s">
        <v>675</v>
      </c>
      <c r="T127" s="14" t="s">
        <v>36</v>
      </c>
      <c r="U127" s="17"/>
      <c r="V127" s="14"/>
      <c r="W127" s="14"/>
      <c r="X127" s="18"/>
      <c r="Y127" s="18"/>
      <c r="Z127" s="18"/>
      <c r="AA127" s="19">
        <f t="shared" si="1"/>
        <v>6</v>
      </c>
      <c r="AB127" s="19" t="str">
        <f t="shared" si="2"/>
        <v/>
      </c>
    </row>
    <row r="128" ht="15.75" customHeight="1">
      <c r="A128" s="12">
        <v>45079.0</v>
      </c>
      <c r="B128" s="14" t="s">
        <v>84</v>
      </c>
      <c r="C128" s="14" t="s">
        <v>676</v>
      </c>
      <c r="D128" s="14" t="s">
        <v>677</v>
      </c>
      <c r="E128" s="13">
        <v>10.0</v>
      </c>
      <c r="F128" s="14" t="s">
        <v>115</v>
      </c>
      <c r="G128" s="14"/>
      <c r="H128" s="15" t="s">
        <v>678</v>
      </c>
      <c r="I128" s="14"/>
      <c r="J128" s="14"/>
      <c r="K128" s="14" t="s">
        <v>679</v>
      </c>
      <c r="L128" s="14" t="s">
        <v>48</v>
      </c>
      <c r="M128" s="14" t="s">
        <v>158</v>
      </c>
      <c r="N128" s="14" t="b">
        <v>1</v>
      </c>
      <c r="O128" s="13" t="s">
        <v>680</v>
      </c>
      <c r="P128" s="13" t="s">
        <v>69</v>
      </c>
      <c r="Q128" s="14"/>
      <c r="R128" s="14"/>
      <c r="S128" s="14" t="s">
        <v>681</v>
      </c>
      <c r="T128" s="13" t="s">
        <v>229</v>
      </c>
      <c r="U128" s="17"/>
      <c r="V128" s="14"/>
      <c r="W128" s="14"/>
      <c r="X128" s="18"/>
      <c r="Y128" s="18"/>
      <c r="Z128" s="18"/>
      <c r="AA128" s="19">
        <f t="shared" si="1"/>
        <v>6</v>
      </c>
      <c r="AB128" s="19" t="str">
        <f t="shared" si="2"/>
        <v/>
      </c>
    </row>
    <row r="129" ht="15.75" customHeight="1">
      <c r="A129" s="12">
        <v>45079.0</v>
      </c>
      <c r="B129" s="14" t="s">
        <v>539</v>
      </c>
      <c r="C129" s="14" t="s">
        <v>682</v>
      </c>
      <c r="D129" s="14" t="s">
        <v>683</v>
      </c>
      <c r="E129" s="13">
        <v>12.0</v>
      </c>
      <c r="F129" s="14" t="s">
        <v>297</v>
      </c>
      <c r="G129" s="14"/>
      <c r="H129" s="15" t="s">
        <v>684</v>
      </c>
      <c r="I129" s="14"/>
      <c r="J129" s="14"/>
      <c r="K129" s="14"/>
      <c r="L129" s="14" t="s">
        <v>111</v>
      </c>
      <c r="M129" s="14" t="s">
        <v>34</v>
      </c>
      <c r="N129" s="14" t="b">
        <v>1</v>
      </c>
      <c r="O129" s="13" t="s">
        <v>685</v>
      </c>
      <c r="P129" s="13" t="s">
        <v>42</v>
      </c>
      <c r="Q129" s="14"/>
      <c r="R129" s="14"/>
      <c r="S129" s="14" t="s">
        <v>686</v>
      </c>
      <c r="T129" s="14" t="s">
        <v>36</v>
      </c>
      <c r="U129" s="17"/>
      <c r="V129" s="14"/>
      <c r="W129" s="14"/>
      <c r="X129" s="18"/>
      <c r="Y129" s="18"/>
      <c r="Z129" s="18"/>
      <c r="AA129" s="19">
        <f t="shared" si="1"/>
        <v>6</v>
      </c>
      <c r="AB129" s="19" t="str">
        <f t="shared" si="2"/>
        <v/>
      </c>
    </row>
    <row r="130" ht="15.75" customHeight="1">
      <c r="A130" s="12">
        <v>45079.0</v>
      </c>
      <c r="B130" s="13" t="s">
        <v>28</v>
      </c>
      <c r="C130" s="14" t="s">
        <v>687</v>
      </c>
      <c r="D130" s="14"/>
      <c r="E130" s="13">
        <v>5.0</v>
      </c>
      <c r="F130" s="14"/>
      <c r="G130" s="14"/>
      <c r="H130" s="57" t="s">
        <v>688</v>
      </c>
      <c r="I130" s="14"/>
      <c r="J130" s="14"/>
      <c r="K130" s="13" t="s">
        <v>689</v>
      </c>
      <c r="L130" s="14" t="s">
        <v>111</v>
      </c>
      <c r="M130" s="14" t="s">
        <v>216</v>
      </c>
      <c r="N130" s="14" t="b">
        <v>0</v>
      </c>
      <c r="O130" s="14"/>
      <c r="P130" s="14"/>
      <c r="Q130" s="14"/>
      <c r="R130" s="14"/>
      <c r="S130" s="14" t="s">
        <v>690</v>
      </c>
      <c r="T130" s="13" t="s">
        <v>129</v>
      </c>
      <c r="U130" s="17"/>
      <c r="V130" s="14"/>
      <c r="W130" s="14"/>
      <c r="X130" s="18"/>
      <c r="Y130" s="18"/>
      <c r="Z130" s="18"/>
      <c r="AA130" s="19">
        <f t="shared" si="1"/>
        <v>6</v>
      </c>
      <c r="AB130" s="19" t="str">
        <f t="shared" si="2"/>
        <v/>
      </c>
    </row>
    <row r="131" ht="15.75" customHeight="1">
      <c r="A131" s="12">
        <v>45080.0</v>
      </c>
      <c r="B131" s="13" t="s">
        <v>28</v>
      </c>
      <c r="C131" s="14" t="s">
        <v>691</v>
      </c>
      <c r="D131" s="14" t="s">
        <v>692</v>
      </c>
      <c r="E131" s="13">
        <v>5.0</v>
      </c>
      <c r="F131" s="14">
        <v>2018.0</v>
      </c>
      <c r="G131" s="14"/>
      <c r="H131" s="15" t="s">
        <v>693</v>
      </c>
      <c r="I131" s="14"/>
      <c r="J131" s="14"/>
      <c r="K131" s="13" t="s">
        <v>694</v>
      </c>
      <c r="L131" s="14" t="s">
        <v>48</v>
      </c>
      <c r="M131" s="14" t="s">
        <v>34</v>
      </c>
      <c r="N131" s="14" t="b">
        <v>0</v>
      </c>
      <c r="O131" s="14"/>
      <c r="P131" s="14"/>
      <c r="Q131" s="14"/>
      <c r="R131" s="14"/>
      <c r="S131" s="14" t="s">
        <v>695</v>
      </c>
      <c r="T131" s="14" t="s">
        <v>36</v>
      </c>
      <c r="U131" s="17"/>
      <c r="V131" s="23">
        <v>45083.0</v>
      </c>
      <c r="W131" s="24" t="s">
        <v>696</v>
      </c>
      <c r="X131" s="25">
        <v>2558000.0</v>
      </c>
      <c r="Y131" s="25">
        <v>255800.0</v>
      </c>
      <c r="Z131" s="25">
        <v>2302200.0</v>
      </c>
      <c r="AA131" s="19">
        <f t="shared" si="1"/>
        <v>6</v>
      </c>
      <c r="AB131" s="19" t="str">
        <f t="shared" si="2"/>
        <v/>
      </c>
    </row>
    <row r="132" ht="15.75" customHeight="1">
      <c r="A132" s="26">
        <v>45080.0</v>
      </c>
      <c r="B132" s="27" t="s">
        <v>60</v>
      </c>
      <c r="C132" s="27" t="s">
        <v>697</v>
      </c>
      <c r="D132" s="27" t="s">
        <v>698</v>
      </c>
      <c r="E132" s="24">
        <v>11.0</v>
      </c>
      <c r="F132" s="27"/>
      <c r="G132" s="27"/>
      <c r="H132" s="34" t="s">
        <v>699</v>
      </c>
      <c r="I132" s="27"/>
      <c r="J132" s="27"/>
      <c r="K132" s="27" t="s">
        <v>700</v>
      </c>
      <c r="L132" s="27" t="s">
        <v>66</v>
      </c>
      <c r="M132" s="27" t="s">
        <v>67</v>
      </c>
      <c r="N132" s="14" t="b">
        <v>1</v>
      </c>
      <c r="O132" s="24" t="s">
        <v>701</v>
      </c>
      <c r="P132" s="13" t="s">
        <v>69</v>
      </c>
      <c r="Q132" s="27" t="s">
        <v>238</v>
      </c>
      <c r="R132" s="27" t="s">
        <v>70</v>
      </c>
      <c r="S132" s="27" t="s">
        <v>702</v>
      </c>
      <c r="T132" s="24" t="s">
        <v>72</v>
      </c>
      <c r="U132" s="26"/>
      <c r="V132" s="32">
        <v>45096.0</v>
      </c>
      <c r="W132" s="24" t="s">
        <v>314</v>
      </c>
      <c r="X132" s="25">
        <v>5116000.0</v>
      </c>
      <c r="Y132" s="25">
        <f>X132-Z132</f>
        <v>767400</v>
      </c>
      <c r="Z132" s="25">
        <v>4348600.0</v>
      </c>
      <c r="AA132" s="19">
        <f t="shared" si="1"/>
        <v>6</v>
      </c>
      <c r="AB132" s="19">
        <f t="shared" si="2"/>
        <v>6</v>
      </c>
    </row>
    <row r="133" ht="15.75" customHeight="1">
      <c r="A133" s="26">
        <v>45080.0</v>
      </c>
      <c r="B133" s="27" t="s">
        <v>703</v>
      </c>
      <c r="C133" s="27" t="s">
        <v>704</v>
      </c>
      <c r="D133" s="27" t="s">
        <v>705</v>
      </c>
      <c r="E133" s="24">
        <v>12.0</v>
      </c>
      <c r="F133" s="27"/>
      <c r="G133" s="27"/>
      <c r="H133" s="34" t="s">
        <v>706</v>
      </c>
      <c r="I133" s="27"/>
      <c r="J133" s="27"/>
      <c r="K133" s="24" t="s">
        <v>707</v>
      </c>
      <c r="L133" s="27" t="s">
        <v>412</v>
      </c>
      <c r="M133" s="27" t="s">
        <v>67</v>
      </c>
      <c r="N133" s="14" t="b">
        <v>1</v>
      </c>
      <c r="O133" s="24" t="s">
        <v>708</v>
      </c>
      <c r="P133" s="13" t="s">
        <v>42</v>
      </c>
      <c r="Q133" s="24" t="s">
        <v>320</v>
      </c>
      <c r="R133" s="27"/>
      <c r="S133" s="24" t="s">
        <v>709</v>
      </c>
      <c r="T133" s="24" t="s">
        <v>72</v>
      </c>
      <c r="U133" s="26"/>
      <c r="V133" s="14"/>
      <c r="W133" s="14"/>
      <c r="X133" s="18"/>
      <c r="Y133" s="18"/>
      <c r="Z133" s="18"/>
      <c r="AA133" s="19">
        <f t="shared" si="1"/>
        <v>6</v>
      </c>
      <c r="AB133" s="19">
        <f t="shared" si="2"/>
        <v>6</v>
      </c>
    </row>
    <row r="134" ht="15.75" customHeight="1">
      <c r="A134" s="12">
        <v>45081.0</v>
      </c>
      <c r="B134" s="13" t="s">
        <v>28</v>
      </c>
      <c r="C134" s="14" t="s">
        <v>710</v>
      </c>
      <c r="D134" s="14" t="s">
        <v>711</v>
      </c>
      <c r="E134" s="13">
        <v>5.0</v>
      </c>
      <c r="F134" s="14"/>
      <c r="G134" s="14"/>
      <c r="H134" s="111" t="s">
        <v>712</v>
      </c>
      <c r="I134" s="14"/>
      <c r="J134" s="14"/>
      <c r="K134" s="14" t="s">
        <v>713</v>
      </c>
      <c r="L134" s="14" t="s">
        <v>48</v>
      </c>
      <c r="M134" s="14" t="s">
        <v>216</v>
      </c>
      <c r="N134" s="14" t="b">
        <v>0</v>
      </c>
      <c r="O134" s="14"/>
      <c r="P134" s="14"/>
      <c r="Q134" s="14"/>
      <c r="R134" s="14"/>
      <c r="S134" s="14" t="s">
        <v>714</v>
      </c>
      <c r="T134" s="14" t="s">
        <v>36</v>
      </c>
      <c r="U134" s="17">
        <v>45174.0</v>
      </c>
      <c r="V134" s="14"/>
      <c r="W134" s="14"/>
      <c r="X134" s="18"/>
      <c r="Y134" s="18"/>
      <c r="Z134" s="18"/>
      <c r="AA134" s="19">
        <f t="shared" si="1"/>
        <v>6</v>
      </c>
      <c r="AB134" s="19" t="str">
        <f t="shared" si="2"/>
        <v/>
      </c>
    </row>
    <row r="135" ht="15.75" customHeight="1">
      <c r="A135" s="12">
        <v>45081.0</v>
      </c>
      <c r="B135" s="24" t="s">
        <v>28</v>
      </c>
      <c r="C135" s="14"/>
      <c r="D135" s="14" t="s">
        <v>715</v>
      </c>
      <c r="E135" s="13">
        <v>22.0</v>
      </c>
      <c r="F135" s="14"/>
      <c r="G135" s="14"/>
      <c r="H135" s="15" t="s">
        <v>716</v>
      </c>
      <c r="I135" s="14"/>
      <c r="J135" s="14"/>
      <c r="K135" s="112" t="s">
        <v>717</v>
      </c>
      <c r="L135" s="14" t="s">
        <v>48</v>
      </c>
      <c r="M135" s="14" t="s">
        <v>34</v>
      </c>
      <c r="N135" s="14" t="b">
        <v>0</v>
      </c>
      <c r="O135" s="14"/>
      <c r="P135" s="14"/>
      <c r="Q135" s="14"/>
      <c r="R135" s="14"/>
      <c r="S135" s="14" t="s">
        <v>718</v>
      </c>
      <c r="T135" s="14" t="s">
        <v>36</v>
      </c>
      <c r="U135" s="17"/>
      <c r="V135" s="70">
        <v>45085.0</v>
      </c>
      <c r="W135" s="24" t="s">
        <v>130</v>
      </c>
      <c r="X135" s="25">
        <v>6124000.0</v>
      </c>
      <c r="Y135" s="25">
        <v>0.0</v>
      </c>
      <c r="Z135" s="18">
        <v>5205400.0</v>
      </c>
      <c r="AA135" s="19">
        <f t="shared" si="1"/>
        <v>6</v>
      </c>
      <c r="AB135" s="19" t="str">
        <f t="shared" si="2"/>
        <v/>
      </c>
    </row>
    <row r="136" ht="15.75" customHeight="1">
      <c r="A136" s="26">
        <v>45081.0</v>
      </c>
      <c r="B136" s="27" t="s">
        <v>201</v>
      </c>
      <c r="C136" s="27" t="s">
        <v>719</v>
      </c>
      <c r="D136" s="27" t="s">
        <v>720</v>
      </c>
      <c r="E136" s="24">
        <v>12.0</v>
      </c>
      <c r="F136" s="27">
        <v>7.0</v>
      </c>
      <c r="G136" s="27"/>
      <c r="H136" s="34" t="s">
        <v>721</v>
      </c>
      <c r="I136" s="27"/>
      <c r="J136" s="27"/>
      <c r="K136" s="27"/>
      <c r="L136" s="27" t="s">
        <v>89</v>
      </c>
      <c r="M136" s="27" t="s">
        <v>67</v>
      </c>
      <c r="N136" s="14" t="b">
        <v>1</v>
      </c>
      <c r="O136" s="24" t="s">
        <v>722</v>
      </c>
      <c r="P136" s="13" t="s">
        <v>69</v>
      </c>
      <c r="Q136" s="24" t="s">
        <v>91</v>
      </c>
      <c r="R136" s="27"/>
      <c r="S136" s="24" t="s">
        <v>723</v>
      </c>
      <c r="T136" s="24" t="s">
        <v>72</v>
      </c>
      <c r="U136" s="26"/>
      <c r="V136" s="14"/>
      <c r="W136" s="14"/>
      <c r="X136" s="18"/>
      <c r="Y136" s="18"/>
      <c r="Z136" s="18"/>
      <c r="AA136" s="19">
        <f t="shared" si="1"/>
        <v>6</v>
      </c>
      <c r="AB136" s="19">
        <f t="shared" si="2"/>
        <v>6</v>
      </c>
    </row>
    <row r="137" ht="15.75" customHeight="1">
      <c r="A137" s="12">
        <v>45082.0</v>
      </c>
      <c r="B137" s="13" t="s">
        <v>28</v>
      </c>
      <c r="C137" s="14" t="s">
        <v>724</v>
      </c>
      <c r="D137" s="14"/>
      <c r="E137" s="14"/>
      <c r="F137" s="14"/>
      <c r="G137" s="14"/>
      <c r="H137" s="15" t="s">
        <v>725</v>
      </c>
      <c r="I137" s="14"/>
      <c r="J137" s="14"/>
      <c r="K137" s="14"/>
      <c r="L137" s="14" t="s">
        <v>111</v>
      </c>
      <c r="M137" s="14" t="s">
        <v>34</v>
      </c>
      <c r="N137" s="14" t="b">
        <v>0</v>
      </c>
      <c r="O137" s="14"/>
      <c r="P137" s="14"/>
      <c r="Q137" s="14"/>
      <c r="R137" s="14"/>
      <c r="S137" s="14" t="s">
        <v>726</v>
      </c>
      <c r="T137" s="14" t="s">
        <v>36</v>
      </c>
      <c r="U137" s="17"/>
      <c r="V137" s="14"/>
      <c r="W137" s="14"/>
      <c r="X137" s="18"/>
      <c r="Y137" s="18"/>
      <c r="Z137" s="18"/>
      <c r="AA137" s="19">
        <f t="shared" si="1"/>
        <v>6</v>
      </c>
      <c r="AB137" s="19" t="str">
        <f t="shared" si="2"/>
        <v/>
      </c>
    </row>
    <row r="138" ht="15.75" customHeight="1">
      <c r="A138" s="12">
        <v>45082.0</v>
      </c>
      <c r="B138" s="13" t="s">
        <v>28</v>
      </c>
      <c r="C138" s="14" t="s">
        <v>727</v>
      </c>
      <c r="D138" s="13" t="s">
        <v>728</v>
      </c>
      <c r="E138" s="13">
        <v>14.0</v>
      </c>
      <c r="F138" s="14"/>
      <c r="G138" s="14"/>
      <c r="H138" s="60" t="s">
        <v>729</v>
      </c>
      <c r="I138" s="14"/>
      <c r="J138" s="14"/>
      <c r="K138" s="13" t="s">
        <v>730</v>
      </c>
      <c r="L138" s="14" t="s">
        <v>412</v>
      </c>
      <c r="M138" s="14" t="s">
        <v>34</v>
      </c>
      <c r="N138" s="14" t="b">
        <v>1</v>
      </c>
      <c r="O138" s="13" t="s">
        <v>731</v>
      </c>
      <c r="P138" s="13" t="s">
        <v>69</v>
      </c>
      <c r="Q138" s="14"/>
      <c r="R138" s="14"/>
      <c r="S138" s="14" t="s">
        <v>732</v>
      </c>
      <c r="T138" s="14" t="s">
        <v>36</v>
      </c>
      <c r="U138" s="17"/>
      <c r="V138" s="14"/>
      <c r="W138" s="14"/>
      <c r="X138" s="18"/>
      <c r="Y138" s="18"/>
      <c r="Z138" s="18"/>
      <c r="AA138" s="19">
        <f t="shared" si="1"/>
        <v>6</v>
      </c>
      <c r="AB138" s="19" t="str">
        <f t="shared" si="2"/>
        <v/>
      </c>
    </row>
    <row r="139" ht="15.75" customHeight="1">
      <c r="A139" s="12">
        <v>45083.0</v>
      </c>
      <c r="B139" s="13" t="s">
        <v>28</v>
      </c>
      <c r="C139" s="14" t="s">
        <v>733</v>
      </c>
      <c r="D139" s="14" t="s">
        <v>734</v>
      </c>
      <c r="E139" s="13">
        <v>7.0</v>
      </c>
      <c r="F139" s="14" t="s">
        <v>349</v>
      </c>
      <c r="G139" s="14"/>
      <c r="H139" s="101" t="s">
        <v>735</v>
      </c>
      <c r="I139" s="14"/>
      <c r="J139" s="14"/>
      <c r="K139" s="13" t="s">
        <v>736</v>
      </c>
      <c r="L139" s="14" t="s">
        <v>111</v>
      </c>
      <c r="M139" s="14" t="s">
        <v>13</v>
      </c>
      <c r="N139" s="14" t="b">
        <v>1</v>
      </c>
      <c r="O139" s="13" t="s">
        <v>680</v>
      </c>
      <c r="P139" s="13" t="s">
        <v>69</v>
      </c>
      <c r="Q139" s="14"/>
      <c r="R139" s="14"/>
      <c r="S139" s="13" t="s">
        <v>737</v>
      </c>
      <c r="T139" s="13" t="s">
        <v>129</v>
      </c>
      <c r="U139" s="17">
        <v>45103.0</v>
      </c>
      <c r="V139" s="14"/>
      <c r="W139" s="14"/>
      <c r="X139" s="18"/>
      <c r="Y139" s="18"/>
      <c r="Z139" s="18"/>
      <c r="AA139" s="19">
        <f t="shared" si="1"/>
        <v>6</v>
      </c>
      <c r="AB139" s="19" t="str">
        <f t="shared" si="2"/>
        <v/>
      </c>
    </row>
    <row r="140" ht="15.75" customHeight="1">
      <c r="A140" s="12">
        <v>45083.0</v>
      </c>
      <c r="B140" s="13" t="s">
        <v>28</v>
      </c>
      <c r="C140" s="14" t="s">
        <v>738</v>
      </c>
      <c r="D140" s="14" t="s">
        <v>739</v>
      </c>
      <c r="E140" s="13">
        <v>7.0</v>
      </c>
      <c r="F140" s="14"/>
      <c r="G140" s="14"/>
      <c r="H140" s="15" t="s">
        <v>740</v>
      </c>
      <c r="I140" s="14"/>
      <c r="J140" s="14"/>
      <c r="K140" s="14"/>
      <c r="L140" s="14" t="s">
        <v>111</v>
      </c>
      <c r="M140" s="14" t="s">
        <v>158</v>
      </c>
      <c r="N140" s="14" t="b">
        <v>0</v>
      </c>
      <c r="O140" s="14"/>
      <c r="P140" s="14"/>
      <c r="Q140" s="14"/>
      <c r="R140" s="14"/>
      <c r="S140" s="14" t="s">
        <v>741</v>
      </c>
      <c r="T140" s="13" t="s">
        <v>129</v>
      </c>
      <c r="U140" s="17">
        <v>45103.0</v>
      </c>
      <c r="V140" s="14"/>
      <c r="W140" s="14"/>
      <c r="X140" s="18"/>
      <c r="Y140" s="18"/>
      <c r="Z140" s="18"/>
      <c r="AA140" s="19">
        <f t="shared" si="1"/>
        <v>6</v>
      </c>
      <c r="AB140" s="19" t="str">
        <f t="shared" si="2"/>
        <v/>
      </c>
    </row>
    <row r="141" ht="15.75" customHeight="1">
      <c r="A141" s="12">
        <v>45083.0</v>
      </c>
      <c r="B141" s="13" t="s">
        <v>28</v>
      </c>
      <c r="C141" s="14" t="s">
        <v>742</v>
      </c>
      <c r="D141" s="14"/>
      <c r="E141" s="13">
        <v>5.0</v>
      </c>
      <c r="F141" s="14"/>
      <c r="G141" s="14"/>
      <c r="H141" s="15" t="s">
        <v>743</v>
      </c>
      <c r="I141" s="14"/>
      <c r="J141" s="14"/>
      <c r="K141" s="14" t="s">
        <v>744</v>
      </c>
      <c r="L141" s="14" t="s">
        <v>111</v>
      </c>
      <c r="M141" s="14" t="s">
        <v>34</v>
      </c>
      <c r="N141" s="14" t="b">
        <v>0</v>
      </c>
      <c r="O141" s="14"/>
      <c r="P141" s="14"/>
      <c r="Q141" s="14"/>
      <c r="R141" s="14"/>
      <c r="S141" s="14" t="s">
        <v>745</v>
      </c>
      <c r="T141" s="14" t="s">
        <v>36</v>
      </c>
      <c r="U141" s="17"/>
      <c r="V141" s="14"/>
      <c r="W141" s="14"/>
      <c r="X141" s="18"/>
      <c r="Y141" s="18"/>
      <c r="Z141" s="18"/>
      <c r="AA141" s="19">
        <f t="shared" si="1"/>
        <v>6</v>
      </c>
      <c r="AB141" s="19" t="str">
        <f t="shared" si="2"/>
        <v/>
      </c>
    </row>
    <row r="142" ht="15.75" customHeight="1">
      <c r="A142" s="12">
        <v>45083.0</v>
      </c>
      <c r="B142" s="13" t="s">
        <v>28</v>
      </c>
      <c r="C142" s="62" t="s">
        <v>746</v>
      </c>
      <c r="D142" s="14" t="s">
        <v>747</v>
      </c>
      <c r="E142" s="13">
        <v>5.0</v>
      </c>
      <c r="F142" s="14">
        <v>2019.0</v>
      </c>
      <c r="G142" s="14"/>
      <c r="H142" s="15" t="s">
        <v>748</v>
      </c>
      <c r="I142" s="14"/>
      <c r="J142" s="14"/>
      <c r="K142" s="13" t="s">
        <v>351</v>
      </c>
      <c r="L142" s="14" t="s">
        <v>111</v>
      </c>
      <c r="M142" s="14" t="s">
        <v>34</v>
      </c>
      <c r="N142" s="14" t="b">
        <v>0</v>
      </c>
      <c r="O142" s="14"/>
      <c r="P142" s="14"/>
      <c r="Q142" s="14"/>
      <c r="R142" s="14"/>
      <c r="S142" s="13" t="s">
        <v>749</v>
      </c>
      <c r="T142" s="14" t="s">
        <v>36</v>
      </c>
      <c r="U142" s="17"/>
      <c r="V142" s="14"/>
      <c r="W142" s="14"/>
      <c r="X142" s="18"/>
      <c r="Y142" s="18"/>
      <c r="Z142" s="18"/>
      <c r="AA142" s="19">
        <f t="shared" si="1"/>
        <v>6</v>
      </c>
      <c r="AB142" s="19" t="str">
        <f t="shared" si="2"/>
        <v/>
      </c>
    </row>
    <row r="143" ht="15.75" customHeight="1">
      <c r="A143" s="12">
        <v>45083.0</v>
      </c>
      <c r="B143" s="13" t="s">
        <v>28</v>
      </c>
      <c r="C143" s="14" t="s">
        <v>750</v>
      </c>
      <c r="D143" s="14" t="s">
        <v>751</v>
      </c>
      <c r="E143" s="13">
        <v>5.0</v>
      </c>
      <c r="F143" s="14"/>
      <c r="G143" s="14"/>
      <c r="H143" s="15" t="s">
        <v>752</v>
      </c>
      <c r="I143" s="14"/>
      <c r="J143" s="14"/>
      <c r="K143" s="13" t="s">
        <v>753</v>
      </c>
      <c r="L143" s="14" t="s">
        <v>48</v>
      </c>
      <c r="M143" s="14" t="s">
        <v>13</v>
      </c>
      <c r="N143" s="14" t="b">
        <v>1</v>
      </c>
      <c r="O143" s="13" t="s">
        <v>754</v>
      </c>
      <c r="P143" s="13" t="s">
        <v>69</v>
      </c>
      <c r="Q143" s="14"/>
      <c r="R143" s="14"/>
      <c r="S143" s="14"/>
      <c r="T143" s="14" t="s">
        <v>36</v>
      </c>
      <c r="U143" s="17"/>
      <c r="V143" s="14"/>
      <c r="W143" s="14"/>
      <c r="X143" s="18"/>
      <c r="Y143" s="18"/>
      <c r="Z143" s="18"/>
      <c r="AA143" s="19">
        <f t="shared" si="1"/>
        <v>6</v>
      </c>
      <c r="AB143" s="19" t="str">
        <f t="shared" si="2"/>
        <v/>
      </c>
    </row>
    <row r="144" ht="15.75" customHeight="1">
      <c r="A144" s="12">
        <v>45083.0</v>
      </c>
      <c r="B144" s="13" t="s">
        <v>28</v>
      </c>
      <c r="C144" s="14" t="s">
        <v>755</v>
      </c>
      <c r="D144" s="62" t="s">
        <v>756</v>
      </c>
      <c r="E144" s="13">
        <v>6.0</v>
      </c>
      <c r="F144" s="14">
        <v>1.0</v>
      </c>
      <c r="G144" s="14"/>
      <c r="H144" s="15" t="s">
        <v>757</v>
      </c>
      <c r="I144" s="14"/>
      <c r="J144" s="14"/>
      <c r="K144" s="113" t="s">
        <v>758</v>
      </c>
      <c r="L144" s="14" t="s">
        <v>111</v>
      </c>
      <c r="M144" s="14" t="s">
        <v>158</v>
      </c>
      <c r="N144" s="14" t="b">
        <v>0</v>
      </c>
      <c r="O144" s="14"/>
      <c r="P144" s="14"/>
      <c r="Q144" s="14"/>
      <c r="R144" s="14"/>
      <c r="S144" s="14" t="s">
        <v>759</v>
      </c>
      <c r="T144" s="13" t="s">
        <v>129</v>
      </c>
      <c r="U144" s="61" t="s">
        <v>760</v>
      </c>
      <c r="V144" s="14"/>
      <c r="W144" s="14"/>
      <c r="X144" s="18"/>
      <c r="Y144" s="18"/>
      <c r="Z144" s="18"/>
      <c r="AA144" s="19">
        <f t="shared" si="1"/>
        <v>6</v>
      </c>
      <c r="AB144" s="19" t="str">
        <f t="shared" si="2"/>
        <v/>
      </c>
    </row>
    <row r="145" ht="15.75" customHeight="1">
      <c r="A145" s="114">
        <v>45084.0</v>
      </c>
      <c r="B145" s="13" t="s">
        <v>28</v>
      </c>
      <c r="C145" s="115" t="s">
        <v>761</v>
      </c>
      <c r="D145" s="115"/>
      <c r="E145" s="115"/>
      <c r="F145" s="115"/>
      <c r="G145" s="115"/>
      <c r="H145" s="116" t="s">
        <v>762</v>
      </c>
      <c r="I145" s="115"/>
      <c r="J145" s="115"/>
      <c r="K145" s="117" t="s">
        <v>763</v>
      </c>
      <c r="L145" s="115" t="s">
        <v>111</v>
      </c>
      <c r="M145" s="14" t="s">
        <v>216</v>
      </c>
      <c r="N145" s="14" t="b">
        <v>0</v>
      </c>
      <c r="O145" s="14"/>
      <c r="P145" s="14"/>
      <c r="Q145" s="14"/>
      <c r="R145" s="14"/>
      <c r="S145" s="14" t="s">
        <v>764</v>
      </c>
      <c r="T145" s="14" t="s">
        <v>36</v>
      </c>
      <c r="U145" s="17"/>
      <c r="V145" s="14"/>
      <c r="W145" s="14"/>
      <c r="X145" s="18"/>
      <c r="Y145" s="18"/>
      <c r="Z145" s="18"/>
      <c r="AA145" s="19">
        <f t="shared" si="1"/>
        <v>6</v>
      </c>
      <c r="AB145" s="19" t="str">
        <f t="shared" si="2"/>
        <v/>
      </c>
    </row>
    <row r="146" ht="15.75" customHeight="1">
      <c r="A146" s="114">
        <v>45084.0</v>
      </c>
      <c r="B146" s="13" t="s">
        <v>28</v>
      </c>
      <c r="C146" s="115" t="s">
        <v>765</v>
      </c>
      <c r="D146" s="115"/>
      <c r="E146" s="117">
        <v>4.0</v>
      </c>
      <c r="F146" s="115"/>
      <c r="G146" s="115"/>
      <c r="H146" s="116" t="s">
        <v>766</v>
      </c>
      <c r="I146" s="115"/>
      <c r="J146" s="115"/>
      <c r="K146" s="117" t="s">
        <v>767</v>
      </c>
      <c r="L146" s="115" t="s">
        <v>111</v>
      </c>
      <c r="M146" s="14" t="s">
        <v>216</v>
      </c>
      <c r="N146" s="14" t="b">
        <v>0</v>
      </c>
      <c r="O146" s="14"/>
      <c r="P146" s="14"/>
      <c r="Q146" s="14"/>
      <c r="R146" s="14"/>
      <c r="S146" s="14" t="s">
        <v>768</v>
      </c>
      <c r="T146" s="13" t="s">
        <v>129</v>
      </c>
      <c r="U146" s="17">
        <v>45093.0</v>
      </c>
      <c r="V146" s="14"/>
      <c r="W146" s="14"/>
      <c r="X146" s="18"/>
      <c r="Y146" s="18"/>
      <c r="Z146" s="18"/>
      <c r="AA146" s="19">
        <f t="shared" si="1"/>
        <v>6</v>
      </c>
      <c r="AB146" s="19" t="str">
        <f t="shared" si="2"/>
        <v/>
      </c>
    </row>
    <row r="147" ht="15.75" customHeight="1">
      <c r="A147" s="114">
        <v>45085.0</v>
      </c>
      <c r="B147" s="13" t="s">
        <v>28</v>
      </c>
      <c r="C147" s="115" t="s">
        <v>769</v>
      </c>
      <c r="D147" s="115"/>
      <c r="E147" s="117">
        <v>6.0</v>
      </c>
      <c r="F147" s="115"/>
      <c r="G147" s="115"/>
      <c r="H147" s="116" t="s">
        <v>770</v>
      </c>
      <c r="I147" s="115"/>
      <c r="J147" s="115"/>
      <c r="K147" s="115"/>
      <c r="L147" s="115" t="s">
        <v>111</v>
      </c>
      <c r="M147" s="14" t="s">
        <v>34</v>
      </c>
      <c r="N147" s="14" t="b">
        <v>0</v>
      </c>
      <c r="O147" s="14"/>
      <c r="P147" s="14"/>
      <c r="Q147" s="14"/>
      <c r="R147" s="14"/>
      <c r="S147" s="14" t="s">
        <v>771</v>
      </c>
      <c r="T147" s="14" t="s">
        <v>36</v>
      </c>
      <c r="U147" s="17"/>
      <c r="V147" s="14"/>
      <c r="W147" s="14"/>
      <c r="X147" s="18"/>
      <c r="Y147" s="18"/>
      <c r="Z147" s="18"/>
      <c r="AA147" s="19">
        <f t="shared" si="1"/>
        <v>6</v>
      </c>
      <c r="AB147" s="19" t="str">
        <f t="shared" si="2"/>
        <v/>
      </c>
    </row>
    <row r="148" ht="15.75" customHeight="1">
      <c r="A148" s="114">
        <v>45085.0</v>
      </c>
      <c r="B148" s="13" t="s">
        <v>28</v>
      </c>
      <c r="C148" s="115" t="s">
        <v>772</v>
      </c>
      <c r="D148" s="115"/>
      <c r="E148" s="117">
        <v>9.0</v>
      </c>
      <c r="F148" s="115"/>
      <c r="G148" s="115"/>
      <c r="H148" s="118" t="s">
        <v>773</v>
      </c>
      <c r="I148" s="115"/>
      <c r="J148" s="115"/>
      <c r="K148" s="117" t="s">
        <v>774</v>
      </c>
      <c r="L148" s="115" t="s">
        <v>111</v>
      </c>
      <c r="M148" s="14" t="s">
        <v>34</v>
      </c>
      <c r="N148" s="14" t="b">
        <v>0</v>
      </c>
      <c r="O148" s="14"/>
      <c r="P148" s="14"/>
      <c r="Q148" s="14"/>
      <c r="R148" s="14"/>
      <c r="S148" s="14" t="s">
        <v>775</v>
      </c>
      <c r="T148" s="14" t="s">
        <v>36</v>
      </c>
      <c r="U148" s="17"/>
      <c r="V148" s="14"/>
      <c r="W148" s="14"/>
      <c r="X148" s="18"/>
      <c r="Y148" s="18"/>
      <c r="Z148" s="18"/>
      <c r="AA148" s="19">
        <f t="shared" si="1"/>
        <v>6</v>
      </c>
      <c r="AB148" s="19" t="str">
        <f t="shared" si="2"/>
        <v/>
      </c>
    </row>
    <row r="149" ht="15.75" customHeight="1">
      <c r="A149" s="12">
        <v>45085.0</v>
      </c>
      <c r="B149" s="13" t="s">
        <v>28</v>
      </c>
      <c r="C149" s="14" t="s">
        <v>776</v>
      </c>
      <c r="D149" s="14" t="s">
        <v>292</v>
      </c>
      <c r="E149" s="13">
        <v>6.0</v>
      </c>
      <c r="F149" s="14"/>
      <c r="G149" s="14"/>
      <c r="H149" s="15" t="s">
        <v>777</v>
      </c>
      <c r="I149" s="14"/>
      <c r="J149" s="14"/>
      <c r="K149" s="14" t="s">
        <v>778</v>
      </c>
      <c r="L149" s="14" t="s">
        <v>111</v>
      </c>
      <c r="M149" s="14" t="s">
        <v>13</v>
      </c>
      <c r="N149" s="14" t="b">
        <v>1</v>
      </c>
      <c r="O149" s="13" t="s">
        <v>779</v>
      </c>
      <c r="P149" s="13" t="s">
        <v>69</v>
      </c>
      <c r="Q149" s="14"/>
      <c r="R149" s="14"/>
      <c r="S149" s="14" t="s">
        <v>780</v>
      </c>
      <c r="T149" s="14" t="s">
        <v>36</v>
      </c>
      <c r="U149" s="17"/>
      <c r="V149" s="70">
        <v>45084.0</v>
      </c>
      <c r="W149" s="24" t="s">
        <v>83</v>
      </c>
      <c r="X149" s="25">
        <v>3200000.0</v>
      </c>
      <c r="Y149" s="25">
        <v>0.0</v>
      </c>
      <c r="Z149" s="18">
        <v>3200000.0</v>
      </c>
      <c r="AA149" s="19">
        <f t="shared" si="1"/>
        <v>6</v>
      </c>
      <c r="AB149" s="19" t="str">
        <f t="shared" si="2"/>
        <v/>
      </c>
    </row>
    <row r="150" ht="15.75" customHeight="1">
      <c r="A150" s="26">
        <v>45083.0</v>
      </c>
      <c r="B150" s="27" t="s">
        <v>84</v>
      </c>
      <c r="C150" s="27" t="s">
        <v>781</v>
      </c>
      <c r="D150" s="24" t="s">
        <v>782</v>
      </c>
      <c r="E150" s="27"/>
      <c r="F150" s="27"/>
      <c r="G150" s="27"/>
      <c r="H150" s="31" t="s">
        <v>783</v>
      </c>
      <c r="I150" s="27"/>
      <c r="J150" s="27"/>
      <c r="K150" s="27"/>
      <c r="L150" s="27" t="s">
        <v>89</v>
      </c>
      <c r="M150" s="27" t="s">
        <v>67</v>
      </c>
      <c r="N150" s="14" t="b">
        <v>0</v>
      </c>
      <c r="O150" s="27"/>
      <c r="P150" s="27"/>
      <c r="Q150" s="24" t="s">
        <v>622</v>
      </c>
      <c r="R150" s="27"/>
      <c r="S150" s="27" t="s">
        <v>784</v>
      </c>
      <c r="T150" s="24" t="s">
        <v>72</v>
      </c>
      <c r="U150" s="26"/>
      <c r="V150" s="70">
        <v>45084.0</v>
      </c>
      <c r="W150" s="24" t="s">
        <v>83</v>
      </c>
      <c r="X150" s="25">
        <v>3200000.0</v>
      </c>
      <c r="Y150" s="25">
        <v>0.0</v>
      </c>
      <c r="Z150" s="18">
        <v>3200000.0</v>
      </c>
      <c r="AA150" s="19">
        <f t="shared" si="1"/>
        <v>6</v>
      </c>
      <c r="AB150" s="19">
        <f t="shared" si="2"/>
        <v>6</v>
      </c>
    </row>
    <row r="151" ht="15.75" customHeight="1">
      <c r="A151" s="26">
        <v>45083.0</v>
      </c>
      <c r="B151" s="27" t="s">
        <v>84</v>
      </c>
      <c r="C151" s="27" t="s">
        <v>781</v>
      </c>
      <c r="D151" s="24" t="s">
        <v>785</v>
      </c>
      <c r="E151" s="27"/>
      <c r="F151" s="27"/>
      <c r="G151" s="27"/>
      <c r="H151" s="31" t="s">
        <v>783</v>
      </c>
      <c r="I151" s="27"/>
      <c r="J151" s="27"/>
      <c r="K151" s="27"/>
      <c r="L151" s="27" t="s">
        <v>89</v>
      </c>
      <c r="M151" s="27" t="s">
        <v>67</v>
      </c>
      <c r="N151" s="14" t="b">
        <v>0</v>
      </c>
      <c r="O151" s="27"/>
      <c r="P151" s="27"/>
      <c r="Q151" s="24" t="s">
        <v>622</v>
      </c>
      <c r="R151" s="27"/>
      <c r="S151" s="27" t="s">
        <v>784</v>
      </c>
      <c r="T151" s="24" t="s">
        <v>72</v>
      </c>
      <c r="U151" s="26"/>
      <c r="V151" s="14"/>
      <c r="W151" s="14"/>
      <c r="X151" s="18"/>
      <c r="Y151" s="18"/>
      <c r="Z151" s="18"/>
      <c r="AA151" s="19">
        <f t="shared" si="1"/>
        <v>6</v>
      </c>
      <c r="AB151" s="19">
        <f t="shared" si="2"/>
        <v>6</v>
      </c>
    </row>
    <row r="152" ht="15.75" customHeight="1">
      <c r="A152" s="12">
        <v>45086.0</v>
      </c>
      <c r="B152" s="13" t="s">
        <v>28</v>
      </c>
      <c r="C152" s="14" t="s">
        <v>786</v>
      </c>
      <c r="D152" s="14"/>
      <c r="E152" s="13">
        <v>9.0</v>
      </c>
      <c r="F152" s="14"/>
      <c r="G152" s="14"/>
      <c r="H152" s="15" t="s">
        <v>787</v>
      </c>
      <c r="I152" s="14"/>
      <c r="J152" s="14"/>
      <c r="K152" s="13" t="s">
        <v>788</v>
      </c>
      <c r="L152" s="14" t="s">
        <v>48</v>
      </c>
      <c r="M152" s="14" t="s">
        <v>216</v>
      </c>
      <c r="N152" s="14" t="b">
        <v>0</v>
      </c>
      <c r="O152" s="14"/>
      <c r="P152" s="14"/>
      <c r="Q152" s="14"/>
      <c r="R152" s="14"/>
      <c r="S152" s="14" t="s">
        <v>789</v>
      </c>
      <c r="T152" s="14" t="s">
        <v>36</v>
      </c>
      <c r="U152" s="17"/>
      <c r="V152" s="14"/>
      <c r="W152" s="14"/>
      <c r="X152" s="18"/>
      <c r="Y152" s="18"/>
      <c r="Z152" s="18"/>
      <c r="AA152" s="19">
        <f t="shared" si="1"/>
        <v>6</v>
      </c>
      <c r="AB152" s="19" t="str">
        <f t="shared" si="2"/>
        <v/>
      </c>
    </row>
    <row r="153" ht="15.75" customHeight="1">
      <c r="A153" s="12">
        <v>45087.0</v>
      </c>
      <c r="B153" s="13" t="s">
        <v>28</v>
      </c>
      <c r="C153" s="14" t="s">
        <v>790</v>
      </c>
      <c r="D153" s="14" t="s">
        <v>666</v>
      </c>
      <c r="E153" s="13">
        <v>11.0</v>
      </c>
      <c r="F153" s="14"/>
      <c r="G153" s="14"/>
      <c r="H153" s="15" t="s">
        <v>791</v>
      </c>
      <c r="I153" s="14"/>
      <c r="J153" s="14"/>
      <c r="K153" s="119" t="s">
        <v>792</v>
      </c>
      <c r="L153" s="14" t="s">
        <v>111</v>
      </c>
      <c r="M153" s="14" t="s">
        <v>34</v>
      </c>
      <c r="N153" s="14" t="b">
        <v>1</v>
      </c>
      <c r="O153" s="13" t="s">
        <v>793</v>
      </c>
      <c r="P153" s="13" t="s">
        <v>42</v>
      </c>
      <c r="Q153" s="14"/>
      <c r="R153" s="14"/>
      <c r="S153" s="13" t="s">
        <v>794</v>
      </c>
      <c r="T153" s="14" t="s">
        <v>36</v>
      </c>
      <c r="U153" s="17"/>
      <c r="V153" s="14"/>
      <c r="W153" s="14"/>
      <c r="X153" s="18"/>
      <c r="Y153" s="18"/>
      <c r="Z153" s="18"/>
      <c r="AA153" s="19">
        <f t="shared" si="1"/>
        <v>6</v>
      </c>
      <c r="AB153" s="19" t="str">
        <f t="shared" si="2"/>
        <v/>
      </c>
    </row>
    <row r="154" ht="15.75" customHeight="1">
      <c r="A154" s="12">
        <v>45087.0</v>
      </c>
      <c r="B154" s="13" t="s">
        <v>28</v>
      </c>
      <c r="C154" s="14" t="s">
        <v>795</v>
      </c>
      <c r="D154" s="14"/>
      <c r="E154" s="13">
        <v>9.0</v>
      </c>
      <c r="F154" s="14"/>
      <c r="G154" s="14"/>
      <c r="H154" s="15" t="s">
        <v>796</v>
      </c>
      <c r="I154" s="14"/>
      <c r="J154" s="14"/>
      <c r="K154" s="14" t="s">
        <v>797</v>
      </c>
      <c r="L154" s="14" t="s">
        <v>111</v>
      </c>
      <c r="M154" s="14" t="s">
        <v>565</v>
      </c>
      <c r="N154" s="14" t="b">
        <v>0</v>
      </c>
      <c r="O154" s="14"/>
      <c r="P154" s="14"/>
      <c r="Q154" s="14"/>
      <c r="R154" s="14"/>
      <c r="S154" s="14" t="s">
        <v>798</v>
      </c>
      <c r="T154" s="13" t="s">
        <v>129</v>
      </c>
      <c r="U154" s="17"/>
      <c r="V154" s="14"/>
      <c r="W154" s="14"/>
      <c r="X154" s="18"/>
      <c r="Y154" s="18"/>
      <c r="Z154" s="18"/>
      <c r="AA154" s="19">
        <f t="shared" si="1"/>
        <v>6</v>
      </c>
      <c r="AB154" s="19" t="str">
        <f t="shared" si="2"/>
        <v/>
      </c>
    </row>
    <row r="155" ht="15.75" customHeight="1">
      <c r="A155" s="12">
        <v>45087.0</v>
      </c>
      <c r="B155" s="13" t="s">
        <v>28</v>
      </c>
      <c r="C155" s="14" t="s">
        <v>799</v>
      </c>
      <c r="D155" s="14"/>
      <c r="E155" s="13">
        <v>24.0</v>
      </c>
      <c r="F155" s="14"/>
      <c r="G155" s="14"/>
      <c r="H155" s="15" t="s">
        <v>800</v>
      </c>
      <c r="I155" s="14"/>
      <c r="J155" s="14"/>
      <c r="K155" s="14" t="s">
        <v>801</v>
      </c>
      <c r="L155" s="14" t="s">
        <v>48</v>
      </c>
      <c r="M155" s="14" t="s">
        <v>333</v>
      </c>
      <c r="N155" s="14" t="b">
        <v>1</v>
      </c>
      <c r="O155" s="13" t="s">
        <v>802</v>
      </c>
      <c r="P155" s="13" t="s">
        <v>42</v>
      </c>
      <c r="Q155" s="14"/>
      <c r="R155" s="14"/>
      <c r="S155" s="14" t="s">
        <v>803</v>
      </c>
      <c r="T155" s="14" t="s">
        <v>36</v>
      </c>
      <c r="U155" s="17">
        <v>45174.0</v>
      </c>
      <c r="V155" s="70">
        <v>45090.0</v>
      </c>
      <c r="W155" s="24" t="s">
        <v>407</v>
      </c>
      <c r="X155" s="25">
        <v>6124000.0</v>
      </c>
      <c r="Y155" s="25">
        <v>0.0</v>
      </c>
      <c r="Z155" s="18">
        <v>5205400.0</v>
      </c>
      <c r="AA155" s="19">
        <f t="shared" si="1"/>
        <v>6</v>
      </c>
      <c r="AB155" s="19" t="str">
        <f t="shared" si="2"/>
        <v/>
      </c>
    </row>
    <row r="156" ht="15.75" customHeight="1">
      <c r="A156" s="26">
        <v>45087.0</v>
      </c>
      <c r="B156" s="27" t="s">
        <v>84</v>
      </c>
      <c r="C156" s="27" t="s">
        <v>804</v>
      </c>
      <c r="D156" s="27" t="s">
        <v>805</v>
      </c>
      <c r="E156" s="24">
        <v>10.0</v>
      </c>
      <c r="F156" s="27">
        <v>4.0</v>
      </c>
      <c r="G156" s="27"/>
      <c r="H156" s="34" t="s">
        <v>806</v>
      </c>
      <c r="I156" s="27"/>
      <c r="J156" s="27"/>
      <c r="K156" s="27" t="s">
        <v>807</v>
      </c>
      <c r="L156" s="27" t="s">
        <v>89</v>
      </c>
      <c r="M156" s="27" t="s">
        <v>67</v>
      </c>
      <c r="N156" s="14" t="b">
        <v>1</v>
      </c>
      <c r="O156" s="24" t="s">
        <v>808</v>
      </c>
      <c r="P156" s="13" t="s">
        <v>42</v>
      </c>
      <c r="Q156" s="24" t="s">
        <v>91</v>
      </c>
      <c r="R156" s="27"/>
      <c r="S156" s="27" t="s">
        <v>809</v>
      </c>
      <c r="T156" s="24" t="s">
        <v>72</v>
      </c>
      <c r="U156" s="26"/>
      <c r="V156" s="14"/>
      <c r="W156" s="14"/>
      <c r="X156" s="18"/>
      <c r="Y156" s="18"/>
      <c r="Z156" s="18"/>
      <c r="AA156" s="19">
        <f t="shared" si="1"/>
        <v>6</v>
      </c>
      <c r="AB156" s="19">
        <f t="shared" si="2"/>
        <v>6</v>
      </c>
    </row>
    <row r="157" ht="15.75" customHeight="1">
      <c r="A157" s="12">
        <v>45087.0</v>
      </c>
      <c r="B157" s="13" t="s">
        <v>28</v>
      </c>
      <c r="C157" s="120" t="s">
        <v>810</v>
      </c>
      <c r="D157" s="13" t="s">
        <v>811</v>
      </c>
      <c r="E157" s="13">
        <v>11.0</v>
      </c>
      <c r="F157" s="14">
        <v>5.0</v>
      </c>
      <c r="G157" s="14"/>
      <c r="H157" s="121" t="s">
        <v>812</v>
      </c>
      <c r="I157" s="14"/>
      <c r="J157" s="14"/>
      <c r="K157" s="14" t="s">
        <v>813</v>
      </c>
      <c r="L157" s="14" t="s">
        <v>48</v>
      </c>
      <c r="M157" s="14" t="s">
        <v>565</v>
      </c>
      <c r="N157" s="14" t="b">
        <v>0</v>
      </c>
      <c r="O157" s="14"/>
      <c r="P157" s="14"/>
      <c r="Q157" s="14"/>
      <c r="R157" s="14"/>
      <c r="S157" s="14" t="s">
        <v>814</v>
      </c>
      <c r="T157" s="14" t="s">
        <v>36</v>
      </c>
      <c r="U157" s="17"/>
      <c r="V157" s="14"/>
      <c r="W157" s="14"/>
      <c r="X157" s="18"/>
      <c r="Y157" s="18"/>
      <c r="Z157" s="18"/>
      <c r="AA157" s="19">
        <f t="shared" si="1"/>
        <v>6</v>
      </c>
      <c r="AB157" s="19" t="str">
        <f t="shared" si="2"/>
        <v/>
      </c>
    </row>
    <row r="158" ht="15.75" customHeight="1">
      <c r="A158" s="12">
        <v>45087.0</v>
      </c>
      <c r="B158" s="13" t="s">
        <v>28</v>
      </c>
      <c r="C158" s="120" t="s">
        <v>810</v>
      </c>
      <c r="D158" s="13" t="s">
        <v>815</v>
      </c>
      <c r="E158" s="13">
        <v>10.0</v>
      </c>
      <c r="F158" s="14">
        <v>4.0</v>
      </c>
      <c r="G158" s="14"/>
      <c r="H158" s="11"/>
      <c r="I158" s="14"/>
      <c r="J158" s="14"/>
      <c r="K158" s="14"/>
      <c r="L158" s="14" t="s">
        <v>48</v>
      </c>
      <c r="M158" s="14" t="s">
        <v>565</v>
      </c>
      <c r="N158" s="14" t="b">
        <v>0</v>
      </c>
      <c r="O158" s="14"/>
      <c r="P158" s="14"/>
      <c r="Q158" s="14"/>
      <c r="R158" s="14"/>
      <c r="S158" s="14" t="s">
        <v>816</v>
      </c>
      <c r="T158" s="14" t="s">
        <v>36</v>
      </c>
      <c r="U158" s="17"/>
      <c r="V158" s="32">
        <v>45092.0</v>
      </c>
      <c r="W158" s="24" t="s">
        <v>130</v>
      </c>
      <c r="X158" s="25"/>
      <c r="Y158" s="25"/>
      <c r="Z158" s="18">
        <v>5205400.0</v>
      </c>
      <c r="AA158" s="19">
        <f t="shared" si="1"/>
        <v>6</v>
      </c>
      <c r="AB158" s="19" t="str">
        <f t="shared" si="2"/>
        <v/>
      </c>
    </row>
    <row r="159" ht="15.75" customHeight="1">
      <c r="A159" s="26">
        <v>45087.0</v>
      </c>
      <c r="B159" s="27" t="s">
        <v>84</v>
      </c>
      <c r="C159" s="27" t="s">
        <v>817</v>
      </c>
      <c r="D159" s="27" t="s">
        <v>818</v>
      </c>
      <c r="E159" s="24">
        <v>11.0</v>
      </c>
      <c r="F159" s="27">
        <v>5.0</v>
      </c>
      <c r="G159" s="27"/>
      <c r="H159" s="34" t="s">
        <v>819</v>
      </c>
      <c r="I159" s="27"/>
      <c r="J159" s="27"/>
      <c r="K159" s="27" t="s">
        <v>820</v>
      </c>
      <c r="L159" s="27" t="s">
        <v>66</v>
      </c>
      <c r="M159" s="27" t="s">
        <v>67</v>
      </c>
      <c r="N159" s="14" t="b">
        <v>1</v>
      </c>
      <c r="O159" s="24" t="s">
        <v>821</v>
      </c>
      <c r="P159" s="13" t="s">
        <v>69</v>
      </c>
      <c r="Q159" s="24" t="s">
        <v>91</v>
      </c>
      <c r="R159" s="27" t="s">
        <v>822</v>
      </c>
      <c r="S159" s="27" t="s">
        <v>823</v>
      </c>
      <c r="T159" s="24" t="s">
        <v>72</v>
      </c>
      <c r="U159" s="26"/>
      <c r="V159" s="14"/>
      <c r="W159" s="14"/>
      <c r="X159" s="18"/>
      <c r="Y159" s="18"/>
      <c r="Z159" s="18"/>
      <c r="AA159" s="19">
        <f t="shared" si="1"/>
        <v>6</v>
      </c>
      <c r="AB159" s="19">
        <f t="shared" si="2"/>
        <v>6</v>
      </c>
    </row>
    <row r="160" ht="15.75" customHeight="1">
      <c r="A160" s="12">
        <v>45087.0</v>
      </c>
      <c r="B160" s="14" t="s">
        <v>84</v>
      </c>
      <c r="C160" s="120" t="s">
        <v>824</v>
      </c>
      <c r="D160" s="14"/>
      <c r="E160" s="13">
        <v>11.0</v>
      </c>
      <c r="F160" s="14" t="s">
        <v>825</v>
      </c>
      <c r="G160" s="14"/>
      <c r="H160" s="15" t="s">
        <v>826</v>
      </c>
      <c r="I160" s="14"/>
      <c r="J160" s="14"/>
      <c r="K160" s="14"/>
      <c r="L160" s="14" t="s">
        <v>48</v>
      </c>
      <c r="M160" s="14" t="s">
        <v>333</v>
      </c>
      <c r="N160" s="14" t="b">
        <v>0</v>
      </c>
      <c r="O160" s="14"/>
      <c r="P160" s="14"/>
      <c r="Q160" s="14"/>
      <c r="R160" s="14"/>
      <c r="S160" s="13" t="s">
        <v>827</v>
      </c>
      <c r="T160" s="13" t="s">
        <v>129</v>
      </c>
      <c r="U160" s="17">
        <v>45174.0</v>
      </c>
      <c r="V160" s="70">
        <v>45104.0</v>
      </c>
      <c r="W160" s="24" t="s">
        <v>407</v>
      </c>
      <c r="X160" s="25">
        <v>5205400.0</v>
      </c>
      <c r="Y160" s="25">
        <v>0.0</v>
      </c>
      <c r="Z160" s="18">
        <v>5205400.0</v>
      </c>
      <c r="AA160" s="19">
        <f t="shared" si="1"/>
        <v>6</v>
      </c>
      <c r="AB160" s="19" t="str">
        <f t="shared" si="2"/>
        <v/>
      </c>
    </row>
    <row r="161" ht="15.75" customHeight="1">
      <c r="A161" s="26">
        <v>45087.0</v>
      </c>
      <c r="B161" s="27" t="s">
        <v>201</v>
      </c>
      <c r="C161" s="27" t="s">
        <v>828</v>
      </c>
      <c r="D161" s="27" t="s">
        <v>829</v>
      </c>
      <c r="E161" s="24">
        <v>13.0</v>
      </c>
      <c r="F161" s="27" t="s">
        <v>234</v>
      </c>
      <c r="G161" s="27"/>
      <c r="H161" s="34" t="s">
        <v>830</v>
      </c>
      <c r="I161" s="27"/>
      <c r="J161" s="27"/>
      <c r="K161" s="27"/>
      <c r="L161" s="27" t="s">
        <v>89</v>
      </c>
      <c r="M161" s="27" t="s">
        <v>67</v>
      </c>
      <c r="N161" s="14" t="b">
        <v>1</v>
      </c>
      <c r="O161" s="24" t="s">
        <v>831</v>
      </c>
      <c r="P161" s="13" t="s">
        <v>69</v>
      </c>
      <c r="Q161" s="24" t="s">
        <v>91</v>
      </c>
      <c r="R161" s="27"/>
      <c r="S161" s="27" t="s">
        <v>832</v>
      </c>
      <c r="T161" s="24" t="s">
        <v>72</v>
      </c>
      <c r="U161" s="26"/>
      <c r="V161" s="14"/>
      <c r="W161" s="14"/>
      <c r="X161" s="18"/>
      <c r="Y161" s="18"/>
      <c r="Z161" s="18"/>
      <c r="AA161" s="19">
        <f t="shared" si="1"/>
        <v>6</v>
      </c>
      <c r="AB161" s="19">
        <f t="shared" si="2"/>
        <v>6</v>
      </c>
    </row>
    <row r="162" ht="15.75" customHeight="1">
      <c r="A162" s="12">
        <v>45087.0</v>
      </c>
      <c r="B162" s="14" t="s">
        <v>84</v>
      </c>
      <c r="C162" s="14" t="s">
        <v>833</v>
      </c>
      <c r="D162" s="14"/>
      <c r="E162" s="14"/>
      <c r="F162" s="14"/>
      <c r="G162" s="14"/>
      <c r="H162" s="15" t="s">
        <v>834</v>
      </c>
      <c r="I162" s="14"/>
      <c r="J162" s="14"/>
      <c r="K162" s="14"/>
      <c r="L162" s="14" t="s">
        <v>48</v>
      </c>
      <c r="M162" s="14" t="s">
        <v>34</v>
      </c>
      <c r="N162" s="14" t="b">
        <v>1</v>
      </c>
      <c r="O162" s="13" t="s">
        <v>835</v>
      </c>
      <c r="P162" s="13" t="s">
        <v>69</v>
      </c>
      <c r="Q162" s="14"/>
      <c r="R162" s="14"/>
      <c r="S162" s="14" t="s">
        <v>836</v>
      </c>
      <c r="T162" s="14" t="s">
        <v>36</v>
      </c>
      <c r="U162" s="17"/>
      <c r="V162" s="23">
        <v>45095.0</v>
      </c>
      <c r="W162" s="24" t="s">
        <v>407</v>
      </c>
      <c r="X162" s="25"/>
      <c r="Y162" s="25"/>
      <c r="Z162" s="18">
        <v>4165000.0</v>
      </c>
      <c r="AA162" s="19">
        <f t="shared" si="1"/>
        <v>6</v>
      </c>
      <c r="AB162" s="19" t="str">
        <f t="shared" si="2"/>
        <v/>
      </c>
    </row>
    <row r="163" ht="15.75" customHeight="1">
      <c r="A163" s="26">
        <v>45088.0</v>
      </c>
      <c r="B163" s="27" t="s">
        <v>84</v>
      </c>
      <c r="C163" s="27" t="s">
        <v>837</v>
      </c>
      <c r="D163" s="27" t="s">
        <v>838</v>
      </c>
      <c r="E163" s="24">
        <v>10.0</v>
      </c>
      <c r="F163" s="27" t="s">
        <v>839</v>
      </c>
      <c r="G163" s="27"/>
      <c r="H163" s="34" t="s">
        <v>840</v>
      </c>
      <c r="I163" s="27"/>
      <c r="J163" s="27"/>
      <c r="K163" s="27" t="s">
        <v>841</v>
      </c>
      <c r="L163" s="27" t="s">
        <v>66</v>
      </c>
      <c r="M163" s="27" t="s">
        <v>67</v>
      </c>
      <c r="N163" s="14" t="b">
        <v>1</v>
      </c>
      <c r="O163" s="24" t="s">
        <v>842</v>
      </c>
      <c r="P163" s="13" t="s">
        <v>69</v>
      </c>
      <c r="Q163" s="24" t="s">
        <v>91</v>
      </c>
      <c r="R163" s="27"/>
      <c r="S163" s="27" t="s">
        <v>843</v>
      </c>
      <c r="T163" s="24" t="s">
        <v>72</v>
      </c>
      <c r="U163" s="26"/>
      <c r="V163" s="32">
        <v>45165.0</v>
      </c>
      <c r="W163" s="24" t="s">
        <v>130</v>
      </c>
      <c r="X163" s="25">
        <v>6124000.0</v>
      </c>
      <c r="Y163" s="25">
        <v>612400.0</v>
      </c>
      <c r="Z163" s="25">
        <v>5511600.0</v>
      </c>
      <c r="AA163" s="19">
        <f t="shared" si="1"/>
        <v>6</v>
      </c>
      <c r="AB163" s="19">
        <f t="shared" si="2"/>
        <v>6</v>
      </c>
    </row>
    <row r="164" ht="15.75" customHeight="1">
      <c r="A164" s="26">
        <v>45089.0</v>
      </c>
      <c r="B164" s="27" t="s">
        <v>84</v>
      </c>
      <c r="C164" s="27" t="s">
        <v>844</v>
      </c>
      <c r="D164" s="27" t="s">
        <v>845</v>
      </c>
      <c r="E164" s="24">
        <v>11.0</v>
      </c>
      <c r="F164" s="27"/>
      <c r="G164" s="27"/>
      <c r="H164" s="122" t="s">
        <v>846</v>
      </c>
      <c r="I164" s="64"/>
      <c r="J164" s="64"/>
      <c r="K164" s="64" t="s">
        <v>847</v>
      </c>
      <c r="L164" s="27" t="s">
        <v>111</v>
      </c>
      <c r="M164" s="27" t="s">
        <v>67</v>
      </c>
      <c r="N164" s="14" t="b">
        <v>1</v>
      </c>
      <c r="O164" s="24" t="s">
        <v>848</v>
      </c>
      <c r="P164" s="13" t="s">
        <v>69</v>
      </c>
      <c r="Q164" s="24" t="s">
        <v>91</v>
      </c>
      <c r="R164" s="27"/>
      <c r="S164" s="27" t="s">
        <v>849</v>
      </c>
      <c r="T164" s="24" t="s">
        <v>72</v>
      </c>
      <c r="U164" s="26">
        <v>45132.0</v>
      </c>
      <c r="V164" s="14"/>
      <c r="W164" s="14"/>
      <c r="X164" s="18"/>
      <c r="Y164" s="18"/>
      <c r="Z164" s="18"/>
      <c r="AA164" s="123">
        <f t="shared" si="1"/>
        <v>6</v>
      </c>
      <c r="AB164" s="123">
        <f t="shared" si="2"/>
        <v>8</v>
      </c>
    </row>
    <row r="165" ht="15.75" customHeight="1">
      <c r="A165" s="12">
        <v>45089.0</v>
      </c>
      <c r="B165" s="14" t="s">
        <v>84</v>
      </c>
      <c r="C165" s="14" t="s">
        <v>844</v>
      </c>
      <c r="D165" s="14" t="s">
        <v>850</v>
      </c>
      <c r="E165" s="13">
        <v>9.0</v>
      </c>
      <c r="F165" s="14"/>
      <c r="G165" s="14"/>
      <c r="H165" s="11"/>
      <c r="I165" s="11"/>
      <c r="J165" s="11"/>
      <c r="K165" s="11"/>
      <c r="L165" s="14" t="s">
        <v>111</v>
      </c>
      <c r="M165" s="14" t="s">
        <v>13</v>
      </c>
      <c r="N165" s="14" t="b">
        <v>1</v>
      </c>
      <c r="O165" s="13" t="s">
        <v>835</v>
      </c>
      <c r="P165" s="13" t="s">
        <v>69</v>
      </c>
      <c r="Q165" s="14"/>
      <c r="R165" s="14"/>
      <c r="S165" s="14" t="s">
        <v>851</v>
      </c>
      <c r="T165" s="13" t="s">
        <v>129</v>
      </c>
      <c r="U165" s="17">
        <v>45107.0</v>
      </c>
      <c r="V165" s="14"/>
      <c r="W165" s="14"/>
      <c r="X165" s="18"/>
      <c r="Y165" s="18"/>
      <c r="Z165" s="18"/>
      <c r="AA165" s="19">
        <f t="shared" si="1"/>
        <v>6</v>
      </c>
      <c r="AB165" s="19" t="str">
        <f t="shared" si="2"/>
        <v/>
      </c>
    </row>
    <row r="166" ht="15.75" customHeight="1">
      <c r="A166" s="12">
        <v>45090.0</v>
      </c>
      <c r="B166" s="13" t="s">
        <v>28</v>
      </c>
      <c r="C166" s="14" t="s">
        <v>852</v>
      </c>
      <c r="D166" s="14"/>
      <c r="E166" s="14"/>
      <c r="F166" s="14"/>
      <c r="G166" s="14"/>
      <c r="H166" s="15" t="s">
        <v>853</v>
      </c>
      <c r="I166" s="14"/>
      <c r="J166" s="14"/>
      <c r="K166" s="14"/>
      <c r="L166" s="14" t="s">
        <v>111</v>
      </c>
      <c r="M166" s="14" t="s">
        <v>34</v>
      </c>
      <c r="N166" s="14" t="b">
        <v>0</v>
      </c>
      <c r="O166" s="14"/>
      <c r="P166" s="14"/>
      <c r="Q166" s="14"/>
      <c r="R166" s="14"/>
      <c r="S166" s="14" t="s">
        <v>854</v>
      </c>
      <c r="T166" s="14" t="s">
        <v>36</v>
      </c>
      <c r="U166" s="17"/>
      <c r="V166" s="32">
        <v>45107.0</v>
      </c>
      <c r="W166" s="24" t="s">
        <v>696</v>
      </c>
      <c r="X166" s="25">
        <v>2558000.0</v>
      </c>
      <c r="Y166" s="25">
        <v>204460.0</v>
      </c>
      <c r="Z166" s="25">
        <v>2353360.0</v>
      </c>
      <c r="AA166" s="19">
        <f t="shared" si="1"/>
        <v>6</v>
      </c>
      <c r="AB166" s="19" t="str">
        <f t="shared" si="2"/>
        <v/>
      </c>
    </row>
    <row r="167" ht="15.75" customHeight="1">
      <c r="A167" s="26">
        <v>45090.0</v>
      </c>
      <c r="B167" s="27" t="s">
        <v>201</v>
      </c>
      <c r="C167" s="27" t="s">
        <v>855</v>
      </c>
      <c r="D167" s="24" t="s">
        <v>856</v>
      </c>
      <c r="E167" s="24">
        <v>10.0</v>
      </c>
      <c r="F167" s="27"/>
      <c r="G167" s="27"/>
      <c r="H167" s="65" t="s">
        <v>857</v>
      </c>
      <c r="I167" s="64"/>
      <c r="J167" s="64"/>
      <c r="K167" s="124" t="s">
        <v>858</v>
      </c>
      <c r="L167" s="27" t="s">
        <v>111</v>
      </c>
      <c r="M167" s="27" t="s">
        <v>67</v>
      </c>
      <c r="N167" s="14" t="b">
        <v>1</v>
      </c>
      <c r="O167" s="24" t="s">
        <v>859</v>
      </c>
      <c r="P167" s="13" t="s">
        <v>69</v>
      </c>
      <c r="Q167" s="24" t="s">
        <v>238</v>
      </c>
      <c r="R167" s="27" t="s">
        <v>860</v>
      </c>
      <c r="S167" s="27" t="s">
        <v>861</v>
      </c>
      <c r="T167" s="24" t="s">
        <v>72</v>
      </c>
      <c r="U167" s="26"/>
      <c r="V167" s="32">
        <v>45107.0</v>
      </c>
      <c r="W167" s="24" t="s">
        <v>862</v>
      </c>
      <c r="X167" s="25">
        <v>2558000.0</v>
      </c>
      <c r="Y167" s="25">
        <v>127900.0</v>
      </c>
      <c r="Z167" s="25">
        <v>2430100.0</v>
      </c>
      <c r="AA167" s="19">
        <f t="shared" si="1"/>
        <v>6</v>
      </c>
      <c r="AB167" s="19">
        <f t="shared" si="2"/>
        <v>6</v>
      </c>
    </row>
    <row r="168" ht="15.75" customHeight="1">
      <c r="A168" s="26">
        <v>45090.0</v>
      </c>
      <c r="B168" s="27" t="s">
        <v>201</v>
      </c>
      <c r="C168" s="24" t="s">
        <v>863</v>
      </c>
      <c r="D168" s="24" t="s">
        <v>864</v>
      </c>
      <c r="E168" s="24">
        <v>11.0</v>
      </c>
      <c r="F168" s="27"/>
      <c r="G168" s="27"/>
      <c r="H168" s="11"/>
      <c r="I168" s="11"/>
      <c r="J168" s="11"/>
      <c r="K168" s="124" t="s">
        <v>858</v>
      </c>
      <c r="L168" s="27" t="s">
        <v>111</v>
      </c>
      <c r="M168" s="27" t="s">
        <v>67</v>
      </c>
      <c r="N168" s="14" t="b">
        <v>1</v>
      </c>
      <c r="O168" s="24" t="s">
        <v>865</v>
      </c>
      <c r="P168" s="13" t="s">
        <v>69</v>
      </c>
      <c r="Q168" s="24" t="s">
        <v>238</v>
      </c>
      <c r="R168" s="27" t="s">
        <v>860</v>
      </c>
      <c r="S168" s="27"/>
      <c r="T168" s="24" t="s">
        <v>72</v>
      </c>
      <c r="U168" s="26"/>
      <c r="V168" s="14"/>
      <c r="W168" s="14"/>
      <c r="X168" s="18"/>
      <c r="Y168" s="18"/>
      <c r="Z168" s="18"/>
      <c r="AA168" s="19">
        <f t="shared" si="1"/>
        <v>6</v>
      </c>
      <c r="AB168" s="19">
        <f t="shared" si="2"/>
        <v>6</v>
      </c>
    </row>
    <row r="169" ht="15.75" customHeight="1">
      <c r="A169" s="12">
        <v>45090.0</v>
      </c>
      <c r="B169" s="14" t="s">
        <v>84</v>
      </c>
      <c r="C169" s="14" t="s">
        <v>866</v>
      </c>
      <c r="D169" s="14" t="s">
        <v>867</v>
      </c>
      <c r="E169" s="13">
        <v>8.0</v>
      </c>
      <c r="F169" s="14"/>
      <c r="G169" s="14"/>
      <c r="H169" s="15" t="s">
        <v>868</v>
      </c>
      <c r="I169" s="14"/>
      <c r="J169" s="14"/>
      <c r="K169" s="14" t="s">
        <v>869</v>
      </c>
      <c r="L169" s="14" t="s">
        <v>111</v>
      </c>
      <c r="M169" s="14" t="s">
        <v>13</v>
      </c>
      <c r="N169" s="14" t="b">
        <v>1</v>
      </c>
      <c r="O169" s="100" t="s">
        <v>870</v>
      </c>
      <c r="P169" s="13" t="s">
        <v>69</v>
      </c>
      <c r="Q169" s="20"/>
      <c r="R169" s="14"/>
      <c r="S169" s="14" t="s">
        <v>871</v>
      </c>
      <c r="T169" s="13" t="s">
        <v>129</v>
      </c>
      <c r="U169" s="17"/>
      <c r="V169" s="14"/>
      <c r="W169" s="14"/>
      <c r="X169" s="18"/>
      <c r="Y169" s="18"/>
      <c r="Z169" s="18"/>
      <c r="AA169" s="19">
        <f t="shared" si="1"/>
        <v>6</v>
      </c>
      <c r="AB169" s="19" t="str">
        <f t="shared" si="2"/>
        <v/>
      </c>
    </row>
    <row r="170" ht="15.75" customHeight="1">
      <c r="A170" s="12">
        <v>45091.0</v>
      </c>
      <c r="B170" s="14" t="s">
        <v>84</v>
      </c>
      <c r="C170" s="14" t="s">
        <v>872</v>
      </c>
      <c r="D170" s="14"/>
      <c r="E170" s="13">
        <v>9.0</v>
      </c>
      <c r="F170" s="14"/>
      <c r="G170" s="14"/>
      <c r="H170" s="15" t="s">
        <v>873</v>
      </c>
      <c r="I170" s="14"/>
      <c r="J170" s="14"/>
      <c r="K170" s="14"/>
      <c r="L170" s="14" t="s">
        <v>48</v>
      </c>
      <c r="M170" s="14" t="s">
        <v>333</v>
      </c>
      <c r="N170" s="13" t="b">
        <v>1</v>
      </c>
      <c r="O170" s="14" t="s">
        <v>874</v>
      </c>
      <c r="P170" s="13" t="s">
        <v>42</v>
      </c>
      <c r="Q170" s="14"/>
      <c r="R170" s="14"/>
      <c r="S170" s="14" t="s">
        <v>875</v>
      </c>
      <c r="T170" s="13" t="s">
        <v>129</v>
      </c>
      <c r="U170" s="17">
        <v>45105.0</v>
      </c>
      <c r="V170" s="14"/>
      <c r="W170" s="14"/>
      <c r="X170" s="18"/>
      <c r="Y170" s="18"/>
      <c r="Z170" s="18"/>
      <c r="AA170" s="19">
        <f t="shared" si="1"/>
        <v>6</v>
      </c>
      <c r="AB170" s="19" t="str">
        <f t="shared" si="2"/>
        <v/>
      </c>
    </row>
    <row r="171" ht="15.75" customHeight="1">
      <c r="A171" s="12">
        <v>45092.0</v>
      </c>
      <c r="B171" s="13" t="s">
        <v>28</v>
      </c>
      <c r="C171" s="14" t="s">
        <v>876</v>
      </c>
      <c r="D171" s="14" t="s">
        <v>877</v>
      </c>
      <c r="E171" s="13">
        <v>11.0</v>
      </c>
      <c r="F171" s="14"/>
      <c r="G171" s="14"/>
      <c r="H171" s="15" t="s">
        <v>878</v>
      </c>
      <c r="I171" s="14"/>
      <c r="J171" s="14"/>
      <c r="K171" s="14" t="s">
        <v>879</v>
      </c>
      <c r="L171" s="14" t="s">
        <v>111</v>
      </c>
      <c r="M171" s="14" t="s">
        <v>34</v>
      </c>
      <c r="N171" s="14" t="b">
        <v>1</v>
      </c>
      <c r="O171" s="13" t="s">
        <v>880</v>
      </c>
      <c r="P171" s="13" t="s">
        <v>69</v>
      </c>
      <c r="Q171" s="14"/>
      <c r="R171" s="14"/>
      <c r="S171" s="14" t="s">
        <v>881</v>
      </c>
      <c r="T171" s="14" t="s">
        <v>36</v>
      </c>
      <c r="U171" s="17"/>
      <c r="V171" s="14"/>
      <c r="W171" s="14"/>
      <c r="X171" s="18"/>
      <c r="Y171" s="18"/>
      <c r="Z171" s="18"/>
      <c r="AA171" s="19">
        <f t="shared" si="1"/>
        <v>6</v>
      </c>
      <c r="AB171" s="19" t="str">
        <f t="shared" si="2"/>
        <v/>
      </c>
    </row>
    <row r="172" ht="15.75" customHeight="1">
      <c r="A172" s="12">
        <v>45092.0</v>
      </c>
      <c r="B172" s="13" t="s">
        <v>28</v>
      </c>
      <c r="C172" s="14" t="s">
        <v>882</v>
      </c>
      <c r="D172" s="14"/>
      <c r="E172" s="14"/>
      <c r="F172" s="14"/>
      <c r="G172" s="14"/>
      <c r="H172" s="15" t="s">
        <v>883</v>
      </c>
      <c r="I172" s="14"/>
      <c r="J172" s="14"/>
      <c r="K172" s="14" t="s">
        <v>879</v>
      </c>
      <c r="L172" s="14" t="s">
        <v>111</v>
      </c>
      <c r="M172" s="14" t="s">
        <v>216</v>
      </c>
      <c r="N172" s="14" t="b">
        <v>0</v>
      </c>
      <c r="O172" s="14"/>
      <c r="P172" s="14"/>
      <c r="Q172" s="14"/>
      <c r="R172" s="14"/>
      <c r="S172" s="14" t="s">
        <v>884</v>
      </c>
      <c r="T172" s="13" t="s">
        <v>129</v>
      </c>
      <c r="U172" s="17">
        <v>45111.0</v>
      </c>
      <c r="V172" s="14"/>
      <c r="W172" s="14"/>
      <c r="X172" s="18"/>
      <c r="Y172" s="18"/>
      <c r="Z172" s="18"/>
      <c r="AA172" s="19">
        <f t="shared" si="1"/>
        <v>6</v>
      </c>
      <c r="AB172" s="19" t="str">
        <f t="shared" si="2"/>
        <v/>
      </c>
    </row>
    <row r="173" ht="15.75" customHeight="1">
      <c r="A173" s="12">
        <v>45092.0</v>
      </c>
      <c r="B173" s="13" t="s">
        <v>28</v>
      </c>
      <c r="C173" s="14" t="s">
        <v>885</v>
      </c>
      <c r="D173" s="62" t="s">
        <v>886</v>
      </c>
      <c r="E173" s="13">
        <v>9.0</v>
      </c>
      <c r="F173" s="14"/>
      <c r="G173" s="14"/>
      <c r="H173" s="15" t="s">
        <v>887</v>
      </c>
      <c r="I173" s="14"/>
      <c r="J173" s="14"/>
      <c r="K173" s="14" t="s">
        <v>888</v>
      </c>
      <c r="L173" s="14" t="s">
        <v>111</v>
      </c>
      <c r="M173" s="14" t="s">
        <v>34</v>
      </c>
      <c r="N173" s="14" t="b">
        <v>1</v>
      </c>
      <c r="O173" s="13" t="s">
        <v>889</v>
      </c>
      <c r="P173" s="13" t="s">
        <v>69</v>
      </c>
      <c r="Q173" s="14"/>
      <c r="R173" s="14"/>
      <c r="S173" s="14" t="s">
        <v>890</v>
      </c>
      <c r="T173" s="14" t="s">
        <v>36</v>
      </c>
      <c r="U173" s="17"/>
      <c r="V173" s="14"/>
      <c r="W173" s="14"/>
      <c r="X173" s="18"/>
      <c r="Y173" s="18"/>
      <c r="Z173" s="18"/>
      <c r="AA173" s="19">
        <f t="shared" si="1"/>
        <v>6</v>
      </c>
      <c r="AB173" s="19" t="str">
        <f t="shared" si="2"/>
        <v/>
      </c>
    </row>
    <row r="174" ht="15.75" customHeight="1">
      <c r="A174" s="12">
        <v>45092.0</v>
      </c>
      <c r="B174" s="14" t="s">
        <v>84</v>
      </c>
      <c r="C174" s="14" t="s">
        <v>891</v>
      </c>
      <c r="D174" s="14" t="s">
        <v>892</v>
      </c>
      <c r="E174" s="13">
        <v>13.0</v>
      </c>
      <c r="F174" s="14"/>
      <c r="G174" s="14"/>
      <c r="H174" s="15" t="s">
        <v>893</v>
      </c>
      <c r="I174" s="14"/>
      <c r="J174" s="14"/>
      <c r="K174" s="14" t="s">
        <v>894</v>
      </c>
      <c r="L174" s="14" t="s">
        <v>111</v>
      </c>
      <c r="M174" s="14" t="s">
        <v>13</v>
      </c>
      <c r="N174" s="14" t="b">
        <v>1</v>
      </c>
      <c r="O174" s="13" t="s">
        <v>895</v>
      </c>
      <c r="P174" s="13" t="s">
        <v>42</v>
      </c>
      <c r="Q174" s="14"/>
      <c r="R174" s="14"/>
      <c r="S174" s="14" t="s">
        <v>896</v>
      </c>
      <c r="T174" s="13" t="s">
        <v>129</v>
      </c>
      <c r="U174" s="17"/>
      <c r="V174" s="14"/>
      <c r="W174" s="14"/>
      <c r="X174" s="18"/>
      <c r="Y174" s="18"/>
      <c r="Z174" s="18"/>
      <c r="AA174" s="19">
        <f t="shared" si="1"/>
        <v>6</v>
      </c>
      <c r="AB174" s="19" t="str">
        <f t="shared" si="2"/>
        <v/>
      </c>
    </row>
    <row r="175" ht="15.75" customHeight="1">
      <c r="A175" s="12">
        <v>45092.0</v>
      </c>
      <c r="B175" s="14" t="s">
        <v>84</v>
      </c>
      <c r="C175" s="14" t="s">
        <v>897</v>
      </c>
      <c r="D175" s="14" t="s">
        <v>898</v>
      </c>
      <c r="E175" s="13">
        <v>6.0</v>
      </c>
      <c r="F175" s="14"/>
      <c r="G175" s="14"/>
      <c r="H175" s="15" t="s">
        <v>899</v>
      </c>
      <c r="I175" s="14"/>
      <c r="J175" s="14"/>
      <c r="K175" s="14" t="s">
        <v>894</v>
      </c>
      <c r="L175" s="14" t="s">
        <v>111</v>
      </c>
      <c r="M175" s="14" t="s">
        <v>13</v>
      </c>
      <c r="N175" s="14" t="b">
        <v>0</v>
      </c>
      <c r="O175" s="14" t="s">
        <v>900</v>
      </c>
      <c r="P175" s="13" t="s">
        <v>69</v>
      </c>
      <c r="Q175" s="14"/>
      <c r="R175" s="14"/>
      <c r="S175" s="13" t="s">
        <v>901</v>
      </c>
      <c r="T175" s="14" t="s">
        <v>36</v>
      </c>
      <c r="U175" s="41"/>
      <c r="V175" s="14"/>
      <c r="W175" s="14"/>
      <c r="X175" s="18"/>
      <c r="Y175" s="18"/>
      <c r="Z175" s="18"/>
      <c r="AA175" s="19">
        <f t="shared" si="1"/>
        <v>6</v>
      </c>
      <c r="AB175" s="19" t="str">
        <f t="shared" si="2"/>
        <v/>
      </c>
    </row>
    <row r="176" ht="15.75" customHeight="1">
      <c r="A176" s="12">
        <v>45092.0</v>
      </c>
      <c r="B176" s="13" t="s">
        <v>28</v>
      </c>
      <c r="C176" s="14" t="s">
        <v>902</v>
      </c>
      <c r="D176" s="14" t="s">
        <v>711</v>
      </c>
      <c r="E176" s="13">
        <v>10.0</v>
      </c>
      <c r="F176" s="14">
        <v>5.0</v>
      </c>
      <c r="G176" s="14"/>
      <c r="H176" s="15" t="s">
        <v>903</v>
      </c>
      <c r="I176" s="14"/>
      <c r="J176" s="14"/>
      <c r="K176" s="14" t="s">
        <v>904</v>
      </c>
      <c r="L176" s="14" t="s">
        <v>111</v>
      </c>
      <c r="M176" s="14" t="s">
        <v>13</v>
      </c>
      <c r="N176" s="14" t="b">
        <v>1</v>
      </c>
      <c r="O176" s="13" t="s">
        <v>905</v>
      </c>
      <c r="P176" s="13" t="s">
        <v>69</v>
      </c>
      <c r="Q176" s="14"/>
      <c r="R176" s="14"/>
      <c r="S176" s="14" t="s">
        <v>906</v>
      </c>
      <c r="T176" s="14" t="s">
        <v>36</v>
      </c>
      <c r="U176" s="17"/>
      <c r="V176" s="14"/>
      <c r="W176" s="14"/>
      <c r="X176" s="18"/>
      <c r="Y176" s="18"/>
      <c r="Z176" s="18"/>
      <c r="AA176" s="19">
        <f t="shared" si="1"/>
        <v>6</v>
      </c>
      <c r="AB176" s="19" t="str">
        <f t="shared" si="2"/>
        <v/>
      </c>
    </row>
    <row r="177" ht="15.75" customHeight="1">
      <c r="A177" s="12">
        <v>45092.0</v>
      </c>
      <c r="B177" s="14" t="s">
        <v>84</v>
      </c>
      <c r="C177" s="14" t="s">
        <v>907</v>
      </c>
      <c r="D177" s="14" t="s">
        <v>908</v>
      </c>
      <c r="E177" s="13">
        <v>8.0</v>
      </c>
      <c r="F177" s="14"/>
      <c r="G177" s="14"/>
      <c r="H177" s="15" t="s">
        <v>909</v>
      </c>
      <c r="I177" s="14"/>
      <c r="J177" s="14"/>
      <c r="K177" s="14" t="s">
        <v>894</v>
      </c>
      <c r="L177" s="14" t="s">
        <v>111</v>
      </c>
      <c r="M177" s="14" t="s">
        <v>13</v>
      </c>
      <c r="N177" s="14" t="b">
        <v>0</v>
      </c>
      <c r="O177" s="14"/>
      <c r="P177" s="14"/>
      <c r="Q177" s="14"/>
      <c r="R177" s="14"/>
      <c r="S177" s="14" t="s">
        <v>910</v>
      </c>
      <c r="T177" s="14" t="s">
        <v>36</v>
      </c>
      <c r="U177" s="17"/>
      <c r="V177" s="14"/>
      <c r="W177" s="14"/>
      <c r="X177" s="18"/>
      <c r="Y177" s="18"/>
      <c r="Z177" s="18"/>
      <c r="AA177" s="19">
        <f t="shared" si="1"/>
        <v>6</v>
      </c>
      <c r="AB177" s="19" t="str">
        <f t="shared" si="2"/>
        <v/>
      </c>
    </row>
    <row r="178" ht="15.75" customHeight="1">
      <c r="A178" s="12">
        <v>45092.0</v>
      </c>
      <c r="B178" s="13" t="s">
        <v>28</v>
      </c>
      <c r="C178" s="14" t="s">
        <v>911</v>
      </c>
      <c r="D178" s="14" t="s">
        <v>912</v>
      </c>
      <c r="E178" s="13">
        <v>8.0</v>
      </c>
      <c r="F178" s="14"/>
      <c r="G178" s="14"/>
      <c r="H178" s="15" t="s">
        <v>913</v>
      </c>
      <c r="I178" s="14"/>
      <c r="J178" s="14"/>
      <c r="K178" s="14" t="s">
        <v>914</v>
      </c>
      <c r="L178" s="14" t="s">
        <v>111</v>
      </c>
      <c r="M178" s="14" t="s">
        <v>13</v>
      </c>
      <c r="N178" s="14" t="b">
        <v>1</v>
      </c>
      <c r="O178" s="13" t="s">
        <v>905</v>
      </c>
      <c r="P178" s="13" t="s">
        <v>42</v>
      </c>
      <c r="Q178" s="14"/>
      <c r="R178" s="14"/>
      <c r="S178" s="13" t="s">
        <v>915</v>
      </c>
      <c r="T178" s="13" t="s">
        <v>129</v>
      </c>
      <c r="U178" s="17"/>
      <c r="V178" s="14"/>
      <c r="W178" s="14"/>
      <c r="X178" s="18"/>
      <c r="Y178" s="18"/>
      <c r="Z178" s="18"/>
      <c r="AA178" s="19">
        <f t="shared" si="1"/>
        <v>6</v>
      </c>
      <c r="AB178" s="19" t="str">
        <f t="shared" si="2"/>
        <v/>
      </c>
    </row>
    <row r="179" ht="15.75" customHeight="1">
      <c r="A179" s="12">
        <v>45092.0</v>
      </c>
      <c r="B179" s="14" t="s">
        <v>84</v>
      </c>
      <c r="C179" s="14" t="s">
        <v>916</v>
      </c>
      <c r="D179" s="14" t="s">
        <v>917</v>
      </c>
      <c r="E179" s="13">
        <v>9.0</v>
      </c>
      <c r="F179" s="14">
        <v>4.0</v>
      </c>
      <c r="G179" s="14"/>
      <c r="H179" s="15" t="s">
        <v>918</v>
      </c>
      <c r="I179" s="14"/>
      <c r="J179" s="14"/>
      <c r="K179" s="14" t="s">
        <v>919</v>
      </c>
      <c r="L179" s="14" t="s">
        <v>111</v>
      </c>
      <c r="M179" s="14" t="s">
        <v>34</v>
      </c>
      <c r="N179" s="14" t="b">
        <v>1</v>
      </c>
      <c r="O179" s="13" t="s">
        <v>920</v>
      </c>
      <c r="P179" s="13" t="s">
        <v>69</v>
      </c>
      <c r="Q179" s="14"/>
      <c r="R179" s="14"/>
      <c r="S179" s="14" t="s">
        <v>921</v>
      </c>
      <c r="T179" s="13" t="s">
        <v>129</v>
      </c>
      <c r="U179" s="17">
        <v>45170.0</v>
      </c>
      <c r="V179" s="14"/>
      <c r="W179" s="14"/>
      <c r="X179" s="18"/>
      <c r="Y179" s="18"/>
      <c r="Z179" s="18"/>
      <c r="AA179" s="19">
        <f t="shared" si="1"/>
        <v>6</v>
      </c>
      <c r="AB179" s="19" t="str">
        <f t="shared" si="2"/>
        <v/>
      </c>
    </row>
    <row r="180" ht="15.75" customHeight="1">
      <c r="A180" s="12">
        <v>45092.0</v>
      </c>
      <c r="B180" s="14" t="s">
        <v>84</v>
      </c>
      <c r="C180" s="14" t="s">
        <v>922</v>
      </c>
      <c r="D180" s="14"/>
      <c r="E180" s="14"/>
      <c r="F180" s="14"/>
      <c r="G180" s="14"/>
      <c r="H180" s="15" t="s">
        <v>923</v>
      </c>
      <c r="I180" s="14"/>
      <c r="J180" s="14"/>
      <c r="K180" s="14" t="s">
        <v>919</v>
      </c>
      <c r="L180" s="14" t="s">
        <v>111</v>
      </c>
      <c r="M180" s="14" t="s">
        <v>216</v>
      </c>
      <c r="N180" s="14" t="b">
        <v>0</v>
      </c>
      <c r="O180" s="14"/>
      <c r="P180" s="14"/>
      <c r="Q180" s="14"/>
      <c r="R180" s="14"/>
      <c r="S180" s="14" t="s">
        <v>924</v>
      </c>
      <c r="T180" s="13" t="s">
        <v>129</v>
      </c>
      <c r="U180" s="17">
        <v>45101.0</v>
      </c>
      <c r="V180" s="14"/>
      <c r="W180" s="14"/>
      <c r="X180" s="18"/>
      <c r="Y180" s="18"/>
      <c r="Z180" s="18"/>
      <c r="AA180" s="19">
        <f t="shared" si="1"/>
        <v>6</v>
      </c>
      <c r="AB180" s="19" t="str">
        <f t="shared" si="2"/>
        <v/>
      </c>
    </row>
    <row r="181" ht="15.75" customHeight="1">
      <c r="A181" s="12">
        <v>45092.0</v>
      </c>
      <c r="B181" s="14" t="s">
        <v>73</v>
      </c>
      <c r="C181" s="14" t="s">
        <v>925</v>
      </c>
      <c r="D181" s="14" t="s">
        <v>509</v>
      </c>
      <c r="E181" s="13">
        <v>11.0</v>
      </c>
      <c r="F181" s="14">
        <v>5.0</v>
      </c>
      <c r="G181" s="14"/>
      <c r="H181" s="15" t="s">
        <v>926</v>
      </c>
      <c r="I181" s="14"/>
      <c r="J181" s="14"/>
      <c r="K181" s="13" t="s">
        <v>927</v>
      </c>
      <c r="L181" s="14" t="s">
        <v>111</v>
      </c>
      <c r="M181" s="14" t="s">
        <v>34</v>
      </c>
      <c r="N181" s="14" t="b">
        <v>1</v>
      </c>
      <c r="O181" s="13" t="s">
        <v>928</v>
      </c>
      <c r="P181" s="13" t="s">
        <v>69</v>
      </c>
      <c r="Q181" s="14"/>
      <c r="R181" s="14"/>
      <c r="S181" s="13" t="s">
        <v>929</v>
      </c>
      <c r="T181" s="14" t="s">
        <v>36</v>
      </c>
      <c r="U181" s="17"/>
      <c r="V181" s="32">
        <v>45093.0</v>
      </c>
      <c r="W181" s="24" t="s">
        <v>311</v>
      </c>
      <c r="X181" s="25">
        <v>8750000.0</v>
      </c>
      <c r="Y181" s="25">
        <v>1312500.0</v>
      </c>
      <c r="Z181" s="25">
        <v>7437500.0</v>
      </c>
      <c r="AA181" s="19">
        <f t="shared" si="1"/>
        <v>6</v>
      </c>
      <c r="AB181" s="19" t="str">
        <f t="shared" si="2"/>
        <v/>
      </c>
    </row>
    <row r="182" ht="15.75" customHeight="1">
      <c r="A182" s="26">
        <v>45092.0</v>
      </c>
      <c r="B182" s="13" t="s">
        <v>28</v>
      </c>
      <c r="C182" s="27" t="s">
        <v>930</v>
      </c>
      <c r="D182" s="27" t="s">
        <v>931</v>
      </c>
      <c r="E182" s="24">
        <v>8.0</v>
      </c>
      <c r="F182" s="27" t="s">
        <v>932</v>
      </c>
      <c r="G182" s="27"/>
      <c r="H182" s="72" t="s">
        <v>933</v>
      </c>
      <c r="I182" s="27"/>
      <c r="J182" s="27"/>
      <c r="K182" s="27" t="s">
        <v>934</v>
      </c>
      <c r="L182" s="27" t="s">
        <v>111</v>
      </c>
      <c r="M182" s="27" t="s">
        <v>67</v>
      </c>
      <c r="N182" s="14" t="b">
        <v>1</v>
      </c>
      <c r="O182" s="24" t="s">
        <v>935</v>
      </c>
      <c r="P182" s="13" t="s">
        <v>69</v>
      </c>
      <c r="Q182" s="24" t="s">
        <v>91</v>
      </c>
      <c r="R182" s="27" t="s">
        <v>936</v>
      </c>
      <c r="S182" s="24" t="s">
        <v>937</v>
      </c>
      <c r="T182" s="24" t="s">
        <v>72</v>
      </c>
      <c r="U182" s="26"/>
      <c r="V182" s="32">
        <v>45094.0</v>
      </c>
      <c r="W182" s="24" t="s">
        <v>407</v>
      </c>
      <c r="X182" s="25">
        <v>3062000.0</v>
      </c>
      <c r="Y182" s="25">
        <v>153100.0</v>
      </c>
      <c r="Z182" s="25">
        <v>2908900.0</v>
      </c>
      <c r="AA182" s="19">
        <f t="shared" si="1"/>
        <v>6</v>
      </c>
      <c r="AB182" s="19">
        <f t="shared" si="2"/>
        <v>6</v>
      </c>
    </row>
    <row r="183" ht="15.75" customHeight="1">
      <c r="A183" s="26">
        <v>45092.0</v>
      </c>
      <c r="B183" s="27" t="s">
        <v>84</v>
      </c>
      <c r="C183" s="27" t="s">
        <v>938</v>
      </c>
      <c r="D183" s="27" t="s">
        <v>939</v>
      </c>
      <c r="E183" s="24">
        <v>12.0</v>
      </c>
      <c r="F183" s="27" t="s">
        <v>87</v>
      </c>
      <c r="G183" s="27"/>
      <c r="H183" s="34" t="s">
        <v>940</v>
      </c>
      <c r="I183" s="27"/>
      <c r="J183" s="27"/>
      <c r="K183" s="27" t="s">
        <v>941</v>
      </c>
      <c r="L183" s="27" t="s">
        <v>111</v>
      </c>
      <c r="M183" s="27" t="s">
        <v>67</v>
      </c>
      <c r="N183" s="14" t="b">
        <v>1</v>
      </c>
      <c r="O183" s="24" t="s">
        <v>905</v>
      </c>
      <c r="P183" s="13" t="s">
        <v>42</v>
      </c>
      <c r="Q183" s="24" t="s">
        <v>91</v>
      </c>
      <c r="R183" s="27"/>
      <c r="S183" s="24" t="s">
        <v>942</v>
      </c>
      <c r="T183" s="24" t="s">
        <v>72</v>
      </c>
      <c r="U183" s="26"/>
      <c r="V183" s="14"/>
      <c r="W183" s="14"/>
      <c r="X183" s="18"/>
      <c r="Y183" s="18"/>
      <c r="Z183" s="18"/>
      <c r="AA183" s="19">
        <f t="shared" si="1"/>
        <v>6</v>
      </c>
      <c r="AB183" s="19">
        <f t="shared" si="2"/>
        <v>6</v>
      </c>
    </row>
    <row r="184" ht="15.75" customHeight="1">
      <c r="A184" s="12">
        <v>45092.0</v>
      </c>
      <c r="B184" s="13" t="s">
        <v>28</v>
      </c>
      <c r="C184" s="14" t="s">
        <v>943</v>
      </c>
      <c r="D184" s="14" t="s">
        <v>944</v>
      </c>
      <c r="E184" s="13">
        <v>9.0</v>
      </c>
      <c r="F184" s="14"/>
      <c r="G184" s="14"/>
      <c r="H184" s="15" t="s">
        <v>945</v>
      </c>
      <c r="I184" s="14"/>
      <c r="J184" s="14"/>
      <c r="K184" s="14"/>
      <c r="L184" s="14" t="s">
        <v>111</v>
      </c>
      <c r="M184" s="14" t="s">
        <v>13</v>
      </c>
      <c r="N184" s="14" t="b">
        <v>1</v>
      </c>
      <c r="O184" s="13" t="s">
        <v>946</v>
      </c>
      <c r="P184" s="13" t="s">
        <v>69</v>
      </c>
      <c r="Q184" s="14"/>
      <c r="R184" s="14"/>
      <c r="S184" s="14" t="s">
        <v>947</v>
      </c>
      <c r="T184" s="13" t="s">
        <v>129</v>
      </c>
      <c r="U184" s="17"/>
      <c r="V184" s="32">
        <v>45106.0</v>
      </c>
      <c r="W184" s="24" t="s">
        <v>311</v>
      </c>
      <c r="X184" s="25">
        <v>6124000.0</v>
      </c>
      <c r="Y184" s="25">
        <v>918600.0</v>
      </c>
      <c r="Z184" s="25">
        <v>5205400.0</v>
      </c>
      <c r="AA184" s="19">
        <f t="shared" si="1"/>
        <v>6</v>
      </c>
      <c r="AB184" s="19" t="str">
        <f t="shared" si="2"/>
        <v/>
      </c>
    </row>
    <row r="185" ht="15.75" customHeight="1">
      <c r="A185" s="26">
        <v>45092.0</v>
      </c>
      <c r="B185" s="13" t="s">
        <v>28</v>
      </c>
      <c r="C185" s="27" t="s">
        <v>943</v>
      </c>
      <c r="D185" s="27" t="s">
        <v>948</v>
      </c>
      <c r="E185" s="27"/>
      <c r="F185" s="27"/>
      <c r="G185" s="27"/>
      <c r="H185" s="34"/>
      <c r="I185" s="24" t="s">
        <v>949</v>
      </c>
      <c r="J185" s="27"/>
      <c r="K185" s="27"/>
      <c r="L185" s="27" t="s">
        <v>111</v>
      </c>
      <c r="M185" s="27" t="s">
        <v>67</v>
      </c>
      <c r="N185" s="14" t="b">
        <v>1</v>
      </c>
      <c r="O185" s="27" t="s">
        <v>950</v>
      </c>
      <c r="P185" s="13" t="s">
        <v>69</v>
      </c>
      <c r="Q185" s="24" t="s">
        <v>91</v>
      </c>
      <c r="R185" s="27" t="s">
        <v>951</v>
      </c>
      <c r="S185" s="27" t="s">
        <v>952</v>
      </c>
      <c r="T185" s="24" t="s">
        <v>72</v>
      </c>
      <c r="U185" s="26"/>
      <c r="V185" s="14"/>
      <c r="W185" s="14"/>
      <c r="X185" s="18"/>
      <c r="Y185" s="18"/>
      <c r="Z185" s="18"/>
      <c r="AA185" s="19">
        <f t="shared" si="1"/>
        <v>6</v>
      </c>
      <c r="AB185" s="19">
        <f t="shared" si="2"/>
        <v>6</v>
      </c>
    </row>
    <row r="186" ht="15.75" customHeight="1">
      <c r="A186" s="12">
        <v>45092.0</v>
      </c>
      <c r="B186" s="14" t="s">
        <v>84</v>
      </c>
      <c r="C186" s="14" t="s">
        <v>953</v>
      </c>
      <c r="D186" s="14" t="s">
        <v>954</v>
      </c>
      <c r="E186" s="13">
        <v>9.0</v>
      </c>
      <c r="F186" s="14" t="s">
        <v>474</v>
      </c>
      <c r="G186" s="14"/>
      <c r="H186" s="15" t="s">
        <v>955</v>
      </c>
      <c r="I186" s="14"/>
      <c r="J186" s="14"/>
      <c r="K186" s="13" t="s">
        <v>956</v>
      </c>
      <c r="L186" s="14" t="s">
        <v>111</v>
      </c>
      <c r="M186" s="14" t="s">
        <v>34</v>
      </c>
      <c r="N186" s="14" t="b">
        <v>1</v>
      </c>
      <c r="O186" s="13" t="s">
        <v>957</v>
      </c>
      <c r="P186" s="13" t="s">
        <v>42</v>
      </c>
      <c r="Q186" s="14"/>
      <c r="R186" s="14"/>
      <c r="S186" s="13" t="s">
        <v>958</v>
      </c>
      <c r="T186" s="14" t="s">
        <v>36</v>
      </c>
      <c r="U186" s="17"/>
      <c r="V186" s="14"/>
      <c r="W186" s="14"/>
      <c r="X186" s="18"/>
      <c r="Y186" s="18"/>
      <c r="Z186" s="18"/>
      <c r="AA186" s="19">
        <f t="shared" si="1"/>
        <v>6</v>
      </c>
      <c r="AB186" s="19" t="str">
        <f t="shared" si="2"/>
        <v/>
      </c>
    </row>
    <row r="187" ht="15.75" customHeight="1">
      <c r="A187" s="12">
        <v>45093.0</v>
      </c>
      <c r="B187" s="13" t="s">
        <v>28</v>
      </c>
      <c r="C187" s="14" t="s">
        <v>959</v>
      </c>
      <c r="D187" s="14"/>
      <c r="E187" s="13">
        <v>6.0</v>
      </c>
      <c r="F187" s="14"/>
      <c r="G187" s="14"/>
      <c r="H187" s="15" t="s">
        <v>960</v>
      </c>
      <c r="I187" s="14"/>
      <c r="J187" s="14"/>
      <c r="K187" s="14" t="s">
        <v>961</v>
      </c>
      <c r="L187" s="14" t="s">
        <v>111</v>
      </c>
      <c r="M187" s="14" t="s">
        <v>333</v>
      </c>
      <c r="N187" s="14" t="b">
        <v>0</v>
      </c>
      <c r="O187" s="14"/>
      <c r="P187" s="14"/>
      <c r="Q187" s="14"/>
      <c r="R187" s="14"/>
      <c r="S187" s="14" t="s">
        <v>962</v>
      </c>
      <c r="T187" s="13" t="s">
        <v>129</v>
      </c>
      <c r="U187" s="17">
        <v>45111.0</v>
      </c>
      <c r="V187" s="14"/>
      <c r="W187" s="14"/>
      <c r="X187" s="18"/>
      <c r="Y187" s="18"/>
      <c r="Z187" s="18"/>
      <c r="AA187" s="19">
        <f t="shared" si="1"/>
        <v>6</v>
      </c>
      <c r="AB187" s="19" t="str">
        <f t="shared" si="2"/>
        <v/>
      </c>
    </row>
    <row r="188" ht="15.75" customHeight="1">
      <c r="A188" s="12">
        <v>45093.0</v>
      </c>
      <c r="B188" s="13" t="s">
        <v>28</v>
      </c>
      <c r="C188" s="14" t="s">
        <v>963</v>
      </c>
      <c r="D188" s="14"/>
      <c r="E188" s="14"/>
      <c r="F188" s="14"/>
      <c r="G188" s="14"/>
      <c r="H188" s="15" t="s">
        <v>964</v>
      </c>
      <c r="I188" s="14"/>
      <c r="J188" s="14"/>
      <c r="K188" s="14" t="s">
        <v>965</v>
      </c>
      <c r="L188" s="14" t="s">
        <v>111</v>
      </c>
      <c r="M188" s="14" t="s">
        <v>216</v>
      </c>
      <c r="N188" s="14" t="b">
        <v>0</v>
      </c>
      <c r="O188" s="14"/>
      <c r="P188" s="14"/>
      <c r="Q188" s="14"/>
      <c r="R188" s="14"/>
      <c r="S188" s="14" t="s">
        <v>966</v>
      </c>
      <c r="T188" s="13" t="s">
        <v>129</v>
      </c>
      <c r="U188" s="17">
        <v>45097.0</v>
      </c>
      <c r="V188" s="14"/>
      <c r="W188" s="14"/>
      <c r="X188" s="18"/>
      <c r="Y188" s="18"/>
      <c r="Z188" s="18"/>
      <c r="AA188" s="19">
        <f t="shared" si="1"/>
        <v>6</v>
      </c>
      <c r="AB188" s="19" t="str">
        <f t="shared" si="2"/>
        <v/>
      </c>
    </row>
    <row r="189" ht="15.75" customHeight="1">
      <c r="A189" s="12">
        <v>45093.0</v>
      </c>
      <c r="B189" s="13" t="s">
        <v>28</v>
      </c>
      <c r="C189" s="14" t="s">
        <v>967</v>
      </c>
      <c r="D189" s="14"/>
      <c r="E189" s="14"/>
      <c r="F189" s="14"/>
      <c r="G189" s="14"/>
      <c r="H189" s="15" t="s">
        <v>968</v>
      </c>
      <c r="I189" s="14"/>
      <c r="J189" s="14"/>
      <c r="K189" s="13" t="s">
        <v>969</v>
      </c>
      <c r="L189" s="14" t="s">
        <v>111</v>
      </c>
      <c r="M189" s="14" t="s">
        <v>216</v>
      </c>
      <c r="N189" s="14" t="b">
        <v>0</v>
      </c>
      <c r="O189" s="14"/>
      <c r="P189" s="14"/>
      <c r="Q189" s="14"/>
      <c r="R189" s="14"/>
      <c r="S189" s="14" t="s">
        <v>966</v>
      </c>
      <c r="T189" s="13" t="s">
        <v>129</v>
      </c>
      <c r="U189" s="17">
        <v>45097.0</v>
      </c>
      <c r="V189" s="14"/>
      <c r="W189" s="14"/>
      <c r="X189" s="18"/>
      <c r="Y189" s="18"/>
      <c r="Z189" s="18"/>
      <c r="AA189" s="19">
        <f t="shared" si="1"/>
        <v>6</v>
      </c>
      <c r="AB189" s="19" t="str">
        <f t="shared" si="2"/>
        <v/>
      </c>
    </row>
    <row r="190" ht="15.75" customHeight="1">
      <c r="A190" s="12">
        <v>45093.0</v>
      </c>
      <c r="B190" s="13" t="s">
        <v>28</v>
      </c>
      <c r="C190" s="14" t="s">
        <v>970</v>
      </c>
      <c r="D190" s="14"/>
      <c r="E190" s="14"/>
      <c r="F190" s="14"/>
      <c r="G190" s="14"/>
      <c r="H190" s="15" t="s">
        <v>971</v>
      </c>
      <c r="I190" s="14"/>
      <c r="J190" s="14"/>
      <c r="K190" s="14" t="s">
        <v>972</v>
      </c>
      <c r="L190" s="14" t="s">
        <v>111</v>
      </c>
      <c r="M190" s="14" t="s">
        <v>216</v>
      </c>
      <c r="N190" s="14" t="b">
        <v>0</v>
      </c>
      <c r="O190" s="14"/>
      <c r="P190" s="14"/>
      <c r="Q190" s="14"/>
      <c r="R190" s="14"/>
      <c r="S190" s="14" t="s">
        <v>966</v>
      </c>
      <c r="T190" s="13" t="s">
        <v>129</v>
      </c>
      <c r="U190" s="17">
        <v>45097.0</v>
      </c>
      <c r="V190" s="14"/>
      <c r="W190" s="14"/>
      <c r="X190" s="18"/>
      <c r="Y190" s="18"/>
      <c r="Z190" s="18"/>
      <c r="AA190" s="19">
        <f t="shared" si="1"/>
        <v>6</v>
      </c>
      <c r="AB190" s="19" t="str">
        <f t="shared" si="2"/>
        <v/>
      </c>
    </row>
    <row r="191" ht="15.75" customHeight="1">
      <c r="A191" s="12">
        <v>45093.0</v>
      </c>
      <c r="B191" s="13" t="s">
        <v>28</v>
      </c>
      <c r="C191" s="14" t="s">
        <v>973</v>
      </c>
      <c r="D191" s="14"/>
      <c r="E191" s="13">
        <v>4.0</v>
      </c>
      <c r="F191" s="14"/>
      <c r="G191" s="14"/>
      <c r="H191" s="15" t="s">
        <v>974</v>
      </c>
      <c r="I191" s="14"/>
      <c r="J191" s="14"/>
      <c r="K191" s="14" t="s">
        <v>975</v>
      </c>
      <c r="L191" s="14" t="s">
        <v>111</v>
      </c>
      <c r="M191" s="14" t="s">
        <v>565</v>
      </c>
      <c r="N191" s="14" t="b">
        <v>0</v>
      </c>
      <c r="O191" s="14"/>
      <c r="P191" s="14"/>
      <c r="Q191" s="14"/>
      <c r="R191" s="14"/>
      <c r="S191" s="14" t="s">
        <v>976</v>
      </c>
      <c r="T191" s="13" t="s">
        <v>129</v>
      </c>
      <c r="U191" s="17"/>
      <c r="V191" s="14"/>
      <c r="W191" s="14"/>
      <c r="X191" s="18"/>
      <c r="Y191" s="18"/>
      <c r="Z191" s="18"/>
      <c r="AA191" s="19">
        <f t="shared" si="1"/>
        <v>6</v>
      </c>
      <c r="AB191" s="19" t="str">
        <f t="shared" si="2"/>
        <v/>
      </c>
    </row>
    <row r="192" ht="15.75" customHeight="1">
      <c r="A192" s="12">
        <v>45093.0</v>
      </c>
      <c r="B192" s="14" t="s">
        <v>84</v>
      </c>
      <c r="C192" s="13" t="s">
        <v>977</v>
      </c>
      <c r="D192" s="13" t="s">
        <v>978</v>
      </c>
      <c r="E192" s="13">
        <v>12.0</v>
      </c>
      <c r="F192" s="14"/>
      <c r="G192" s="14"/>
      <c r="H192" s="15"/>
      <c r="I192" s="14"/>
      <c r="J192" s="14"/>
      <c r="K192" s="14"/>
      <c r="L192" s="14" t="s">
        <v>111</v>
      </c>
      <c r="M192" s="14" t="s">
        <v>158</v>
      </c>
      <c r="N192" s="14" t="b">
        <v>0</v>
      </c>
      <c r="O192" s="43" t="s">
        <v>979</v>
      </c>
      <c r="P192" s="43"/>
      <c r="Q192" s="14"/>
      <c r="R192" s="14"/>
      <c r="S192" s="14"/>
      <c r="T192" s="13" t="s">
        <v>129</v>
      </c>
      <c r="U192" s="17"/>
      <c r="V192" s="14"/>
      <c r="W192" s="14"/>
      <c r="X192" s="18"/>
      <c r="Y192" s="18"/>
      <c r="Z192" s="18"/>
      <c r="AA192" s="19">
        <f t="shared" si="1"/>
        <v>6</v>
      </c>
      <c r="AB192" s="19" t="str">
        <f t="shared" si="2"/>
        <v/>
      </c>
    </row>
    <row r="193" ht="15.75" customHeight="1">
      <c r="A193" s="12">
        <v>45093.0</v>
      </c>
      <c r="B193" s="14" t="s">
        <v>84</v>
      </c>
      <c r="C193" s="13" t="s">
        <v>977</v>
      </c>
      <c r="D193" s="13" t="s">
        <v>980</v>
      </c>
      <c r="E193" s="13">
        <v>10.0</v>
      </c>
      <c r="F193" s="14" t="s">
        <v>981</v>
      </c>
      <c r="G193" s="14"/>
      <c r="H193" s="15" t="s">
        <v>982</v>
      </c>
      <c r="I193" s="14"/>
      <c r="J193" s="14"/>
      <c r="K193" s="14"/>
      <c r="L193" s="14" t="s">
        <v>111</v>
      </c>
      <c r="M193" s="14" t="s">
        <v>13</v>
      </c>
      <c r="N193" s="14" t="b">
        <v>1</v>
      </c>
      <c r="O193" s="13" t="s">
        <v>983</v>
      </c>
      <c r="P193" s="13" t="s">
        <v>69</v>
      </c>
      <c r="Q193" s="14"/>
      <c r="R193" s="14"/>
      <c r="S193" s="14" t="s">
        <v>984</v>
      </c>
      <c r="T193" s="13" t="s">
        <v>129</v>
      </c>
      <c r="U193" s="17">
        <v>45164.0</v>
      </c>
      <c r="V193" s="14"/>
      <c r="W193" s="14"/>
      <c r="X193" s="18"/>
      <c r="Y193" s="18"/>
      <c r="Z193" s="18"/>
      <c r="AA193" s="19">
        <f t="shared" si="1"/>
        <v>6</v>
      </c>
      <c r="AB193" s="19" t="str">
        <f t="shared" si="2"/>
        <v/>
      </c>
    </row>
    <row r="194" ht="15.75" customHeight="1">
      <c r="A194" s="12">
        <v>45093.0</v>
      </c>
      <c r="B194" s="13" t="s">
        <v>28</v>
      </c>
      <c r="C194" s="14" t="s">
        <v>985</v>
      </c>
      <c r="D194" s="14" t="s">
        <v>986</v>
      </c>
      <c r="E194" s="13">
        <v>11.0</v>
      </c>
      <c r="F194" s="14" t="s">
        <v>987</v>
      </c>
      <c r="G194" s="14"/>
      <c r="H194" s="15" t="s">
        <v>988</v>
      </c>
      <c r="I194" s="14"/>
      <c r="J194" s="14"/>
      <c r="K194" s="13" t="s">
        <v>989</v>
      </c>
      <c r="L194" s="14" t="s">
        <v>111</v>
      </c>
      <c r="M194" s="14" t="s">
        <v>34</v>
      </c>
      <c r="N194" s="14" t="b">
        <v>1</v>
      </c>
      <c r="O194" s="13" t="s">
        <v>990</v>
      </c>
      <c r="P194" s="13" t="s">
        <v>42</v>
      </c>
      <c r="Q194" s="14"/>
      <c r="R194" s="14"/>
      <c r="S194" s="14" t="s">
        <v>991</v>
      </c>
      <c r="T194" s="14" t="s">
        <v>36</v>
      </c>
      <c r="U194" s="17"/>
      <c r="V194" s="32">
        <v>45097.0</v>
      </c>
      <c r="W194" s="24" t="s">
        <v>407</v>
      </c>
      <c r="X194" s="25">
        <v>3062000.0</v>
      </c>
      <c r="Y194" s="25">
        <v>153100.0</v>
      </c>
      <c r="Z194" s="25">
        <v>2908900.0</v>
      </c>
      <c r="AA194" s="19">
        <f t="shared" si="1"/>
        <v>6</v>
      </c>
      <c r="AB194" s="19" t="str">
        <f t="shared" si="2"/>
        <v/>
      </c>
    </row>
    <row r="195" ht="15.75" customHeight="1">
      <c r="A195" s="26">
        <v>45093.0</v>
      </c>
      <c r="B195" s="13" t="s">
        <v>28</v>
      </c>
      <c r="C195" s="24" t="s">
        <v>992</v>
      </c>
      <c r="D195" s="24" t="s">
        <v>993</v>
      </c>
      <c r="E195" s="24">
        <v>10.0</v>
      </c>
      <c r="F195" s="27"/>
      <c r="G195" s="27"/>
      <c r="H195" s="34" t="s">
        <v>994</v>
      </c>
      <c r="I195" s="27"/>
      <c r="J195" s="27"/>
      <c r="K195" s="27" t="s">
        <v>995</v>
      </c>
      <c r="L195" s="27" t="s">
        <v>111</v>
      </c>
      <c r="M195" s="27" t="s">
        <v>67</v>
      </c>
      <c r="N195" s="14" t="b">
        <v>1</v>
      </c>
      <c r="O195" s="24" t="s">
        <v>996</v>
      </c>
      <c r="P195" s="13" t="s">
        <v>42</v>
      </c>
      <c r="Q195" s="24" t="s">
        <v>91</v>
      </c>
      <c r="R195" s="27"/>
      <c r="S195" s="27" t="s">
        <v>997</v>
      </c>
      <c r="T195" s="24" t="s">
        <v>72</v>
      </c>
      <c r="U195" s="26"/>
      <c r="V195" s="14"/>
      <c r="W195" s="14"/>
      <c r="X195" s="18"/>
      <c r="Y195" s="18"/>
      <c r="Z195" s="18"/>
      <c r="AA195" s="19">
        <f t="shared" si="1"/>
        <v>6</v>
      </c>
      <c r="AB195" s="19">
        <f t="shared" si="2"/>
        <v>6</v>
      </c>
    </row>
    <row r="196" ht="15.75" customHeight="1">
      <c r="A196" s="12">
        <v>45093.0</v>
      </c>
      <c r="B196" s="14" t="s">
        <v>201</v>
      </c>
      <c r="C196" s="13" t="s">
        <v>998</v>
      </c>
      <c r="D196" s="14" t="s">
        <v>999</v>
      </c>
      <c r="E196" s="13">
        <v>10.0</v>
      </c>
      <c r="F196" s="14">
        <v>5.0</v>
      </c>
      <c r="G196" s="14"/>
      <c r="H196" s="15" t="s">
        <v>1000</v>
      </c>
      <c r="I196" s="14"/>
      <c r="J196" s="14"/>
      <c r="K196" s="13" t="s">
        <v>1001</v>
      </c>
      <c r="L196" s="14" t="s">
        <v>111</v>
      </c>
      <c r="M196" s="14" t="s">
        <v>34</v>
      </c>
      <c r="N196" s="14" t="b">
        <v>0</v>
      </c>
      <c r="O196" s="14"/>
      <c r="P196" s="14"/>
      <c r="Q196" s="14"/>
      <c r="R196" s="14"/>
      <c r="S196" s="13" t="s">
        <v>1002</v>
      </c>
      <c r="T196" s="13" t="s">
        <v>129</v>
      </c>
      <c r="U196" s="17"/>
      <c r="V196" s="14"/>
      <c r="W196" s="14"/>
      <c r="X196" s="18"/>
      <c r="Y196" s="18"/>
      <c r="Z196" s="18"/>
      <c r="AA196" s="19">
        <f t="shared" si="1"/>
        <v>6</v>
      </c>
      <c r="AB196" s="19" t="str">
        <f t="shared" si="2"/>
        <v/>
      </c>
    </row>
    <row r="197" ht="15.75" customHeight="1">
      <c r="A197" s="12">
        <v>45093.0</v>
      </c>
      <c r="B197" s="14" t="s">
        <v>84</v>
      </c>
      <c r="C197" s="13" t="s">
        <v>1003</v>
      </c>
      <c r="D197" s="14" t="s">
        <v>1004</v>
      </c>
      <c r="E197" s="13">
        <v>10.0</v>
      </c>
      <c r="F197" s="14"/>
      <c r="G197" s="14"/>
      <c r="H197" s="15" t="s">
        <v>1005</v>
      </c>
      <c r="I197" s="14"/>
      <c r="J197" s="14"/>
      <c r="K197" s="14"/>
      <c r="L197" s="14" t="s">
        <v>48</v>
      </c>
      <c r="M197" s="14" t="s">
        <v>34</v>
      </c>
      <c r="N197" s="14" t="b">
        <v>1</v>
      </c>
      <c r="O197" s="13" t="s">
        <v>1006</v>
      </c>
      <c r="P197" s="13" t="s">
        <v>69</v>
      </c>
      <c r="Q197" s="14"/>
      <c r="R197" s="14"/>
      <c r="S197" s="14" t="s">
        <v>1007</v>
      </c>
      <c r="T197" s="14" t="s">
        <v>36</v>
      </c>
      <c r="U197" s="22"/>
      <c r="V197" s="14"/>
      <c r="W197" s="14"/>
      <c r="X197" s="18"/>
      <c r="Y197" s="18"/>
      <c r="Z197" s="18"/>
      <c r="AA197" s="19">
        <f t="shared" si="1"/>
        <v>6</v>
      </c>
      <c r="AB197" s="19" t="str">
        <f t="shared" si="2"/>
        <v/>
      </c>
    </row>
    <row r="198" ht="15.75" customHeight="1">
      <c r="A198" s="12">
        <v>45093.0</v>
      </c>
      <c r="B198" s="14" t="s">
        <v>84</v>
      </c>
      <c r="C198" s="13" t="s">
        <v>1008</v>
      </c>
      <c r="D198" s="14"/>
      <c r="E198" s="13">
        <v>7.0</v>
      </c>
      <c r="F198" s="14"/>
      <c r="G198" s="14"/>
      <c r="H198" s="15" t="s">
        <v>1009</v>
      </c>
      <c r="I198" s="14"/>
      <c r="J198" s="14"/>
      <c r="K198" s="14"/>
      <c r="L198" s="14" t="s">
        <v>111</v>
      </c>
      <c r="M198" s="14" t="s">
        <v>34</v>
      </c>
      <c r="N198" s="14" t="b">
        <v>0</v>
      </c>
      <c r="O198" s="14"/>
      <c r="P198" s="14"/>
      <c r="Q198" s="14"/>
      <c r="R198" s="14"/>
      <c r="S198" s="13" t="s">
        <v>1010</v>
      </c>
      <c r="T198" s="14" t="s">
        <v>36</v>
      </c>
      <c r="U198" s="17"/>
      <c r="V198" s="14"/>
      <c r="W198" s="14"/>
      <c r="X198" s="18"/>
      <c r="Y198" s="18"/>
      <c r="Z198" s="18"/>
      <c r="AA198" s="19">
        <f t="shared" si="1"/>
        <v>6</v>
      </c>
      <c r="AB198" s="19" t="str">
        <f t="shared" si="2"/>
        <v/>
      </c>
    </row>
    <row r="199" ht="15.75" customHeight="1">
      <c r="A199" s="12">
        <v>45093.0</v>
      </c>
      <c r="B199" s="13" t="s">
        <v>28</v>
      </c>
      <c r="C199" s="13" t="s">
        <v>1011</v>
      </c>
      <c r="D199" s="13" t="s">
        <v>1012</v>
      </c>
      <c r="E199" s="13">
        <v>10.0</v>
      </c>
      <c r="F199" s="14"/>
      <c r="G199" s="14"/>
      <c r="H199" s="15" t="s">
        <v>1013</v>
      </c>
      <c r="I199" s="14"/>
      <c r="J199" s="14"/>
      <c r="K199" s="14" t="s">
        <v>1014</v>
      </c>
      <c r="L199" s="14" t="s">
        <v>111</v>
      </c>
      <c r="M199" s="14" t="s">
        <v>34</v>
      </c>
      <c r="N199" s="14" t="b">
        <v>1</v>
      </c>
      <c r="O199" s="13" t="s">
        <v>1015</v>
      </c>
      <c r="P199" s="13" t="s">
        <v>69</v>
      </c>
      <c r="Q199" s="14"/>
      <c r="R199" s="14"/>
      <c r="S199" s="14" t="s">
        <v>1016</v>
      </c>
      <c r="T199" s="14" t="s">
        <v>36</v>
      </c>
      <c r="U199" s="17"/>
      <c r="V199" s="14"/>
      <c r="W199" s="14"/>
      <c r="X199" s="18"/>
      <c r="Y199" s="18"/>
      <c r="Z199" s="18"/>
      <c r="AA199" s="19">
        <f t="shared" si="1"/>
        <v>6</v>
      </c>
      <c r="AB199" s="19" t="str">
        <f t="shared" si="2"/>
        <v/>
      </c>
    </row>
    <row r="200" ht="15.75" customHeight="1">
      <c r="A200" s="12">
        <v>45093.0</v>
      </c>
      <c r="B200" s="13" t="s">
        <v>28</v>
      </c>
      <c r="C200" s="14" t="s">
        <v>1017</v>
      </c>
      <c r="D200" s="13" t="s">
        <v>1018</v>
      </c>
      <c r="E200" s="13">
        <v>12.0</v>
      </c>
      <c r="F200" s="14"/>
      <c r="G200" s="14"/>
      <c r="H200" s="15" t="s">
        <v>1019</v>
      </c>
      <c r="I200" s="14"/>
      <c r="J200" s="14"/>
      <c r="K200" s="14"/>
      <c r="L200" s="14" t="s">
        <v>111</v>
      </c>
      <c r="M200" s="14" t="s">
        <v>34</v>
      </c>
      <c r="N200" s="14" t="b">
        <v>0</v>
      </c>
      <c r="O200" s="14"/>
      <c r="P200" s="14"/>
      <c r="Q200" s="14"/>
      <c r="R200" s="14"/>
      <c r="S200" s="14" t="s">
        <v>1020</v>
      </c>
      <c r="T200" s="14" t="s">
        <v>36</v>
      </c>
      <c r="U200" s="17"/>
      <c r="V200" s="32">
        <v>45099.0</v>
      </c>
      <c r="W200" s="24" t="s">
        <v>130</v>
      </c>
      <c r="X200" s="25">
        <v>6124000.0</v>
      </c>
      <c r="Y200" s="25">
        <v>918600.0</v>
      </c>
      <c r="Z200" s="25">
        <v>5205400.0</v>
      </c>
      <c r="AA200" s="19">
        <f t="shared" si="1"/>
        <v>6</v>
      </c>
      <c r="AB200" s="19" t="str">
        <f t="shared" si="2"/>
        <v/>
      </c>
    </row>
    <row r="201" ht="15.75" customHeight="1">
      <c r="A201" s="26">
        <v>45093.0</v>
      </c>
      <c r="B201" s="13" t="s">
        <v>28</v>
      </c>
      <c r="C201" s="27" t="s">
        <v>1021</v>
      </c>
      <c r="D201" s="27" t="s">
        <v>1022</v>
      </c>
      <c r="E201" s="24">
        <v>5.0</v>
      </c>
      <c r="F201" s="27"/>
      <c r="G201" s="27"/>
      <c r="H201" s="34" t="s">
        <v>1023</v>
      </c>
      <c r="I201" s="27"/>
      <c r="J201" s="27"/>
      <c r="K201" s="27" t="s">
        <v>1024</v>
      </c>
      <c r="L201" s="27" t="s">
        <v>111</v>
      </c>
      <c r="M201" s="27" t="s">
        <v>67</v>
      </c>
      <c r="N201" s="14" t="b">
        <v>1</v>
      </c>
      <c r="O201" s="24" t="s">
        <v>1025</v>
      </c>
      <c r="P201" s="13" t="s">
        <v>69</v>
      </c>
      <c r="Q201" s="24" t="s">
        <v>91</v>
      </c>
      <c r="R201" s="27"/>
      <c r="S201" s="24" t="s">
        <v>1026</v>
      </c>
      <c r="T201" s="24" t="s">
        <v>72</v>
      </c>
      <c r="U201" s="26"/>
      <c r="V201" s="14"/>
      <c r="W201" s="14"/>
      <c r="X201" s="18"/>
      <c r="Y201" s="18"/>
      <c r="Z201" s="18"/>
      <c r="AA201" s="19">
        <f t="shared" si="1"/>
        <v>6</v>
      </c>
      <c r="AB201" s="19">
        <f t="shared" si="2"/>
        <v>6</v>
      </c>
    </row>
    <row r="202" ht="15.75" customHeight="1">
      <c r="A202" s="12">
        <v>45094.0</v>
      </c>
      <c r="B202" s="14" t="s">
        <v>84</v>
      </c>
      <c r="C202" s="13" t="s">
        <v>1027</v>
      </c>
      <c r="D202" s="14" t="s">
        <v>1028</v>
      </c>
      <c r="E202" s="13">
        <v>6.0</v>
      </c>
      <c r="F202" s="14"/>
      <c r="G202" s="14"/>
      <c r="H202" s="15" t="s">
        <v>1029</v>
      </c>
      <c r="I202" s="14"/>
      <c r="J202" s="14"/>
      <c r="K202" s="14"/>
      <c r="L202" s="14" t="s">
        <v>111</v>
      </c>
      <c r="M202" s="14" t="s">
        <v>13</v>
      </c>
      <c r="N202" s="14" t="b">
        <v>1</v>
      </c>
      <c r="O202" s="100" t="s">
        <v>1030</v>
      </c>
      <c r="P202" s="13" t="s">
        <v>69</v>
      </c>
      <c r="Q202" s="14"/>
      <c r="R202" s="14"/>
      <c r="S202" s="14" t="s">
        <v>1031</v>
      </c>
      <c r="T202" s="14" t="s">
        <v>36</v>
      </c>
      <c r="U202" s="17"/>
      <c r="V202" s="14"/>
      <c r="W202" s="14"/>
      <c r="X202" s="18"/>
      <c r="Y202" s="18"/>
      <c r="Z202" s="18"/>
      <c r="AA202" s="19">
        <f t="shared" si="1"/>
        <v>6</v>
      </c>
      <c r="AB202" s="19" t="str">
        <f t="shared" si="2"/>
        <v/>
      </c>
    </row>
    <row r="203" ht="15.75" customHeight="1">
      <c r="A203" s="12">
        <v>45094.0</v>
      </c>
      <c r="B203" s="14" t="s">
        <v>84</v>
      </c>
      <c r="C203" s="13" t="s">
        <v>1032</v>
      </c>
      <c r="D203" s="13" t="s">
        <v>1033</v>
      </c>
      <c r="E203" s="13">
        <v>9.0</v>
      </c>
      <c r="F203" s="14"/>
      <c r="G203" s="14"/>
      <c r="H203" s="15" t="s">
        <v>1034</v>
      </c>
      <c r="I203" s="14"/>
      <c r="J203" s="14"/>
      <c r="K203" s="14"/>
      <c r="L203" s="14" t="s">
        <v>111</v>
      </c>
      <c r="M203" s="14" t="s">
        <v>34</v>
      </c>
      <c r="N203" s="14" t="b">
        <v>0</v>
      </c>
      <c r="O203" s="14"/>
      <c r="P203" s="14"/>
      <c r="Q203" s="14"/>
      <c r="R203" s="14"/>
      <c r="S203" s="14" t="s">
        <v>1035</v>
      </c>
      <c r="T203" s="14" t="s">
        <v>36</v>
      </c>
      <c r="U203" s="17"/>
      <c r="V203" s="32">
        <v>45098.0</v>
      </c>
      <c r="W203" s="24" t="s">
        <v>575</v>
      </c>
      <c r="X203" s="25">
        <v>3062000.0</v>
      </c>
      <c r="Y203" s="25">
        <v>153100.0</v>
      </c>
      <c r="Z203" s="25">
        <v>2908900.0</v>
      </c>
      <c r="AA203" s="19">
        <f t="shared" si="1"/>
        <v>6</v>
      </c>
      <c r="AB203" s="19" t="str">
        <f t="shared" si="2"/>
        <v/>
      </c>
    </row>
    <row r="204" ht="15.75" customHeight="1">
      <c r="A204" s="26">
        <v>45094.0</v>
      </c>
      <c r="B204" s="27" t="s">
        <v>84</v>
      </c>
      <c r="C204" s="27" t="s">
        <v>1036</v>
      </c>
      <c r="D204" s="27" t="s">
        <v>1037</v>
      </c>
      <c r="E204" s="24">
        <v>7.0</v>
      </c>
      <c r="F204" s="27">
        <v>2.0</v>
      </c>
      <c r="G204" s="27"/>
      <c r="H204" s="34" t="s">
        <v>1038</v>
      </c>
      <c r="I204" s="27"/>
      <c r="J204" s="27"/>
      <c r="K204" s="27"/>
      <c r="L204" s="27" t="s">
        <v>111</v>
      </c>
      <c r="M204" s="27" t="s">
        <v>67</v>
      </c>
      <c r="N204" s="14" t="b">
        <v>1</v>
      </c>
      <c r="O204" s="125" t="s">
        <v>1039</v>
      </c>
      <c r="P204" s="13" t="s">
        <v>69</v>
      </c>
      <c r="Q204" s="24" t="s">
        <v>91</v>
      </c>
      <c r="R204" s="27"/>
      <c r="S204" s="27" t="s">
        <v>1040</v>
      </c>
      <c r="T204" s="24" t="s">
        <v>72</v>
      </c>
      <c r="U204" s="26"/>
      <c r="V204" s="14"/>
      <c r="W204" s="14"/>
      <c r="X204" s="18"/>
      <c r="Y204" s="18"/>
      <c r="Z204" s="18"/>
      <c r="AA204" s="19">
        <f t="shared" si="1"/>
        <v>6</v>
      </c>
      <c r="AB204" s="19">
        <f t="shared" si="2"/>
        <v>6</v>
      </c>
    </row>
    <row r="205" ht="15.75" customHeight="1">
      <c r="A205" s="12">
        <v>45094.0</v>
      </c>
      <c r="B205" s="13" t="s">
        <v>28</v>
      </c>
      <c r="C205" s="14" t="s">
        <v>1041</v>
      </c>
      <c r="D205" s="13" t="s">
        <v>1042</v>
      </c>
      <c r="E205" s="13">
        <v>12.0</v>
      </c>
      <c r="F205" s="14"/>
      <c r="G205" s="14"/>
      <c r="H205" s="15" t="s">
        <v>1043</v>
      </c>
      <c r="I205" s="14"/>
      <c r="J205" s="14"/>
      <c r="K205" s="14"/>
      <c r="L205" s="14" t="s">
        <v>111</v>
      </c>
      <c r="M205" s="14" t="s">
        <v>34</v>
      </c>
      <c r="N205" s="14" t="b">
        <v>1</v>
      </c>
      <c r="O205" s="35" t="s">
        <v>1044</v>
      </c>
      <c r="P205" s="13" t="s">
        <v>69</v>
      </c>
      <c r="Q205" s="14"/>
      <c r="R205" s="14"/>
      <c r="S205" s="14" t="s">
        <v>1045</v>
      </c>
      <c r="T205" s="14" t="s">
        <v>36</v>
      </c>
      <c r="U205" s="41"/>
      <c r="V205" s="14"/>
      <c r="W205" s="14"/>
      <c r="X205" s="18"/>
      <c r="Y205" s="18"/>
      <c r="Z205" s="18"/>
      <c r="AA205" s="19">
        <f t="shared" si="1"/>
        <v>6</v>
      </c>
      <c r="AB205" s="19" t="str">
        <f t="shared" si="2"/>
        <v/>
      </c>
    </row>
    <row r="206" ht="15.75" customHeight="1">
      <c r="A206" s="12">
        <v>45094.0</v>
      </c>
      <c r="B206" s="13" t="s">
        <v>28</v>
      </c>
      <c r="C206" s="14" t="s">
        <v>1046</v>
      </c>
      <c r="D206" s="14"/>
      <c r="E206" s="13">
        <v>7.0</v>
      </c>
      <c r="F206" s="14"/>
      <c r="G206" s="14"/>
      <c r="H206" s="15" t="s">
        <v>1047</v>
      </c>
      <c r="I206" s="14"/>
      <c r="J206" s="14"/>
      <c r="K206" s="14" t="s">
        <v>1048</v>
      </c>
      <c r="L206" s="14" t="s">
        <v>111</v>
      </c>
      <c r="M206" s="14" t="s">
        <v>1049</v>
      </c>
      <c r="N206" s="14" t="b">
        <v>0</v>
      </c>
      <c r="O206" s="14"/>
      <c r="P206" s="14"/>
      <c r="Q206" s="14"/>
      <c r="R206" s="14"/>
      <c r="S206" s="13" t="s">
        <v>1050</v>
      </c>
      <c r="T206" s="13" t="s">
        <v>129</v>
      </c>
      <c r="U206" s="17">
        <v>45110.0</v>
      </c>
      <c r="V206" s="14"/>
      <c r="W206" s="14"/>
      <c r="X206" s="18"/>
      <c r="Y206" s="18"/>
      <c r="Z206" s="18"/>
      <c r="AA206" s="19">
        <f t="shared" si="1"/>
        <v>6</v>
      </c>
      <c r="AB206" s="19" t="str">
        <f t="shared" si="2"/>
        <v/>
      </c>
    </row>
    <row r="207" ht="15.75" customHeight="1">
      <c r="A207" s="12">
        <v>45094.0</v>
      </c>
      <c r="B207" s="14" t="s">
        <v>60</v>
      </c>
      <c r="C207" s="14" t="s">
        <v>1051</v>
      </c>
      <c r="D207" s="14" t="s">
        <v>85</v>
      </c>
      <c r="E207" s="14"/>
      <c r="F207" s="14"/>
      <c r="G207" s="14"/>
      <c r="H207" s="15" t="s">
        <v>1052</v>
      </c>
      <c r="I207" s="14"/>
      <c r="J207" s="14"/>
      <c r="K207" s="14"/>
      <c r="L207" s="14" t="s">
        <v>48</v>
      </c>
      <c r="M207" s="14" t="s">
        <v>158</v>
      </c>
      <c r="N207" s="14" t="b">
        <v>0</v>
      </c>
      <c r="O207" s="14"/>
      <c r="P207" s="14"/>
      <c r="Q207" s="14"/>
      <c r="R207" s="14"/>
      <c r="S207" s="14" t="s">
        <v>1053</v>
      </c>
      <c r="T207" s="13" t="s">
        <v>129</v>
      </c>
      <c r="U207" s="41"/>
      <c r="V207" s="126">
        <v>45097.0</v>
      </c>
      <c r="W207" s="24" t="s">
        <v>311</v>
      </c>
      <c r="X207" s="80"/>
      <c r="Y207" s="80"/>
      <c r="Z207" s="18">
        <v>5021680.0</v>
      </c>
      <c r="AA207" s="19">
        <f t="shared" si="1"/>
        <v>6</v>
      </c>
      <c r="AB207" s="19" t="str">
        <f t="shared" si="2"/>
        <v/>
      </c>
    </row>
    <row r="208" ht="15.75" customHeight="1">
      <c r="A208" s="81">
        <v>45094.0</v>
      </c>
      <c r="B208" s="33" t="s">
        <v>84</v>
      </c>
      <c r="C208" s="33" t="s">
        <v>1054</v>
      </c>
      <c r="D208" s="33" t="s">
        <v>1055</v>
      </c>
      <c r="E208" s="79">
        <v>7.0</v>
      </c>
      <c r="F208" s="33"/>
      <c r="G208" s="33"/>
      <c r="H208" s="82" t="s">
        <v>1056</v>
      </c>
      <c r="I208" s="33"/>
      <c r="J208" s="33"/>
      <c r="K208" s="33"/>
      <c r="L208" s="33" t="s">
        <v>66</v>
      </c>
      <c r="M208" s="33" t="s">
        <v>67</v>
      </c>
      <c r="N208" s="14" t="b">
        <v>1</v>
      </c>
      <c r="O208" s="33" t="s">
        <v>1057</v>
      </c>
      <c r="P208" s="13" t="s">
        <v>69</v>
      </c>
      <c r="Q208" s="24" t="s">
        <v>91</v>
      </c>
      <c r="R208" s="33"/>
      <c r="S208" s="33" t="s">
        <v>1058</v>
      </c>
      <c r="T208" s="24" t="s">
        <v>72</v>
      </c>
      <c r="U208" s="81"/>
      <c r="V208" s="14"/>
      <c r="W208" s="14"/>
      <c r="X208" s="18"/>
      <c r="Y208" s="18"/>
      <c r="Z208" s="18"/>
      <c r="AA208" s="19">
        <f t="shared" si="1"/>
        <v>6</v>
      </c>
      <c r="AB208" s="19">
        <f t="shared" si="2"/>
        <v>6</v>
      </c>
    </row>
    <row r="209" ht="15.75" customHeight="1">
      <c r="A209" s="12">
        <v>45094.0</v>
      </c>
      <c r="B209" s="13" t="s">
        <v>28</v>
      </c>
      <c r="C209" s="14" t="s">
        <v>1059</v>
      </c>
      <c r="D209" s="14" t="s">
        <v>1060</v>
      </c>
      <c r="E209" s="13">
        <v>6.0</v>
      </c>
      <c r="F209" s="14"/>
      <c r="G209" s="14"/>
      <c r="H209" s="15" t="s">
        <v>1061</v>
      </c>
      <c r="I209" s="14"/>
      <c r="J209" s="14"/>
      <c r="K209" s="14" t="s">
        <v>1062</v>
      </c>
      <c r="L209" s="14" t="s">
        <v>111</v>
      </c>
      <c r="M209" s="14" t="s">
        <v>34</v>
      </c>
      <c r="N209" s="14" t="b">
        <v>0</v>
      </c>
      <c r="O209" s="14"/>
      <c r="P209" s="14"/>
      <c r="Q209" s="14"/>
      <c r="R209" s="14"/>
      <c r="S209" s="14" t="s">
        <v>1063</v>
      </c>
      <c r="T209" s="13" t="s">
        <v>129</v>
      </c>
      <c r="U209" s="17"/>
      <c r="V209" s="14"/>
      <c r="W209" s="14"/>
      <c r="X209" s="18"/>
      <c r="Y209" s="18"/>
      <c r="Z209" s="18"/>
      <c r="AA209" s="19">
        <f t="shared" si="1"/>
        <v>6</v>
      </c>
      <c r="AB209" s="19" t="str">
        <f t="shared" si="2"/>
        <v/>
      </c>
    </row>
    <row r="210" ht="15.75" customHeight="1">
      <c r="A210" s="12">
        <v>45095.0</v>
      </c>
      <c r="B210" s="13" t="s">
        <v>28</v>
      </c>
      <c r="C210" s="15" t="s">
        <v>1064</v>
      </c>
      <c r="D210" s="15" t="s">
        <v>1065</v>
      </c>
      <c r="E210" s="15"/>
      <c r="F210" s="15" t="s">
        <v>176</v>
      </c>
      <c r="G210" s="15"/>
      <c r="H210" s="42" t="s">
        <v>1066</v>
      </c>
      <c r="I210" s="14"/>
      <c r="J210" s="14"/>
      <c r="K210" s="13" t="s">
        <v>1067</v>
      </c>
      <c r="L210" s="14" t="s">
        <v>111</v>
      </c>
      <c r="M210" s="14" t="s">
        <v>13</v>
      </c>
      <c r="N210" s="14" t="b">
        <v>1</v>
      </c>
      <c r="O210" s="13" t="s">
        <v>1068</v>
      </c>
      <c r="P210" s="13" t="s">
        <v>69</v>
      </c>
      <c r="Q210" s="14"/>
      <c r="R210" s="14"/>
      <c r="S210" s="13" t="s">
        <v>1069</v>
      </c>
      <c r="T210" s="13" t="s">
        <v>129</v>
      </c>
      <c r="U210" s="17">
        <v>45120.0</v>
      </c>
      <c r="V210" s="14"/>
      <c r="W210" s="14"/>
      <c r="X210" s="18"/>
      <c r="Y210" s="18"/>
      <c r="Z210" s="18"/>
      <c r="AA210" s="19">
        <f t="shared" si="1"/>
        <v>6</v>
      </c>
      <c r="AB210" s="19" t="str">
        <f t="shared" si="2"/>
        <v/>
      </c>
    </row>
    <row r="211" ht="15.75" customHeight="1">
      <c r="A211" s="12">
        <v>45095.0</v>
      </c>
      <c r="B211" s="13" t="s">
        <v>28</v>
      </c>
      <c r="C211" s="15" t="s">
        <v>1070</v>
      </c>
      <c r="D211" s="15" t="s">
        <v>1071</v>
      </c>
      <c r="E211" s="56" t="s">
        <v>1072</v>
      </c>
      <c r="F211" s="15" t="s">
        <v>1073</v>
      </c>
      <c r="G211" s="15"/>
      <c r="H211" s="42" t="s">
        <v>1074</v>
      </c>
      <c r="I211" s="14"/>
      <c r="J211" s="14"/>
      <c r="K211" s="13" t="s">
        <v>1075</v>
      </c>
      <c r="L211" s="14" t="s">
        <v>111</v>
      </c>
      <c r="M211" s="14" t="s">
        <v>565</v>
      </c>
      <c r="N211" s="14" t="b">
        <v>0</v>
      </c>
      <c r="O211" s="14"/>
      <c r="P211" s="14"/>
      <c r="Q211" s="14"/>
      <c r="R211" s="14"/>
      <c r="S211" s="14" t="s">
        <v>1076</v>
      </c>
      <c r="T211" s="13" t="s">
        <v>129</v>
      </c>
      <c r="U211" s="17">
        <v>45110.0</v>
      </c>
      <c r="V211" s="14"/>
      <c r="W211" s="14"/>
      <c r="X211" s="18"/>
      <c r="Y211" s="18"/>
      <c r="Z211" s="18"/>
      <c r="AA211" s="19">
        <f t="shared" si="1"/>
        <v>6</v>
      </c>
      <c r="AB211" s="19" t="str">
        <f t="shared" si="2"/>
        <v/>
      </c>
    </row>
    <row r="212" ht="15.75" customHeight="1">
      <c r="A212" s="12">
        <v>45095.0</v>
      </c>
      <c r="B212" s="13" t="s">
        <v>28</v>
      </c>
      <c r="C212" s="14"/>
      <c r="D212" s="14" t="s">
        <v>1077</v>
      </c>
      <c r="E212" s="14"/>
      <c r="F212" s="14"/>
      <c r="G212" s="14"/>
      <c r="H212" s="15" t="s">
        <v>1078</v>
      </c>
      <c r="I212" s="14"/>
      <c r="J212" s="14"/>
      <c r="K212" s="14"/>
      <c r="L212" s="14" t="s">
        <v>111</v>
      </c>
      <c r="M212" s="14" t="s">
        <v>216</v>
      </c>
      <c r="N212" s="14" t="b">
        <v>0</v>
      </c>
      <c r="O212" s="14"/>
      <c r="P212" s="14"/>
      <c r="Q212" s="14"/>
      <c r="R212" s="14"/>
      <c r="S212" s="14" t="s">
        <v>1079</v>
      </c>
      <c r="T212" s="13" t="s">
        <v>129</v>
      </c>
      <c r="U212" s="17">
        <v>45103.0</v>
      </c>
      <c r="V212" s="14"/>
      <c r="W212" s="14"/>
      <c r="X212" s="18"/>
      <c r="Y212" s="18"/>
      <c r="Z212" s="18"/>
      <c r="AA212" s="19">
        <f t="shared" si="1"/>
        <v>6</v>
      </c>
      <c r="AB212" s="19" t="str">
        <f t="shared" si="2"/>
        <v/>
      </c>
    </row>
    <row r="213" ht="15.75" customHeight="1">
      <c r="A213" s="12">
        <v>45095.0</v>
      </c>
      <c r="B213" s="14" t="s">
        <v>84</v>
      </c>
      <c r="C213" s="13" t="s">
        <v>1080</v>
      </c>
      <c r="D213" s="14" t="s">
        <v>1081</v>
      </c>
      <c r="E213" s="13">
        <v>5.0</v>
      </c>
      <c r="F213" s="14"/>
      <c r="G213" s="14"/>
      <c r="H213" s="15" t="s">
        <v>1082</v>
      </c>
      <c r="I213" s="14"/>
      <c r="J213" s="14"/>
      <c r="K213" s="14" t="s">
        <v>1083</v>
      </c>
      <c r="L213" s="14" t="s">
        <v>111</v>
      </c>
      <c r="M213" s="14" t="s">
        <v>34</v>
      </c>
      <c r="N213" s="14" t="b">
        <v>1</v>
      </c>
      <c r="O213" s="13" t="s">
        <v>1084</v>
      </c>
      <c r="P213" s="13" t="s">
        <v>69</v>
      </c>
      <c r="Q213" s="14"/>
      <c r="R213" s="14"/>
      <c r="S213" s="13" t="s">
        <v>1085</v>
      </c>
      <c r="T213" s="14" t="s">
        <v>36</v>
      </c>
      <c r="U213" s="17"/>
      <c r="V213" s="14"/>
      <c r="W213" s="14"/>
      <c r="X213" s="18"/>
      <c r="Y213" s="18"/>
      <c r="Z213" s="18"/>
      <c r="AA213" s="19">
        <f t="shared" si="1"/>
        <v>6</v>
      </c>
      <c r="AB213" s="19" t="str">
        <f t="shared" si="2"/>
        <v/>
      </c>
    </row>
    <row r="214" ht="15.75" customHeight="1">
      <c r="A214" s="12">
        <v>45096.0</v>
      </c>
      <c r="B214" s="13" t="s">
        <v>28</v>
      </c>
      <c r="C214" s="14" t="s">
        <v>1086</v>
      </c>
      <c r="D214" s="14" t="s">
        <v>1087</v>
      </c>
      <c r="E214" s="13">
        <v>7.0</v>
      </c>
      <c r="F214" s="14"/>
      <c r="G214" s="14"/>
      <c r="H214" s="15" t="s">
        <v>1088</v>
      </c>
      <c r="I214" s="14"/>
      <c r="J214" s="14">
        <v>9.88434904E8</v>
      </c>
      <c r="K214" s="14" t="s">
        <v>1089</v>
      </c>
      <c r="L214" s="14" t="s">
        <v>111</v>
      </c>
      <c r="M214" s="14" t="s">
        <v>34</v>
      </c>
      <c r="N214" s="14" t="b">
        <v>0</v>
      </c>
      <c r="O214" s="14"/>
      <c r="P214" s="14"/>
      <c r="Q214" s="14"/>
      <c r="R214" s="14"/>
      <c r="S214" s="14" t="s">
        <v>1090</v>
      </c>
      <c r="T214" s="14" t="s">
        <v>36</v>
      </c>
      <c r="U214" s="17"/>
      <c r="V214" s="32">
        <v>45099.0</v>
      </c>
      <c r="W214" s="24" t="s">
        <v>130</v>
      </c>
      <c r="X214" s="25">
        <v>8750000.0</v>
      </c>
      <c r="Y214" s="25">
        <v>1312500.0</v>
      </c>
      <c r="Z214" s="25">
        <v>7437500.0</v>
      </c>
      <c r="AA214" s="19">
        <f t="shared" si="1"/>
        <v>6</v>
      </c>
      <c r="AB214" s="19" t="str">
        <f t="shared" si="2"/>
        <v/>
      </c>
    </row>
    <row r="215" ht="15.75" customHeight="1">
      <c r="A215" s="26">
        <v>45096.0</v>
      </c>
      <c r="B215" s="13" t="s">
        <v>28</v>
      </c>
      <c r="C215" s="27" t="s">
        <v>1091</v>
      </c>
      <c r="D215" s="27" t="s">
        <v>1092</v>
      </c>
      <c r="E215" s="24">
        <v>12.0</v>
      </c>
      <c r="F215" s="27">
        <v>6.0</v>
      </c>
      <c r="G215" s="27"/>
      <c r="H215" s="34" t="s">
        <v>1093</v>
      </c>
      <c r="I215" s="27"/>
      <c r="J215" s="27"/>
      <c r="K215" s="127" t="s">
        <v>1094</v>
      </c>
      <c r="L215" s="27" t="s">
        <v>111</v>
      </c>
      <c r="M215" s="27" t="s">
        <v>67</v>
      </c>
      <c r="N215" s="14" t="b">
        <v>1</v>
      </c>
      <c r="O215" s="24" t="s">
        <v>1095</v>
      </c>
      <c r="P215" s="13" t="s">
        <v>69</v>
      </c>
      <c r="Q215" s="24" t="s">
        <v>91</v>
      </c>
      <c r="R215" s="27"/>
      <c r="S215" s="27" t="s">
        <v>1096</v>
      </c>
      <c r="T215" s="24" t="s">
        <v>72</v>
      </c>
      <c r="U215" s="26"/>
      <c r="V215" s="14"/>
      <c r="W215" s="14"/>
      <c r="X215" s="18"/>
      <c r="Y215" s="18"/>
      <c r="Z215" s="18"/>
      <c r="AA215" s="19">
        <f t="shared" si="1"/>
        <v>6</v>
      </c>
      <c r="AB215" s="19">
        <f t="shared" si="2"/>
        <v>6</v>
      </c>
    </row>
    <row r="216" ht="15.75" customHeight="1">
      <c r="A216" s="12">
        <v>45096.0</v>
      </c>
      <c r="B216" s="14" t="s">
        <v>201</v>
      </c>
      <c r="C216" s="13" t="s">
        <v>1097</v>
      </c>
      <c r="D216" s="14"/>
      <c r="E216" s="14"/>
      <c r="F216" s="14"/>
      <c r="G216" s="14"/>
      <c r="H216" s="15" t="s">
        <v>1098</v>
      </c>
      <c r="I216" s="14"/>
      <c r="J216" s="14"/>
      <c r="K216" s="13" t="s">
        <v>1099</v>
      </c>
      <c r="L216" s="14" t="s">
        <v>111</v>
      </c>
      <c r="M216" s="14" t="s">
        <v>565</v>
      </c>
      <c r="N216" s="14" t="b">
        <v>0</v>
      </c>
      <c r="O216" s="14"/>
      <c r="P216" s="14"/>
      <c r="Q216" s="14"/>
      <c r="R216" s="14"/>
      <c r="S216" s="14" t="s">
        <v>1100</v>
      </c>
      <c r="T216" s="13" t="s">
        <v>129</v>
      </c>
      <c r="U216" s="17">
        <v>45110.0</v>
      </c>
      <c r="V216" s="32">
        <v>45099.0</v>
      </c>
      <c r="W216" s="24" t="s">
        <v>575</v>
      </c>
      <c r="X216" s="25">
        <v>3062000.0</v>
      </c>
      <c r="Y216" s="25">
        <v>153100.0</v>
      </c>
      <c r="Z216" s="25">
        <v>2908900.0</v>
      </c>
      <c r="AA216" s="19">
        <f t="shared" si="1"/>
        <v>6</v>
      </c>
      <c r="AB216" s="19" t="str">
        <f t="shared" si="2"/>
        <v/>
      </c>
    </row>
    <row r="217" ht="15.75" customHeight="1">
      <c r="A217" s="26">
        <v>45096.0</v>
      </c>
      <c r="B217" s="27" t="s">
        <v>201</v>
      </c>
      <c r="C217" s="27" t="s">
        <v>1101</v>
      </c>
      <c r="D217" s="27" t="s">
        <v>1102</v>
      </c>
      <c r="E217" s="24">
        <v>8.0</v>
      </c>
      <c r="F217" s="27">
        <v>3.0</v>
      </c>
      <c r="G217" s="27"/>
      <c r="H217" s="34" t="s">
        <v>1103</v>
      </c>
      <c r="I217" s="27"/>
      <c r="J217" s="27"/>
      <c r="K217" s="27" t="s">
        <v>1104</v>
      </c>
      <c r="L217" s="27" t="s">
        <v>111</v>
      </c>
      <c r="M217" s="27" t="s">
        <v>67</v>
      </c>
      <c r="N217" s="14" t="b">
        <v>1</v>
      </c>
      <c r="O217" s="24" t="s">
        <v>1105</v>
      </c>
      <c r="P217" s="13" t="s">
        <v>69</v>
      </c>
      <c r="Q217" s="24" t="s">
        <v>91</v>
      </c>
      <c r="R217" s="27"/>
      <c r="S217" s="27" t="s">
        <v>1106</v>
      </c>
      <c r="T217" s="24" t="s">
        <v>72</v>
      </c>
      <c r="U217" s="26"/>
      <c r="V217" s="32">
        <v>45112.0</v>
      </c>
      <c r="W217" s="24" t="s">
        <v>575</v>
      </c>
      <c r="X217" s="25">
        <v>3062000.0</v>
      </c>
      <c r="Y217" s="25">
        <v>765500.0</v>
      </c>
      <c r="Z217" s="25">
        <v>2296500.0</v>
      </c>
      <c r="AA217" s="19">
        <f t="shared" si="1"/>
        <v>6</v>
      </c>
      <c r="AB217" s="19">
        <f t="shared" si="2"/>
        <v>6</v>
      </c>
    </row>
    <row r="218" ht="15.75" customHeight="1">
      <c r="A218" s="26"/>
      <c r="B218" s="27" t="s">
        <v>201</v>
      </c>
      <c r="C218" s="27" t="s">
        <v>1101</v>
      </c>
      <c r="D218" s="27" t="s">
        <v>1102</v>
      </c>
      <c r="E218" s="24">
        <v>8.0</v>
      </c>
      <c r="F218" s="27">
        <v>3.0</v>
      </c>
      <c r="G218" s="27"/>
      <c r="H218" s="34" t="s">
        <v>1103</v>
      </c>
      <c r="I218" s="27"/>
      <c r="J218" s="27"/>
      <c r="K218" s="27" t="s">
        <v>1104</v>
      </c>
      <c r="L218" s="27" t="s">
        <v>111</v>
      </c>
      <c r="M218" s="27" t="s">
        <v>67</v>
      </c>
      <c r="N218" s="14" t="b">
        <v>1</v>
      </c>
      <c r="O218" s="24" t="s">
        <v>1105</v>
      </c>
      <c r="P218" s="13" t="s">
        <v>69</v>
      </c>
      <c r="Q218" s="24" t="s">
        <v>91</v>
      </c>
      <c r="R218" s="27"/>
      <c r="S218" s="27" t="s">
        <v>1106</v>
      </c>
      <c r="T218" s="24" t="s">
        <v>72</v>
      </c>
      <c r="U218" s="26"/>
      <c r="V218" s="14"/>
      <c r="W218" s="14"/>
      <c r="X218" s="18"/>
      <c r="Y218" s="18"/>
      <c r="Z218" s="18"/>
      <c r="AA218" s="19" t="str">
        <f t="shared" si="1"/>
        <v/>
      </c>
      <c r="AB218" s="19">
        <f t="shared" si="2"/>
        <v>7</v>
      </c>
    </row>
    <row r="219" ht="15.75" customHeight="1">
      <c r="A219" s="12">
        <v>45092.0</v>
      </c>
      <c r="B219" s="14" t="s">
        <v>84</v>
      </c>
      <c r="C219" s="14" t="s">
        <v>1107</v>
      </c>
      <c r="D219" s="14" t="s">
        <v>1108</v>
      </c>
      <c r="E219" s="13">
        <v>9.0</v>
      </c>
      <c r="F219" s="14"/>
      <c r="G219" s="14"/>
      <c r="H219" s="15" t="s">
        <v>1109</v>
      </c>
      <c r="I219" s="14"/>
      <c r="J219" s="14"/>
      <c r="K219" s="14" t="s">
        <v>1110</v>
      </c>
      <c r="L219" s="14" t="s">
        <v>111</v>
      </c>
      <c r="M219" s="14" t="s">
        <v>13</v>
      </c>
      <c r="N219" s="14" t="b">
        <v>1</v>
      </c>
      <c r="O219" s="13" t="s">
        <v>1111</v>
      </c>
      <c r="P219" s="13" t="s">
        <v>69</v>
      </c>
      <c r="Q219" s="14"/>
      <c r="R219" s="14"/>
      <c r="S219" s="14" t="s">
        <v>1112</v>
      </c>
      <c r="T219" s="13" t="s">
        <v>129</v>
      </c>
      <c r="U219" s="17">
        <v>45110.0</v>
      </c>
      <c r="V219" s="14"/>
      <c r="W219" s="14"/>
      <c r="X219" s="18"/>
      <c r="Y219" s="18"/>
      <c r="Z219" s="18"/>
      <c r="AA219" s="19">
        <f t="shared" si="1"/>
        <v>6</v>
      </c>
      <c r="AB219" s="19" t="str">
        <f t="shared" si="2"/>
        <v/>
      </c>
    </row>
    <row r="220" ht="15.75" customHeight="1">
      <c r="A220" s="12">
        <v>45089.0</v>
      </c>
      <c r="B220" s="13" t="s">
        <v>28</v>
      </c>
      <c r="C220" s="14" t="s">
        <v>1113</v>
      </c>
      <c r="D220" s="14"/>
      <c r="E220" s="14"/>
      <c r="F220" s="14"/>
      <c r="G220" s="14"/>
      <c r="H220" s="15" t="s">
        <v>1114</v>
      </c>
      <c r="I220" s="14"/>
      <c r="J220" s="14"/>
      <c r="K220" s="128" t="s">
        <v>1115</v>
      </c>
      <c r="L220" s="14" t="s">
        <v>111</v>
      </c>
      <c r="M220" s="14" t="s">
        <v>34</v>
      </c>
      <c r="N220" s="14" t="b">
        <v>0</v>
      </c>
      <c r="O220" s="14"/>
      <c r="P220" s="14"/>
      <c r="Q220" s="14"/>
      <c r="R220" s="14"/>
      <c r="S220" s="14" t="s">
        <v>1116</v>
      </c>
      <c r="T220" s="13" t="s">
        <v>129</v>
      </c>
      <c r="U220" s="17"/>
      <c r="V220" s="14"/>
      <c r="W220" s="14"/>
      <c r="X220" s="18"/>
      <c r="Y220" s="18"/>
      <c r="Z220" s="18"/>
      <c r="AA220" s="19">
        <f t="shared" si="1"/>
        <v>6</v>
      </c>
      <c r="AB220" s="19" t="str">
        <f t="shared" si="2"/>
        <v/>
      </c>
    </row>
    <row r="221" ht="15.75" customHeight="1">
      <c r="A221" s="12">
        <v>45096.0</v>
      </c>
      <c r="B221" s="14" t="s">
        <v>201</v>
      </c>
      <c r="C221" s="13" t="s">
        <v>1117</v>
      </c>
      <c r="D221" s="14" t="s">
        <v>1118</v>
      </c>
      <c r="E221" s="13">
        <v>11.0</v>
      </c>
      <c r="F221" s="14">
        <v>6.0</v>
      </c>
      <c r="G221" s="14"/>
      <c r="H221" s="15" t="s">
        <v>1119</v>
      </c>
      <c r="I221" s="14"/>
      <c r="J221" s="14"/>
      <c r="K221" s="13" t="s">
        <v>1120</v>
      </c>
      <c r="L221" s="14" t="s">
        <v>111</v>
      </c>
      <c r="M221" s="14" t="s">
        <v>13</v>
      </c>
      <c r="N221" s="14" t="b">
        <v>1</v>
      </c>
      <c r="O221" s="13" t="s">
        <v>1121</v>
      </c>
      <c r="P221" s="13" t="s">
        <v>42</v>
      </c>
      <c r="Q221" s="14"/>
      <c r="R221" s="14"/>
      <c r="S221" s="129" t="s">
        <v>1122</v>
      </c>
      <c r="T221" s="13" t="s">
        <v>129</v>
      </c>
      <c r="U221" s="17">
        <v>45127.0</v>
      </c>
      <c r="V221" s="14"/>
      <c r="W221" s="14"/>
      <c r="X221" s="18"/>
      <c r="Y221" s="18"/>
      <c r="Z221" s="18"/>
      <c r="AA221" s="19">
        <f t="shared" si="1"/>
        <v>6</v>
      </c>
      <c r="AB221" s="19" t="str">
        <f t="shared" si="2"/>
        <v/>
      </c>
    </row>
    <row r="222" ht="15.75" customHeight="1">
      <c r="A222" s="12">
        <v>45096.0</v>
      </c>
      <c r="B222" s="14" t="s">
        <v>201</v>
      </c>
      <c r="C222" s="13" t="s">
        <v>1117</v>
      </c>
      <c r="D222" s="62" t="s">
        <v>1123</v>
      </c>
      <c r="E222" s="55">
        <v>7.0</v>
      </c>
      <c r="F222" s="14"/>
      <c r="G222" s="14"/>
      <c r="H222" s="15"/>
      <c r="I222" s="14"/>
      <c r="J222" s="14"/>
      <c r="K222" s="13" t="s">
        <v>1124</v>
      </c>
      <c r="L222" s="14" t="s">
        <v>111</v>
      </c>
      <c r="M222" s="14" t="s">
        <v>13</v>
      </c>
      <c r="N222" s="14" t="b">
        <v>1</v>
      </c>
      <c r="O222" s="14" t="s">
        <v>1125</v>
      </c>
      <c r="P222" s="13" t="s">
        <v>69</v>
      </c>
      <c r="Q222" s="14"/>
      <c r="R222" s="14"/>
      <c r="S222" s="14" t="s">
        <v>1126</v>
      </c>
      <c r="T222" s="13" t="s">
        <v>129</v>
      </c>
      <c r="U222" s="17">
        <v>45127.0</v>
      </c>
      <c r="V222" s="14"/>
      <c r="W222" s="14"/>
      <c r="X222" s="18"/>
      <c r="Y222" s="18"/>
      <c r="Z222" s="18"/>
      <c r="AA222" s="19">
        <f t="shared" si="1"/>
        <v>6</v>
      </c>
      <c r="AB222" s="19" t="str">
        <f t="shared" si="2"/>
        <v/>
      </c>
    </row>
    <row r="223" ht="15.75" customHeight="1">
      <c r="A223" s="12">
        <v>45096.0</v>
      </c>
      <c r="B223" s="14" t="s">
        <v>340</v>
      </c>
      <c r="C223" s="14" t="s">
        <v>1127</v>
      </c>
      <c r="D223" s="14" t="s">
        <v>1128</v>
      </c>
      <c r="E223" s="13">
        <v>11.0</v>
      </c>
      <c r="F223" s="14">
        <v>6.0</v>
      </c>
      <c r="G223" s="14" t="s">
        <v>64</v>
      </c>
      <c r="H223" s="15" t="s">
        <v>1129</v>
      </c>
      <c r="I223" s="14"/>
      <c r="J223" s="14"/>
      <c r="K223" s="14" t="s">
        <v>1130</v>
      </c>
      <c r="L223" s="14" t="s">
        <v>412</v>
      </c>
      <c r="M223" s="14" t="s">
        <v>1131</v>
      </c>
      <c r="N223" s="14" t="b">
        <v>0</v>
      </c>
      <c r="O223" s="14" t="s">
        <v>476</v>
      </c>
      <c r="P223" s="13" t="s">
        <v>69</v>
      </c>
      <c r="Q223" s="14"/>
      <c r="R223" s="14"/>
      <c r="S223" s="14" t="s">
        <v>1132</v>
      </c>
      <c r="T223" s="13" t="s">
        <v>129</v>
      </c>
      <c r="U223" s="17">
        <v>45107.0</v>
      </c>
      <c r="V223" s="14"/>
      <c r="W223" s="14"/>
      <c r="X223" s="18"/>
      <c r="Y223" s="18"/>
      <c r="Z223" s="18"/>
      <c r="AA223" s="19">
        <f t="shared" si="1"/>
        <v>6</v>
      </c>
      <c r="AB223" s="19" t="str">
        <f t="shared" si="2"/>
        <v/>
      </c>
    </row>
    <row r="224" ht="15.75" customHeight="1">
      <c r="A224" s="12">
        <v>45096.0</v>
      </c>
      <c r="B224" s="14" t="s">
        <v>84</v>
      </c>
      <c r="C224" s="13" t="s">
        <v>1133</v>
      </c>
      <c r="D224" s="14"/>
      <c r="E224" s="14"/>
      <c r="F224" s="14"/>
      <c r="G224" s="14"/>
      <c r="H224" s="15" t="s">
        <v>1134</v>
      </c>
      <c r="I224" s="14"/>
      <c r="J224" s="14"/>
      <c r="K224" s="130" t="s">
        <v>1135</v>
      </c>
      <c r="L224" s="14" t="s">
        <v>48</v>
      </c>
      <c r="M224" s="14" t="s">
        <v>158</v>
      </c>
      <c r="N224" s="14" t="b">
        <v>0</v>
      </c>
      <c r="O224" s="14"/>
      <c r="P224" s="14"/>
      <c r="Q224" s="14"/>
      <c r="R224" s="14"/>
      <c r="S224" s="14" t="s">
        <v>1136</v>
      </c>
      <c r="T224" s="13" t="s">
        <v>129</v>
      </c>
      <c r="U224" s="17"/>
      <c r="V224" s="32">
        <v>45101.0</v>
      </c>
      <c r="W224" s="24" t="s">
        <v>130</v>
      </c>
      <c r="X224" s="25">
        <v>8750000.0</v>
      </c>
      <c r="Y224" s="25">
        <f>X224-Z224</f>
        <v>1312500</v>
      </c>
      <c r="Z224" s="25">
        <v>7437500.0</v>
      </c>
      <c r="AA224" s="19">
        <f t="shared" si="1"/>
        <v>6</v>
      </c>
      <c r="AB224" s="19" t="str">
        <f t="shared" si="2"/>
        <v/>
      </c>
    </row>
    <row r="225" ht="15.75" customHeight="1">
      <c r="A225" s="26">
        <v>45096.0</v>
      </c>
      <c r="B225" s="13" t="s">
        <v>28</v>
      </c>
      <c r="C225" s="27" t="s">
        <v>1137</v>
      </c>
      <c r="D225" s="27" t="s">
        <v>1138</v>
      </c>
      <c r="E225" s="24">
        <v>10.0</v>
      </c>
      <c r="F225" s="27">
        <v>5.0</v>
      </c>
      <c r="G225" s="27"/>
      <c r="H225" s="34" t="s">
        <v>1139</v>
      </c>
      <c r="I225" s="27"/>
      <c r="J225" s="27"/>
      <c r="K225" s="27" t="s">
        <v>1135</v>
      </c>
      <c r="L225" s="27" t="s">
        <v>48</v>
      </c>
      <c r="M225" s="27" t="s">
        <v>67</v>
      </c>
      <c r="N225" s="14" t="b">
        <v>1</v>
      </c>
      <c r="O225" s="24" t="s">
        <v>1140</v>
      </c>
      <c r="P225" s="13" t="s">
        <v>69</v>
      </c>
      <c r="Q225" s="24" t="s">
        <v>91</v>
      </c>
      <c r="R225" s="27"/>
      <c r="S225" s="24" t="s">
        <v>1141</v>
      </c>
      <c r="T225" s="24" t="s">
        <v>72</v>
      </c>
      <c r="U225" s="26"/>
      <c r="V225" s="32">
        <v>45098.0</v>
      </c>
      <c r="W225" s="24" t="s">
        <v>575</v>
      </c>
      <c r="X225" s="25">
        <v>3062000.0</v>
      </c>
      <c r="Y225" s="25">
        <v>153100.0</v>
      </c>
      <c r="Z225" s="25">
        <v>2908900.0</v>
      </c>
      <c r="AA225" s="19">
        <f t="shared" si="1"/>
        <v>6</v>
      </c>
      <c r="AB225" s="19">
        <f t="shared" si="2"/>
        <v>6</v>
      </c>
    </row>
    <row r="226" ht="15.75" customHeight="1">
      <c r="A226" s="26">
        <v>45097.0</v>
      </c>
      <c r="B226" s="27" t="s">
        <v>201</v>
      </c>
      <c r="C226" s="24" t="s">
        <v>1142</v>
      </c>
      <c r="D226" s="27" t="s">
        <v>1143</v>
      </c>
      <c r="E226" s="24">
        <v>7.0</v>
      </c>
      <c r="F226" s="27"/>
      <c r="G226" s="27"/>
      <c r="H226" s="34" t="s">
        <v>1144</v>
      </c>
      <c r="I226" s="27"/>
      <c r="J226" s="27"/>
      <c r="K226" s="27" t="s">
        <v>1145</v>
      </c>
      <c r="L226" s="27" t="s">
        <v>111</v>
      </c>
      <c r="M226" s="27" t="s">
        <v>67</v>
      </c>
      <c r="N226" s="14" t="b">
        <v>1</v>
      </c>
      <c r="O226" s="27"/>
      <c r="P226" s="27"/>
      <c r="Q226" s="24" t="s">
        <v>91</v>
      </c>
      <c r="R226" s="27"/>
      <c r="S226" s="27" t="s">
        <v>1146</v>
      </c>
      <c r="T226" s="24" t="s">
        <v>72</v>
      </c>
      <c r="U226" s="26"/>
      <c r="V226" s="32">
        <v>45098.0</v>
      </c>
      <c r="W226" s="24" t="s">
        <v>407</v>
      </c>
      <c r="X226" s="25">
        <v>6124000.0</v>
      </c>
      <c r="Y226" s="25">
        <f>X226-Z226</f>
        <v>918600</v>
      </c>
      <c r="Z226" s="25">
        <v>5205400.0</v>
      </c>
      <c r="AA226" s="19">
        <f t="shared" si="1"/>
        <v>6</v>
      </c>
      <c r="AB226" s="19">
        <f t="shared" si="2"/>
        <v>6</v>
      </c>
    </row>
    <row r="227" ht="15.75" customHeight="1">
      <c r="A227" s="26">
        <v>45097.0</v>
      </c>
      <c r="B227" s="27" t="s">
        <v>201</v>
      </c>
      <c r="C227" s="24" t="s">
        <v>1147</v>
      </c>
      <c r="D227" s="27" t="s">
        <v>1148</v>
      </c>
      <c r="E227" s="24">
        <v>13.0</v>
      </c>
      <c r="F227" s="27">
        <v>8.0</v>
      </c>
      <c r="G227" s="27"/>
      <c r="H227" s="34" t="s">
        <v>1149</v>
      </c>
      <c r="I227" s="27"/>
      <c r="J227" s="27"/>
      <c r="K227" s="24" t="s">
        <v>1150</v>
      </c>
      <c r="L227" s="27" t="s">
        <v>48</v>
      </c>
      <c r="M227" s="27" t="s">
        <v>67</v>
      </c>
      <c r="N227" s="14" t="b">
        <v>1</v>
      </c>
      <c r="O227" s="24" t="s">
        <v>1151</v>
      </c>
      <c r="P227" s="13" t="s">
        <v>69</v>
      </c>
      <c r="Q227" s="24" t="s">
        <v>91</v>
      </c>
      <c r="R227" s="27"/>
      <c r="S227" s="27" t="s">
        <v>1152</v>
      </c>
      <c r="T227" s="24" t="s">
        <v>72</v>
      </c>
      <c r="U227" s="26"/>
      <c r="V227" s="14"/>
      <c r="W227" s="14"/>
      <c r="X227" s="18"/>
      <c r="Y227" s="18"/>
      <c r="Z227" s="18"/>
      <c r="AA227" s="19">
        <f t="shared" si="1"/>
        <v>6</v>
      </c>
      <c r="AB227" s="19">
        <f t="shared" si="2"/>
        <v>6</v>
      </c>
    </row>
    <row r="228" ht="15.75" customHeight="1">
      <c r="A228" s="12">
        <v>45094.0</v>
      </c>
      <c r="B228" s="14" t="s">
        <v>201</v>
      </c>
      <c r="C228" s="14" t="s">
        <v>1153</v>
      </c>
      <c r="D228" s="14" t="s">
        <v>1154</v>
      </c>
      <c r="E228" s="13">
        <v>13.0</v>
      </c>
      <c r="F228" s="14">
        <v>7.0</v>
      </c>
      <c r="G228" s="14"/>
      <c r="H228" s="15" t="s">
        <v>1155</v>
      </c>
      <c r="I228" s="14"/>
      <c r="J228" s="14"/>
      <c r="K228" s="14"/>
      <c r="L228" s="14" t="s">
        <v>111</v>
      </c>
      <c r="M228" s="14" t="s">
        <v>34</v>
      </c>
      <c r="N228" s="14" t="b">
        <v>1</v>
      </c>
      <c r="O228" s="13" t="s">
        <v>1156</v>
      </c>
      <c r="P228" s="13" t="s">
        <v>69</v>
      </c>
      <c r="Q228" s="14"/>
      <c r="R228" s="14"/>
      <c r="S228" s="14" t="s">
        <v>1157</v>
      </c>
      <c r="T228" s="14" t="s">
        <v>36</v>
      </c>
      <c r="U228" s="17"/>
      <c r="V228" s="14"/>
      <c r="W228" s="14"/>
      <c r="X228" s="18"/>
      <c r="Y228" s="18"/>
      <c r="Z228" s="18"/>
      <c r="AA228" s="19">
        <f t="shared" si="1"/>
        <v>6</v>
      </c>
      <c r="AB228" s="19" t="str">
        <f t="shared" si="2"/>
        <v/>
      </c>
    </row>
    <row r="229" ht="15.75" customHeight="1">
      <c r="A229" s="12">
        <v>45093.0</v>
      </c>
      <c r="B229" s="14" t="s">
        <v>84</v>
      </c>
      <c r="C229" s="13" t="s">
        <v>1158</v>
      </c>
      <c r="D229" s="14" t="s">
        <v>1159</v>
      </c>
      <c r="E229" s="13">
        <v>8.0</v>
      </c>
      <c r="F229" s="14">
        <v>3.0</v>
      </c>
      <c r="G229" s="14"/>
      <c r="H229" s="15" t="s">
        <v>1160</v>
      </c>
      <c r="I229" s="14"/>
      <c r="J229" s="14"/>
      <c r="K229" s="14"/>
      <c r="L229" s="14" t="s">
        <v>111</v>
      </c>
      <c r="M229" s="14" t="s">
        <v>34</v>
      </c>
      <c r="N229" s="14" t="b">
        <v>1</v>
      </c>
      <c r="O229" s="13" t="s">
        <v>1161</v>
      </c>
      <c r="P229" s="13" t="s">
        <v>42</v>
      </c>
      <c r="Q229" s="14"/>
      <c r="R229" s="14"/>
      <c r="S229" s="14" t="s">
        <v>1162</v>
      </c>
      <c r="T229" s="14" t="s">
        <v>36</v>
      </c>
      <c r="U229" s="17"/>
      <c r="V229" s="14"/>
      <c r="W229" s="14"/>
      <c r="X229" s="18"/>
      <c r="Y229" s="18"/>
      <c r="Z229" s="18"/>
      <c r="AA229" s="19">
        <f t="shared" si="1"/>
        <v>6</v>
      </c>
      <c r="AB229" s="19" t="str">
        <f t="shared" si="2"/>
        <v/>
      </c>
    </row>
    <row r="230" ht="15.75" customHeight="1">
      <c r="A230" s="12">
        <v>45097.0</v>
      </c>
      <c r="B230" s="14" t="s">
        <v>73</v>
      </c>
      <c r="C230" s="14" t="s">
        <v>1163</v>
      </c>
      <c r="D230" s="14" t="s">
        <v>1164</v>
      </c>
      <c r="E230" s="13">
        <v>9.0</v>
      </c>
      <c r="F230" s="14">
        <v>4.0</v>
      </c>
      <c r="G230" s="14"/>
      <c r="H230" s="15" t="s">
        <v>1165</v>
      </c>
      <c r="I230" s="14"/>
      <c r="J230" s="14"/>
      <c r="K230" s="14"/>
      <c r="L230" s="14" t="s">
        <v>48</v>
      </c>
      <c r="M230" s="14" t="s">
        <v>34</v>
      </c>
      <c r="N230" s="14" t="b">
        <v>0</v>
      </c>
      <c r="O230" s="14"/>
      <c r="P230" s="14"/>
      <c r="Q230" s="14"/>
      <c r="R230" s="14"/>
      <c r="S230" s="14" t="s">
        <v>1166</v>
      </c>
      <c r="T230" s="14" t="s">
        <v>36</v>
      </c>
      <c r="U230" s="17"/>
      <c r="V230" s="14"/>
      <c r="W230" s="14"/>
      <c r="X230" s="18"/>
      <c r="Y230" s="18"/>
      <c r="Z230" s="18"/>
      <c r="AA230" s="19">
        <f t="shared" si="1"/>
        <v>6</v>
      </c>
      <c r="AB230" s="19" t="str">
        <f t="shared" si="2"/>
        <v/>
      </c>
    </row>
    <row r="231" ht="15.75" customHeight="1">
      <c r="A231" s="12">
        <v>45097.0</v>
      </c>
      <c r="B231" s="13" t="s">
        <v>28</v>
      </c>
      <c r="C231" s="14" t="s">
        <v>1167</v>
      </c>
      <c r="D231" s="14" t="s">
        <v>1168</v>
      </c>
      <c r="E231" s="14"/>
      <c r="F231" s="14">
        <v>2.0</v>
      </c>
      <c r="G231" s="14"/>
      <c r="H231" s="15" t="s">
        <v>1169</v>
      </c>
      <c r="I231" s="14"/>
      <c r="J231" s="14"/>
      <c r="K231" s="14"/>
      <c r="L231" s="14" t="s">
        <v>48</v>
      </c>
      <c r="M231" s="14" t="s">
        <v>34</v>
      </c>
      <c r="N231" s="14" t="b">
        <v>0</v>
      </c>
      <c r="O231" s="14" t="s">
        <v>1170</v>
      </c>
      <c r="P231" s="13" t="s">
        <v>69</v>
      </c>
      <c r="Q231" s="14"/>
      <c r="R231" s="14"/>
      <c r="S231" s="14" t="s">
        <v>1171</v>
      </c>
      <c r="T231" s="14" t="s">
        <v>36</v>
      </c>
      <c r="U231" s="17"/>
      <c r="V231" s="14"/>
      <c r="W231" s="14"/>
      <c r="X231" s="18"/>
      <c r="Y231" s="18"/>
      <c r="Z231" s="18"/>
      <c r="AA231" s="19">
        <f t="shared" si="1"/>
        <v>6</v>
      </c>
      <c r="AB231" s="19" t="str">
        <f t="shared" si="2"/>
        <v/>
      </c>
    </row>
    <row r="232" ht="15.75" customHeight="1">
      <c r="A232" s="12">
        <v>45097.0</v>
      </c>
      <c r="B232" s="13" t="s">
        <v>28</v>
      </c>
      <c r="C232" s="14" t="s">
        <v>1172</v>
      </c>
      <c r="D232" s="14" t="s">
        <v>1173</v>
      </c>
      <c r="E232" s="13">
        <v>9.0</v>
      </c>
      <c r="F232" s="14">
        <v>4.0</v>
      </c>
      <c r="G232" s="14"/>
      <c r="H232" s="15" t="s">
        <v>1174</v>
      </c>
      <c r="I232" s="14"/>
      <c r="J232" s="14"/>
      <c r="K232" s="14"/>
      <c r="L232" s="14" t="s">
        <v>48</v>
      </c>
      <c r="M232" s="14" t="s">
        <v>1049</v>
      </c>
      <c r="N232" s="14" t="b">
        <v>1</v>
      </c>
      <c r="O232" s="13" t="s">
        <v>1175</v>
      </c>
      <c r="P232" s="13" t="s">
        <v>69</v>
      </c>
      <c r="Q232" s="14"/>
      <c r="R232" s="14"/>
      <c r="S232" s="14" t="s">
        <v>1176</v>
      </c>
      <c r="T232" s="13" t="s">
        <v>229</v>
      </c>
      <c r="U232" s="17"/>
      <c r="V232" s="14"/>
      <c r="W232" s="14"/>
      <c r="X232" s="18"/>
      <c r="Y232" s="18"/>
      <c r="Z232" s="18"/>
      <c r="AA232" s="19">
        <f t="shared" si="1"/>
        <v>6</v>
      </c>
      <c r="AB232" s="19" t="str">
        <f t="shared" si="2"/>
        <v/>
      </c>
    </row>
    <row r="233" ht="15.75" customHeight="1">
      <c r="A233" s="12">
        <v>45097.0</v>
      </c>
      <c r="B233" s="13" t="s">
        <v>28</v>
      </c>
      <c r="C233" s="14" t="s">
        <v>1177</v>
      </c>
      <c r="D233" s="14"/>
      <c r="E233" s="14"/>
      <c r="F233" s="14"/>
      <c r="G233" s="14"/>
      <c r="H233" s="15" t="s">
        <v>1178</v>
      </c>
      <c r="I233" s="14"/>
      <c r="J233" s="14"/>
      <c r="K233" s="13" t="s">
        <v>1179</v>
      </c>
      <c r="L233" s="14" t="s">
        <v>48</v>
      </c>
      <c r="M233" s="14" t="s">
        <v>565</v>
      </c>
      <c r="N233" s="14" t="b">
        <v>0</v>
      </c>
      <c r="O233" s="14"/>
      <c r="P233" s="14"/>
      <c r="Q233" s="14"/>
      <c r="R233" s="14"/>
      <c r="S233" s="62" t="s">
        <v>1180</v>
      </c>
      <c r="T233" s="13" t="s">
        <v>129</v>
      </c>
      <c r="U233" s="17"/>
      <c r="V233" s="14"/>
      <c r="W233" s="14"/>
      <c r="X233" s="18"/>
      <c r="Y233" s="18"/>
      <c r="Z233" s="18"/>
      <c r="AA233" s="19">
        <f t="shared" si="1"/>
        <v>6</v>
      </c>
      <c r="AB233" s="19" t="str">
        <f t="shared" si="2"/>
        <v/>
      </c>
    </row>
    <row r="234" ht="15.75" customHeight="1">
      <c r="A234" s="12">
        <v>45097.0</v>
      </c>
      <c r="B234" s="13" t="s">
        <v>28</v>
      </c>
      <c r="C234" s="14" t="s">
        <v>1181</v>
      </c>
      <c r="D234" s="14" t="s">
        <v>1182</v>
      </c>
      <c r="E234" s="14"/>
      <c r="F234" s="14">
        <v>7.0</v>
      </c>
      <c r="G234" s="14"/>
      <c r="H234" s="15" t="s">
        <v>1183</v>
      </c>
      <c r="I234" s="14"/>
      <c r="J234" s="14"/>
      <c r="K234" s="14" t="s">
        <v>1184</v>
      </c>
      <c r="L234" s="14" t="s">
        <v>48</v>
      </c>
      <c r="M234" s="14" t="s">
        <v>13</v>
      </c>
      <c r="N234" s="14" t="b">
        <v>1</v>
      </c>
      <c r="O234" s="13" t="s">
        <v>1185</v>
      </c>
      <c r="P234" s="13" t="s">
        <v>69</v>
      </c>
      <c r="Q234" s="14"/>
      <c r="R234" s="14"/>
      <c r="S234" s="14" t="s">
        <v>1186</v>
      </c>
      <c r="T234" s="14" t="s">
        <v>36</v>
      </c>
      <c r="U234" s="22"/>
      <c r="V234" s="32">
        <v>45107.0</v>
      </c>
      <c r="W234" s="79" t="s">
        <v>311</v>
      </c>
      <c r="X234" s="25">
        <v>3062000.0</v>
      </c>
      <c r="Y234" s="25">
        <f>X234-Z234</f>
        <v>153000</v>
      </c>
      <c r="Z234" s="25">
        <v>2909000.0</v>
      </c>
      <c r="AA234" s="19">
        <f t="shared" si="1"/>
        <v>6</v>
      </c>
      <c r="AB234" s="19" t="str">
        <f t="shared" si="2"/>
        <v/>
      </c>
    </row>
    <row r="235" ht="15.75" customHeight="1">
      <c r="A235" s="26">
        <v>45098.0</v>
      </c>
      <c r="B235" s="13" t="s">
        <v>28</v>
      </c>
      <c r="C235" s="27" t="s">
        <v>1187</v>
      </c>
      <c r="D235" s="27" t="s">
        <v>1188</v>
      </c>
      <c r="E235" s="24">
        <v>5.0</v>
      </c>
      <c r="F235" s="27"/>
      <c r="G235" s="27"/>
      <c r="H235" s="34" t="s">
        <v>1189</v>
      </c>
      <c r="I235" s="27"/>
      <c r="J235" s="27"/>
      <c r="K235" s="27" t="s">
        <v>1190</v>
      </c>
      <c r="L235" s="27" t="s">
        <v>48</v>
      </c>
      <c r="M235" s="27" t="s">
        <v>67</v>
      </c>
      <c r="N235" s="14" t="b">
        <v>1</v>
      </c>
      <c r="O235" s="27" t="s">
        <v>1191</v>
      </c>
      <c r="P235" s="13" t="s">
        <v>69</v>
      </c>
      <c r="Q235" s="24" t="s">
        <v>91</v>
      </c>
      <c r="R235" s="27"/>
      <c r="S235" s="24" t="s">
        <v>1192</v>
      </c>
      <c r="T235" s="24" t="s">
        <v>72</v>
      </c>
      <c r="U235" s="26"/>
      <c r="V235" s="14"/>
      <c r="W235" s="14"/>
      <c r="X235" s="18"/>
      <c r="Y235" s="18"/>
      <c r="Z235" s="18"/>
      <c r="AA235" s="19">
        <f t="shared" si="1"/>
        <v>6</v>
      </c>
      <c r="AB235" s="19">
        <f t="shared" si="2"/>
        <v>6</v>
      </c>
    </row>
    <row r="236" ht="15.75" customHeight="1">
      <c r="A236" s="12">
        <v>45098.0</v>
      </c>
      <c r="B236" s="13" t="s">
        <v>28</v>
      </c>
      <c r="C236" s="14"/>
      <c r="D236" s="14" t="s">
        <v>1193</v>
      </c>
      <c r="E236" s="13">
        <v>12.0</v>
      </c>
      <c r="F236" s="14"/>
      <c r="G236" s="14"/>
      <c r="H236" s="15" t="s">
        <v>1194</v>
      </c>
      <c r="I236" s="14"/>
      <c r="J236" s="14"/>
      <c r="K236" s="13" t="s">
        <v>1195</v>
      </c>
      <c r="L236" s="14" t="s">
        <v>48</v>
      </c>
      <c r="M236" s="14" t="s">
        <v>158</v>
      </c>
      <c r="N236" s="14" t="b">
        <v>1</v>
      </c>
      <c r="O236" s="13" t="s">
        <v>1196</v>
      </c>
      <c r="P236" s="13" t="s">
        <v>69</v>
      </c>
      <c r="Q236" s="14"/>
      <c r="R236" s="14"/>
      <c r="S236" s="14" t="s">
        <v>1197</v>
      </c>
      <c r="T236" s="14" t="s">
        <v>36</v>
      </c>
      <c r="U236" s="17"/>
      <c r="V236" s="14"/>
      <c r="W236" s="14"/>
      <c r="X236" s="18"/>
      <c r="Y236" s="18"/>
      <c r="Z236" s="18"/>
      <c r="AA236" s="19">
        <f t="shared" si="1"/>
        <v>6</v>
      </c>
      <c r="AB236" s="19" t="str">
        <f t="shared" si="2"/>
        <v/>
      </c>
    </row>
    <row r="237" ht="15.75" customHeight="1">
      <c r="A237" s="12">
        <v>45098.0</v>
      </c>
      <c r="B237" s="13" t="s">
        <v>28</v>
      </c>
      <c r="C237" s="14" t="s">
        <v>1198</v>
      </c>
      <c r="D237" s="14" t="s">
        <v>1199</v>
      </c>
      <c r="E237" s="13">
        <v>6.0</v>
      </c>
      <c r="F237" s="14"/>
      <c r="G237" s="14"/>
      <c r="H237" s="15" t="s">
        <v>1200</v>
      </c>
      <c r="I237" s="14"/>
      <c r="J237" s="14"/>
      <c r="K237" s="13" t="s">
        <v>1201</v>
      </c>
      <c r="L237" s="14" t="s">
        <v>111</v>
      </c>
      <c r="M237" s="14" t="s">
        <v>333</v>
      </c>
      <c r="N237" s="14" t="b">
        <v>0</v>
      </c>
      <c r="O237" s="14"/>
      <c r="P237" s="14"/>
      <c r="Q237" s="14"/>
      <c r="R237" s="14"/>
      <c r="S237" s="14" t="s">
        <v>1202</v>
      </c>
      <c r="T237" s="13" t="s">
        <v>129</v>
      </c>
      <c r="U237" s="17">
        <v>45110.0</v>
      </c>
      <c r="V237" s="14"/>
      <c r="W237" s="14"/>
      <c r="X237" s="18"/>
      <c r="Y237" s="18"/>
      <c r="Z237" s="18"/>
      <c r="AA237" s="19">
        <f t="shared" si="1"/>
        <v>6</v>
      </c>
      <c r="AB237" s="19" t="str">
        <f t="shared" si="2"/>
        <v/>
      </c>
    </row>
    <row r="238" ht="15.75" customHeight="1">
      <c r="A238" s="12">
        <v>45098.0</v>
      </c>
      <c r="B238" s="13" t="s">
        <v>28</v>
      </c>
      <c r="C238" s="14" t="s">
        <v>1203</v>
      </c>
      <c r="D238" s="14"/>
      <c r="E238" s="14"/>
      <c r="F238" s="14"/>
      <c r="G238" s="14"/>
      <c r="H238" s="15" t="s">
        <v>1204</v>
      </c>
      <c r="I238" s="14"/>
      <c r="J238" s="14"/>
      <c r="K238" s="14"/>
      <c r="L238" s="14" t="s">
        <v>48</v>
      </c>
      <c r="M238" s="14" t="s">
        <v>1049</v>
      </c>
      <c r="N238" s="14" t="b">
        <v>0</v>
      </c>
      <c r="O238" s="14"/>
      <c r="P238" s="14"/>
      <c r="Q238" s="14"/>
      <c r="R238" s="14"/>
      <c r="S238" s="14" t="s">
        <v>1205</v>
      </c>
      <c r="T238" s="13" t="s">
        <v>229</v>
      </c>
      <c r="U238" s="17">
        <v>45127.0</v>
      </c>
      <c r="V238" s="14"/>
      <c r="W238" s="14"/>
      <c r="X238" s="18"/>
      <c r="Y238" s="18"/>
      <c r="Z238" s="18"/>
      <c r="AA238" s="19">
        <f t="shared" si="1"/>
        <v>6</v>
      </c>
      <c r="AB238" s="19" t="str">
        <f t="shared" si="2"/>
        <v/>
      </c>
    </row>
    <row r="239" ht="15.75" customHeight="1">
      <c r="A239" s="12">
        <v>45084.0</v>
      </c>
      <c r="B239" s="14" t="s">
        <v>201</v>
      </c>
      <c r="C239" s="13" t="s">
        <v>1206</v>
      </c>
      <c r="D239" s="14"/>
      <c r="E239" s="13">
        <v>10.0</v>
      </c>
      <c r="F239" s="14"/>
      <c r="G239" s="14"/>
      <c r="H239" s="15" t="s">
        <v>1207</v>
      </c>
      <c r="I239" s="14"/>
      <c r="J239" s="14"/>
      <c r="K239" s="14"/>
      <c r="L239" s="14" t="s">
        <v>111</v>
      </c>
      <c r="M239" s="14" t="s">
        <v>34</v>
      </c>
      <c r="N239" s="14" t="b">
        <v>0</v>
      </c>
      <c r="O239" s="14"/>
      <c r="P239" s="14"/>
      <c r="Q239" s="14"/>
      <c r="R239" s="14"/>
      <c r="S239" s="14" t="s">
        <v>1208</v>
      </c>
      <c r="T239" s="14" t="s">
        <v>36</v>
      </c>
      <c r="U239" s="17"/>
      <c r="V239" s="14"/>
      <c r="W239" s="14"/>
      <c r="X239" s="18"/>
      <c r="Y239" s="18"/>
      <c r="Z239" s="18"/>
      <c r="AA239" s="19">
        <f t="shared" si="1"/>
        <v>6</v>
      </c>
      <c r="AB239" s="19" t="str">
        <f t="shared" si="2"/>
        <v/>
      </c>
    </row>
    <row r="240" ht="15.75" customHeight="1">
      <c r="A240" s="12">
        <v>45098.0</v>
      </c>
      <c r="B240" s="13" t="s">
        <v>28</v>
      </c>
      <c r="C240" s="14" t="s">
        <v>1209</v>
      </c>
      <c r="D240" s="14" t="s">
        <v>1210</v>
      </c>
      <c r="E240" s="13">
        <v>7.0</v>
      </c>
      <c r="F240" s="14"/>
      <c r="G240" s="14"/>
      <c r="H240" s="15" t="s">
        <v>1211</v>
      </c>
      <c r="I240" s="14"/>
      <c r="J240" s="14">
        <v>7.84648555E8</v>
      </c>
      <c r="K240" s="14" t="s">
        <v>1212</v>
      </c>
      <c r="L240" s="14" t="s">
        <v>111</v>
      </c>
      <c r="M240" s="14" t="s">
        <v>34</v>
      </c>
      <c r="N240" s="14" t="b">
        <v>0</v>
      </c>
      <c r="O240" s="14"/>
      <c r="P240" s="14"/>
      <c r="Q240" s="14"/>
      <c r="R240" s="14"/>
      <c r="S240" s="14" t="s">
        <v>1213</v>
      </c>
      <c r="T240" s="14" t="s">
        <v>36</v>
      </c>
      <c r="U240" s="17"/>
      <c r="V240" s="14"/>
      <c r="W240" s="14"/>
      <c r="X240" s="18"/>
      <c r="Y240" s="18"/>
      <c r="Z240" s="18"/>
      <c r="AA240" s="19">
        <f t="shared" si="1"/>
        <v>6</v>
      </c>
      <c r="AB240" s="19" t="str">
        <f t="shared" si="2"/>
        <v/>
      </c>
    </row>
    <row r="241" ht="15.75" customHeight="1">
      <c r="A241" s="12">
        <v>45098.0</v>
      </c>
      <c r="B241" s="13" t="s">
        <v>28</v>
      </c>
      <c r="C241" s="14" t="s">
        <v>1214</v>
      </c>
      <c r="D241" s="14" t="s">
        <v>1215</v>
      </c>
      <c r="E241" s="13">
        <v>7.0</v>
      </c>
      <c r="F241" s="14"/>
      <c r="G241" s="14"/>
      <c r="H241" s="15" t="s">
        <v>1216</v>
      </c>
      <c r="I241" s="14"/>
      <c r="J241" s="14">
        <v>3.54507704E8</v>
      </c>
      <c r="K241" s="14"/>
      <c r="L241" s="14" t="s">
        <v>111</v>
      </c>
      <c r="M241" s="14" t="s">
        <v>34</v>
      </c>
      <c r="N241" s="14" t="b">
        <v>0</v>
      </c>
      <c r="O241" s="14"/>
      <c r="P241" s="14"/>
      <c r="Q241" s="14"/>
      <c r="R241" s="14"/>
      <c r="S241" s="14" t="s">
        <v>1217</v>
      </c>
      <c r="T241" s="13" t="s">
        <v>129</v>
      </c>
      <c r="U241" s="17"/>
      <c r="V241" s="14"/>
      <c r="W241" s="14"/>
      <c r="X241" s="18"/>
      <c r="Y241" s="18"/>
      <c r="Z241" s="18"/>
      <c r="AA241" s="19">
        <f t="shared" si="1"/>
        <v>6</v>
      </c>
      <c r="AB241" s="19" t="str">
        <f t="shared" si="2"/>
        <v/>
      </c>
    </row>
    <row r="242" ht="15.75" customHeight="1">
      <c r="A242" s="12">
        <v>45098.0</v>
      </c>
      <c r="B242" s="13" t="s">
        <v>28</v>
      </c>
      <c r="C242" s="14" t="s">
        <v>1218</v>
      </c>
      <c r="D242" s="14" t="s">
        <v>1219</v>
      </c>
      <c r="E242" s="13">
        <v>6.0</v>
      </c>
      <c r="F242" s="14"/>
      <c r="G242" s="14"/>
      <c r="H242" s="15" t="s">
        <v>1220</v>
      </c>
      <c r="I242" s="14"/>
      <c r="J242" s="14"/>
      <c r="K242" s="14" t="s">
        <v>1221</v>
      </c>
      <c r="L242" s="14" t="s">
        <v>48</v>
      </c>
      <c r="M242" s="14" t="s">
        <v>13</v>
      </c>
      <c r="N242" s="14" t="b">
        <v>1</v>
      </c>
      <c r="O242" s="13" t="s">
        <v>1222</v>
      </c>
      <c r="P242" s="13" t="s">
        <v>69</v>
      </c>
      <c r="Q242" s="14"/>
      <c r="R242" s="14"/>
      <c r="S242" s="14" t="s">
        <v>1223</v>
      </c>
      <c r="T242" s="13" t="s">
        <v>129</v>
      </c>
      <c r="U242" s="17">
        <v>45127.0</v>
      </c>
      <c r="V242" s="32">
        <v>45100.0</v>
      </c>
      <c r="W242" s="24" t="s">
        <v>575</v>
      </c>
      <c r="X242" s="25">
        <v>4375000.0</v>
      </c>
      <c r="Y242" s="25">
        <v>218750.0</v>
      </c>
      <c r="Z242" s="25">
        <v>4156250.0</v>
      </c>
      <c r="AA242" s="19">
        <f t="shared" si="1"/>
        <v>6</v>
      </c>
      <c r="AB242" s="19" t="str">
        <f t="shared" si="2"/>
        <v/>
      </c>
    </row>
    <row r="243" ht="15.75" customHeight="1">
      <c r="A243" s="26">
        <v>45098.0</v>
      </c>
      <c r="B243" s="13" t="s">
        <v>28</v>
      </c>
      <c r="C243" s="27" t="s">
        <v>1224</v>
      </c>
      <c r="D243" s="27" t="s">
        <v>1225</v>
      </c>
      <c r="E243" s="24">
        <v>12.0</v>
      </c>
      <c r="F243" s="27" t="s">
        <v>234</v>
      </c>
      <c r="G243" s="27"/>
      <c r="H243" s="34" t="s">
        <v>1226</v>
      </c>
      <c r="I243" s="27"/>
      <c r="J243" s="27"/>
      <c r="K243" s="27" t="s">
        <v>289</v>
      </c>
      <c r="L243" s="27" t="s">
        <v>111</v>
      </c>
      <c r="M243" s="27" t="s">
        <v>67</v>
      </c>
      <c r="N243" s="14" t="b">
        <v>1</v>
      </c>
      <c r="O243" s="24" t="s">
        <v>1227</v>
      </c>
      <c r="P243" s="13" t="s">
        <v>69</v>
      </c>
      <c r="Q243" s="24" t="s">
        <v>91</v>
      </c>
      <c r="R243" s="27"/>
      <c r="S243" s="27" t="s">
        <v>1228</v>
      </c>
      <c r="T243" s="124" t="s">
        <v>72</v>
      </c>
      <c r="U243" s="26"/>
      <c r="V243" s="32">
        <v>45112.0</v>
      </c>
      <c r="W243" s="24" t="s">
        <v>575</v>
      </c>
      <c r="X243" s="25" t="s">
        <v>1229</v>
      </c>
      <c r="Y243" s="25">
        <v>0.15</v>
      </c>
      <c r="Z243" s="25">
        <v>3281250.0</v>
      </c>
      <c r="AA243" s="19">
        <f t="shared" si="1"/>
        <v>6</v>
      </c>
      <c r="AB243" s="19">
        <f t="shared" si="2"/>
        <v>6</v>
      </c>
    </row>
    <row r="244" ht="15.75" customHeight="1">
      <c r="A244" s="26"/>
      <c r="B244" s="13" t="s">
        <v>28</v>
      </c>
      <c r="C244" s="27" t="s">
        <v>1224</v>
      </c>
      <c r="D244" s="27" t="s">
        <v>1225</v>
      </c>
      <c r="E244" s="32"/>
      <c r="F244" s="27"/>
      <c r="G244" s="27"/>
      <c r="H244" s="34"/>
      <c r="I244" s="27"/>
      <c r="J244" s="27"/>
      <c r="K244" s="27"/>
      <c r="L244" s="27" t="s">
        <v>111</v>
      </c>
      <c r="M244" s="27" t="s">
        <v>67</v>
      </c>
      <c r="N244" s="13" t="b">
        <v>1</v>
      </c>
      <c r="O244" s="27"/>
      <c r="P244" s="27"/>
      <c r="Q244" s="24" t="s">
        <v>91</v>
      </c>
      <c r="R244" s="27"/>
      <c r="S244" s="58"/>
      <c r="T244" s="11"/>
      <c r="U244" s="26"/>
      <c r="V244" s="32">
        <v>45101.0</v>
      </c>
      <c r="W244" s="24" t="s">
        <v>1230</v>
      </c>
      <c r="X244" s="25">
        <v>4375000.0</v>
      </c>
      <c r="Y244" s="25">
        <f t="shared" ref="Y244:Y246" si="4">X244-Z244</f>
        <v>350000</v>
      </c>
      <c r="Z244" s="25">
        <v>4025000.0</v>
      </c>
      <c r="AA244" s="19" t="str">
        <f t="shared" si="1"/>
        <v/>
      </c>
      <c r="AB244" s="19">
        <f t="shared" si="2"/>
        <v>7</v>
      </c>
    </row>
    <row r="245" ht="15.75" customHeight="1">
      <c r="A245" s="26">
        <v>45099.0</v>
      </c>
      <c r="B245" s="13" t="s">
        <v>28</v>
      </c>
      <c r="C245" s="131" t="s">
        <v>1231</v>
      </c>
      <c r="D245" s="131" t="s">
        <v>1232</v>
      </c>
      <c r="E245" s="24">
        <v>16.0</v>
      </c>
      <c r="F245" s="27" t="s">
        <v>1233</v>
      </c>
      <c r="G245" s="27"/>
      <c r="H245" s="34" t="s">
        <v>1234</v>
      </c>
      <c r="I245" s="27"/>
      <c r="J245" s="27"/>
      <c r="K245" s="27" t="s">
        <v>1235</v>
      </c>
      <c r="L245" s="27" t="s">
        <v>48</v>
      </c>
      <c r="M245" s="27" t="s">
        <v>67</v>
      </c>
      <c r="N245" s="14" t="b">
        <v>1</v>
      </c>
      <c r="O245" s="27" t="s">
        <v>1236</v>
      </c>
      <c r="P245" s="13" t="s">
        <v>69</v>
      </c>
      <c r="Q245" s="24" t="s">
        <v>1230</v>
      </c>
      <c r="R245" s="27"/>
      <c r="S245" s="58" t="s">
        <v>1237</v>
      </c>
      <c r="T245" s="24" t="s">
        <v>72</v>
      </c>
      <c r="U245" s="26"/>
      <c r="V245" s="32">
        <v>45101.0</v>
      </c>
      <c r="W245" s="24" t="s">
        <v>862</v>
      </c>
      <c r="X245" s="25">
        <v>2558000.0</v>
      </c>
      <c r="Y245" s="25">
        <f t="shared" si="4"/>
        <v>204640</v>
      </c>
      <c r="Z245" s="25">
        <v>2353360.0</v>
      </c>
      <c r="AA245" s="19">
        <f t="shared" si="1"/>
        <v>6</v>
      </c>
      <c r="AB245" s="19">
        <f t="shared" si="2"/>
        <v>6</v>
      </c>
    </row>
    <row r="246" ht="15.75" customHeight="1">
      <c r="A246" s="26">
        <v>45099.0</v>
      </c>
      <c r="B246" s="13" t="s">
        <v>28</v>
      </c>
      <c r="C246" s="131" t="s">
        <v>1231</v>
      </c>
      <c r="D246" s="131" t="s">
        <v>1238</v>
      </c>
      <c r="E246" s="24">
        <v>14.0</v>
      </c>
      <c r="F246" s="27" t="s">
        <v>1239</v>
      </c>
      <c r="G246" s="27"/>
      <c r="H246" s="34" t="s">
        <v>1234</v>
      </c>
      <c r="I246" s="27"/>
      <c r="J246" s="27"/>
      <c r="K246" s="27" t="s">
        <v>1240</v>
      </c>
      <c r="L246" s="27" t="s">
        <v>48</v>
      </c>
      <c r="M246" s="27" t="s">
        <v>67</v>
      </c>
      <c r="N246" s="14" t="b">
        <v>1</v>
      </c>
      <c r="O246" s="24" t="s">
        <v>1241</v>
      </c>
      <c r="P246" s="13" t="s">
        <v>69</v>
      </c>
      <c r="Q246" s="24" t="s">
        <v>238</v>
      </c>
      <c r="R246" s="27"/>
      <c r="S246" s="58" t="s">
        <v>1242</v>
      </c>
      <c r="T246" s="24" t="s">
        <v>72</v>
      </c>
      <c r="U246" s="26"/>
      <c r="V246" s="32">
        <v>45101.0</v>
      </c>
      <c r="W246" s="24" t="s">
        <v>575</v>
      </c>
      <c r="X246" s="25">
        <v>3062000.0</v>
      </c>
      <c r="Y246" s="25">
        <f t="shared" si="4"/>
        <v>244960</v>
      </c>
      <c r="Z246" s="25">
        <v>2817040.0</v>
      </c>
      <c r="AA246" s="19">
        <f t="shared" si="1"/>
        <v>6</v>
      </c>
      <c r="AB246" s="19">
        <f t="shared" si="2"/>
        <v>6</v>
      </c>
    </row>
    <row r="247" ht="15.75" customHeight="1">
      <c r="A247" s="26">
        <v>45099.0</v>
      </c>
      <c r="B247" s="13" t="s">
        <v>28</v>
      </c>
      <c r="C247" s="131" t="s">
        <v>1231</v>
      </c>
      <c r="D247" s="131" t="s">
        <v>1243</v>
      </c>
      <c r="E247" s="24">
        <v>10.0</v>
      </c>
      <c r="F247" s="27" t="s">
        <v>1244</v>
      </c>
      <c r="G247" s="27"/>
      <c r="H247" s="34" t="s">
        <v>1234</v>
      </c>
      <c r="I247" s="27"/>
      <c r="J247" s="27"/>
      <c r="K247" s="24" t="s">
        <v>1245</v>
      </c>
      <c r="L247" s="27" t="s">
        <v>48</v>
      </c>
      <c r="M247" s="27" t="s">
        <v>67</v>
      </c>
      <c r="N247" s="14" t="b">
        <v>1</v>
      </c>
      <c r="O247" s="24" t="s">
        <v>1246</v>
      </c>
      <c r="P247" s="13" t="s">
        <v>69</v>
      </c>
      <c r="Q247" s="24" t="s">
        <v>91</v>
      </c>
      <c r="R247" s="27"/>
      <c r="S247" s="77" t="s">
        <v>1247</v>
      </c>
      <c r="T247" s="24" t="s">
        <v>72</v>
      </c>
      <c r="U247" s="26"/>
      <c r="V247" s="14"/>
      <c r="W247" s="14"/>
      <c r="X247" s="18"/>
      <c r="Y247" s="18"/>
      <c r="Z247" s="18"/>
      <c r="AA247" s="19">
        <f t="shared" si="1"/>
        <v>6</v>
      </c>
      <c r="AB247" s="19">
        <f t="shared" si="2"/>
        <v>6</v>
      </c>
    </row>
    <row r="248" ht="15.75" customHeight="1">
      <c r="A248" s="12">
        <v>45099.0</v>
      </c>
      <c r="B248" s="14" t="s">
        <v>703</v>
      </c>
      <c r="C248" s="14" t="s">
        <v>1248</v>
      </c>
      <c r="D248" s="14"/>
      <c r="E248" s="14"/>
      <c r="F248" s="14"/>
      <c r="G248" s="14"/>
      <c r="H248" s="15" t="s">
        <v>1249</v>
      </c>
      <c r="I248" s="14"/>
      <c r="J248" s="14"/>
      <c r="K248" s="130" t="s">
        <v>1250</v>
      </c>
      <c r="L248" s="14" t="s">
        <v>111</v>
      </c>
      <c r="M248" s="14" t="s">
        <v>565</v>
      </c>
      <c r="N248" s="14" t="b">
        <v>0</v>
      </c>
      <c r="O248" s="14"/>
      <c r="P248" s="14"/>
      <c r="Q248" s="14"/>
      <c r="R248" s="14"/>
      <c r="S248" s="14" t="s">
        <v>1251</v>
      </c>
      <c r="T248" s="13" t="s">
        <v>129</v>
      </c>
      <c r="U248" s="17">
        <v>45105.0</v>
      </c>
      <c r="V248" s="14"/>
      <c r="W248" s="14"/>
      <c r="X248" s="18"/>
      <c r="Y248" s="18"/>
      <c r="Z248" s="18"/>
      <c r="AA248" s="19">
        <f t="shared" si="1"/>
        <v>6</v>
      </c>
      <c r="AB248" s="19" t="str">
        <f t="shared" si="2"/>
        <v/>
      </c>
    </row>
    <row r="249" ht="15.75" customHeight="1">
      <c r="A249" s="12">
        <v>45099.0</v>
      </c>
      <c r="B249" s="13" t="s">
        <v>28</v>
      </c>
      <c r="C249" s="14" t="s">
        <v>1252</v>
      </c>
      <c r="D249" s="14" t="s">
        <v>1253</v>
      </c>
      <c r="E249" s="14"/>
      <c r="F249" s="14" t="s">
        <v>1254</v>
      </c>
      <c r="G249" s="14"/>
      <c r="H249" s="15" t="s">
        <v>1255</v>
      </c>
      <c r="I249" s="14"/>
      <c r="J249" s="14"/>
      <c r="K249" s="14"/>
      <c r="L249" s="14" t="s">
        <v>48</v>
      </c>
      <c r="M249" s="14" t="s">
        <v>158</v>
      </c>
      <c r="N249" s="14" t="b">
        <v>0</v>
      </c>
      <c r="O249" s="14"/>
      <c r="P249" s="14"/>
      <c r="Q249" s="14"/>
      <c r="R249" s="14"/>
      <c r="S249" s="14" t="s">
        <v>1256</v>
      </c>
      <c r="T249" s="13" t="s">
        <v>229</v>
      </c>
      <c r="U249" s="17">
        <v>45122.0</v>
      </c>
      <c r="V249" s="14"/>
      <c r="W249" s="14"/>
      <c r="X249" s="18"/>
      <c r="Y249" s="18"/>
      <c r="Z249" s="18"/>
      <c r="AA249" s="19">
        <f t="shared" si="1"/>
        <v>6</v>
      </c>
      <c r="AB249" s="19" t="str">
        <f t="shared" si="2"/>
        <v/>
      </c>
    </row>
    <row r="250" ht="15.75" customHeight="1">
      <c r="A250" s="12">
        <v>45099.0</v>
      </c>
      <c r="B250" s="13" t="s">
        <v>28</v>
      </c>
      <c r="C250" s="14" t="s">
        <v>1257</v>
      </c>
      <c r="D250" s="14" t="s">
        <v>1258</v>
      </c>
      <c r="E250" s="13">
        <v>11.0</v>
      </c>
      <c r="F250" s="14" t="s">
        <v>474</v>
      </c>
      <c r="G250" s="14"/>
      <c r="H250" s="15" t="s">
        <v>1259</v>
      </c>
      <c r="I250" s="14"/>
      <c r="J250" s="14"/>
      <c r="K250" s="130" t="s">
        <v>1260</v>
      </c>
      <c r="L250" s="14" t="s">
        <v>111</v>
      </c>
      <c r="M250" s="14" t="s">
        <v>13</v>
      </c>
      <c r="N250" s="14" t="b">
        <v>1</v>
      </c>
      <c r="O250" s="13" t="s">
        <v>1261</v>
      </c>
      <c r="P250" s="13" t="s">
        <v>42</v>
      </c>
      <c r="Q250" s="14"/>
      <c r="R250" s="14"/>
      <c r="S250" s="14" t="s">
        <v>1262</v>
      </c>
      <c r="T250" s="13" t="s">
        <v>129</v>
      </c>
      <c r="U250" s="17">
        <v>45124.0</v>
      </c>
      <c r="V250" s="14"/>
      <c r="W250" s="14"/>
      <c r="X250" s="18"/>
      <c r="Y250" s="18"/>
      <c r="Z250" s="18"/>
      <c r="AA250" s="19">
        <f t="shared" si="1"/>
        <v>6</v>
      </c>
      <c r="AB250" s="19" t="str">
        <f t="shared" si="2"/>
        <v/>
      </c>
    </row>
    <row r="251" ht="15.75" customHeight="1">
      <c r="A251" s="12">
        <v>45099.0</v>
      </c>
      <c r="B251" s="13" t="s">
        <v>28</v>
      </c>
      <c r="C251" s="14" t="s">
        <v>1263</v>
      </c>
      <c r="D251" s="14"/>
      <c r="E251" s="14"/>
      <c r="F251" s="14"/>
      <c r="G251" s="14"/>
      <c r="H251" s="15" t="s">
        <v>1264</v>
      </c>
      <c r="I251" s="14"/>
      <c r="J251" s="14"/>
      <c r="K251" s="14" t="s">
        <v>1265</v>
      </c>
      <c r="L251" s="14" t="s">
        <v>48</v>
      </c>
      <c r="M251" s="14" t="s">
        <v>565</v>
      </c>
      <c r="N251" s="14" t="b">
        <v>0</v>
      </c>
      <c r="O251" s="14"/>
      <c r="P251" s="14"/>
      <c r="Q251" s="14"/>
      <c r="R251" s="14"/>
      <c r="S251" s="14" t="s">
        <v>1266</v>
      </c>
      <c r="T251" s="14" t="s">
        <v>36</v>
      </c>
      <c r="U251" s="17"/>
      <c r="V251" s="14"/>
      <c r="W251" s="14"/>
      <c r="X251" s="18"/>
      <c r="Y251" s="18"/>
      <c r="Z251" s="18"/>
      <c r="AA251" s="19">
        <f t="shared" si="1"/>
        <v>6</v>
      </c>
      <c r="AB251" s="19" t="str">
        <f t="shared" si="2"/>
        <v/>
      </c>
    </row>
    <row r="252" ht="15.75" customHeight="1">
      <c r="A252" s="12">
        <v>45099.0</v>
      </c>
      <c r="B252" s="13" t="s">
        <v>28</v>
      </c>
      <c r="C252" s="14" t="s">
        <v>247</v>
      </c>
      <c r="D252" s="14"/>
      <c r="E252" s="14"/>
      <c r="F252" s="14"/>
      <c r="G252" s="14"/>
      <c r="H252" s="15" t="s">
        <v>1267</v>
      </c>
      <c r="I252" s="14"/>
      <c r="J252" s="14"/>
      <c r="K252" s="13" t="s">
        <v>1268</v>
      </c>
      <c r="L252" s="14" t="s">
        <v>111</v>
      </c>
      <c r="M252" s="14" t="s">
        <v>216</v>
      </c>
      <c r="N252" s="14" t="b">
        <v>0</v>
      </c>
      <c r="O252" s="14"/>
      <c r="P252" s="14"/>
      <c r="Q252" s="14"/>
      <c r="R252" s="14"/>
      <c r="S252" s="14" t="s">
        <v>1269</v>
      </c>
      <c r="T252" s="14" t="s">
        <v>36</v>
      </c>
      <c r="U252" s="17">
        <v>45103.0</v>
      </c>
      <c r="V252" s="14"/>
      <c r="W252" s="14"/>
      <c r="X252" s="18"/>
      <c r="Y252" s="18"/>
      <c r="Z252" s="18"/>
      <c r="AA252" s="19">
        <f t="shared" si="1"/>
        <v>6</v>
      </c>
      <c r="AB252" s="19" t="str">
        <f t="shared" si="2"/>
        <v/>
      </c>
    </row>
    <row r="253" ht="15.75" customHeight="1">
      <c r="A253" s="12">
        <v>45099.0</v>
      </c>
      <c r="B253" s="13" t="s">
        <v>28</v>
      </c>
      <c r="C253" s="14" t="s">
        <v>1270</v>
      </c>
      <c r="D253" s="14" t="s">
        <v>1271</v>
      </c>
      <c r="E253" s="14"/>
      <c r="F253" s="14">
        <v>6.0</v>
      </c>
      <c r="G253" s="14"/>
      <c r="H253" s="15" t="s">
        <v>1272</v>
      </c>
      <c r="I253" s="14"/>
      <c r="J253" s="14"/>
      <c r="K253" s="14" t="s">
        <v>1273</v>
      </c>
      <c r="L253" s="14" t="s">
        <v>48</v>
      </c>
      <c r="M253" s="14" t="s">
        <v>565</v>
      </c>
      <c r="N253" s="14" t="b">
        <v>0</v>
      </c>
      <c r="O253" s="14"/>
      <c r="P253" s="14"/>
      <c r="Q253" s="14"/>
      <c r="R253" s="14"/>
      <c r="S253" s="14" t="s">
        <v>1274</v>
      </c>
      <c r="T253" s="13" t="s">
        <v>229</v>
      </c>
      <c r="U253" s="17"/>
      <c r="V253" s="14"/>
      <c r="W253" s="14"/>
      <c r="X253" s="18"/>
      <c r="Y253" s="18"/>
      <c r="Z253" s="18"/>
      <c r="AA253" s="19">
        <f t="shared" si="1"/>
        <v>6</v>
      </c>
      <c r="AB253" s="19" t="str">
        <f t="shared" si="2"/>
        <v/>
      </c>
    </row>
    <row r="254" ht="15.75" customHeight="1">
      <c r="A254" s="12">
        <v>45099.0</v>
      </c>
      <c r="B254" s="13" t="s">
        <v>28</v>
      </c>
      <c r="C254" s="120" t="s">
        <v>1275</v>
      </c>
      <c r="D254" s="14" t="s">
        <v>1276</v>
      </c>
      <c r="E254" s="13">
        <v>13.0</v>
      </c>
      <c r="F254" s="14"/>
      <c r="G254" s="14"/>
      <c r="H254" s="15" t="s">
        <v>1277</v>
      </c>
      <c r="I254" s="14"/>
      <c r="J254" s="14"/>
      <c r="K254" s="14"/>
      <c r="L254" s="14" t="s">
        <v>111</v>
      </c>
      <c r="M254" s="14" t="s">
        <v>34</v>
      </c>
      <c r="N254" s="14" t="b">
        <v>0</v>
      </c>
      <c r="O254" s="14"/>
      <c r="P254" s="14"/>
      <c r="Q254" s="14"/>
      <c r="R254" s="14"/>
      <c r="S254" s="14" t="s">
        <v>1278</v>
      </c>
      <c r="T254" s="14" t="s">
        <v>36</v>
      </c>
      <c r="U254" s="17"/>
      <c r="V254" s="14"/>
      <c r="W254" s="14"/>
      <c r="X254" s="18"/>
      <c r="Y254" s="18"/>
      <c r="Z254" s="18"/>
      <c r="AA254" s="19">
        <f t="shared" si="1"/>
        <v>6</v>
      </c>
      <c r="AB254" s="19" t="str">
        <f t="shared" si="2"/>
        <v/>
      </c>
    </row>
    <row r="255" ht="15.75" customHeight="1">
      <c r="A255" s="12">
        <v>45099.0</v>
      </c>
      <c r="B255" s="13" t="s">
        <v>28</v>
      </c>
      <c r="C255" s="120" t="s">
        <v>1275</v>
      </c>
      <c r="D255" s="14" t="s">
        <v>1279</v>
      </c>
      <c r="E255" s="14"/>
      <c r="F255" s="14"/>
      <c r="G255" s="14"/>
      <c r="H255" s="15" t="s">
        <v>1277</v>
      </c>
      <c r="I255" s="14"/>
      <c r="J255" s="14"/>
      <c r="K255" s="14"/>
      <c r="L255" s="14" t="s">
        <v>111</v>
      </c>
      <c r="M255" s="14" t="s">
        <v>34</v>
      </c>
      <c r="N255" s="14" t="b">
        <v>0</v>
      </c>
      <c r="O255" s="14"/>
      <c r="P255" s="14"/>
      <c r="Q255" s="14"/>
      <c r="R255" s="14"/>
      <c r="S255" s="14" t="s">
        <v>1278</v>
      </c>
      <c r="T255" s="14" t="s">
        <v>36</v>
      </c>
      <c r="U255" s="17"/>
      <c r="V255" s="14"/>
      <c r="W255" s="14"/>
      <c r="X255" s="18"/>
      <c r="Y255" s="18"/>
      <c r="Z255" s="18"/>
      <c r="AA255" s="19">
        <f t="shared" si="1"/>
        <v>6</v>
      </c>
      <c r="AB255" s="19" t="str">
        <f t="shared" si="2"/>
        <v/>
      </c>
    </row>
    <row r="256" ht="15.75" customHeight="1">
      <c r="A256" s="12">
        <v>45099.0</v>
      </c>
      <c r="B256" s="13" t="s">
        <v>28</v>
      </c>
      <c r="C256" s="14" t="s">
        <v>1280</v>
      </c>
      <c r="D256" s="14"/>
      <c r="E256" s="14"/>
      <c r="F256" s="14"/>
      <c r="G256" s="14"/>
      <c r="H256" s="15" t="s">
        <v>1281</v>
      </c>
      <c r="I256" s="14"/>
      <c r="J256" s="132" t="s">
        <v>1281</v>
      </c>
      <c r="K256" s="14" t="s">
        <v>1282</v>
      </c>
      <c r="L256" s="14" t="s">
        <v>48</v>
      </c>
      <c r="M256" s="14" t="s">
        <v>565</v>
      </c>
      <c r="N256" s="14" t="b">
        <v>0</v>
      </c>
      <c r="O256" s="14"/>
      <c r="P256" s="14"/>
      <c r="Q256" s="14"/>
      <c r="R256" s="14"/>
      <c r="S256" s="14" t="s">
        <v>1283</v>
      </c>
      <c r="T256" s="13" t="s">
        <v>129</v>
      </c>
      <c r="U256" s="22">
        <v>45111.0</v>
      </c>
      <c r="V256" s="14"/>
      <c r="W256" s="14"/>
      <c r="X256" s="18"/>
      <c r="Y256" s="18"/>
      <c r="Z256" s="18"/>
      <c r="AA256" s="19">
        <f t="shared" si="1"/>
        <v>6</v>
      </c>
      <c r="AB256" s="19" t="str">
        <f t="shared" si="2"/>
        <v/>
      </c>
    </row>
    <row r="257" ht="15.75" customHeight="1">
      <c r="A257" s="12">
        <v>45099.0</v>
      </c>
      <c r="B257" s="13" t="s">
        <v>28</v>
      </c>
      <c r="C257" s="14" t="s">
        <v>1284</v>
      </c>
      <c r="D257" s="14" t="s">
        <v>1285</v>
      </c>
      <c r="E257" s="13">
        <v>12.0</v>
      </c>
      <c r="F257" s="14"/>
      <c r="G257" s="14"/>
      <c r="H257" s="15" t="s">
        <v>1286</v>
      </c>
      <c r="I257" s="14"/>
      <c r="J257" s="14"/>
      <c r="K257" s="130" t="s">
        <v>1287</v>
      </c>
      <c r="L257" s="14" t="s">
        <v>111</v>
      </c>
      <c r="M257" s="14" t="s">
        <v>34</v>
      </c>
      <c r="N257" s="14" t="b">
        <v>0</v>
      </c>
      <c r="O257" s="14"/>
      <c r="P257" s="14"/>
      <c r="Q257" s="14"/>
      <c r="R257" s="14"/>
      <c r="S257" s="14" t="s">
        <v>1288</v>
      </c>
      <c r="T257" s="13" t="s">
        <v>229</v>
      </c>
      <c r="U257" s="17"/>
      <c r="V257" s="14"/>
      <c r="W257" s="14"/>
      <c r="X257" s="18"/>
      <c r="Y257" s="18"/>
      <c r="Z257" s="18"/>
      <c r="AA257" s="19">
        <f t="shared" si="1"/>
        <v>6</v>
      </c>
      <c r="AB257" s="19" t="str">
        <f t="shared" si="2"/>
        <v/>
      </c>
    </row>
    <row r="258" ht="15.75" customHeight="1">
      <c r="A258" s="12">
        <v>45099.0</v>
      </c>
      <c r="B258" s="13" t="s">
        <v>28</v>
      </c>
      <c r="C258" s="14" t="s">
        <v>1289</v>
      </c>
      <c r="D258" s="14" t="s">
        <v>1290</v>
      </c>
      <c r="E258" s="13">
        <v>9.0</v>
      </c>
      <c r="F258" s="14"/>
      <c r="G258" s="14"/>
      <c r="H258" s="15" t="s">
        <v>1291</v>
      </c>
      <c r="I258" s="14"/>
      <c r="J258" s="14"/>
      <c r="K258" s="130" t="s">
        <v>1292</v>
      </c>
      <c r="L258" s="14" t="s">
        <v>48</v>
      </c>
      <c r="M258" s="14" t="s">
        <v>34</v>
      </c>
      <c r="N258" s="14" t="b">
        <v>0</v>
      </c>
      <c r="O258" s="14"/>
      <c r="P258" s="14"/>
      <c r="Q258" s="14"/>
      <c r="R258" s="14"/>
      <c r="S258" s="14" t="s">
        <v>1293</v>
      </c>
      <c r="T258" s="14" t="s">
        <v>36</v>
      </c>
      <c r="U258" s="17"/>
      <c r="V258" s="32">
        <v>45102.0</v>
      </c>
      <c r="W258" s="24" t="s">
        <v>862</v>
      </c>
      <c r="X258" s="25">
        <v>5116000.0</v>
      </c>
      <c r="Y258" s="25">
        <v>1790600.0</v>
      </c>
      <c r="Z258" s="25">
        <v>3325400.0</v>
      </c>
      <c r="AA258" s="19">
        <f t="shared" si="1"/>
        <v>6</v>
      </c>
      <c r="AB258" s="19" t="str">
        <f t="shared" si="2"/>
        <v/>
      </c>
    </row>
    <row r="259" ht="15.75" customHeight="1">
      <c r="A259" s="26">
        <v>45099.0</v>
      </c>
      <c r="B259" s="27" t="s">
        <v>84</v>
      </c>
      <c r="C259" s="24" t="s">
        <v>1294</v>
      </c>
      <c r="D259" s="27" t="s">
        <v>1295</v>
      </c>
      <c r="E259" s="24">
        <v>12.0</v>
      </c>
      <c r="F259" s="27"/>
      <c r="G259" s="27"/>
      <c r="H259" s="34" t="s">
        <v>1296</v>
      </c>
      <c r="I259" s="27"/>
      <c r="J259" s="27"/>
      <c r="K259" s="24" t="s">
        <v>1297</v>
      </c>
      <c r="L259" s="27" t="s">
        <v>111</v>
      </c>
      <c r="M259" s="27" t="s">
        <v>67</v>
      </c>
      <c r="N259" s="14" t="b">
        <v>1</v>
      </c>
      <c r="O259" s="27" t="s">
        <v>1298</v>
      </c>
      <c r="P259" s="13" t="s">
        <v>69</v>
      </c>
      <c r="Q259" s="24" t="s">
        <v>238</v>
      </c>
      <c r="R259" s="27"/>
      <c r="S259" s="27" t="s">
        <v>1299</v>
      </c>
      <c r="T259" s="24" t="s">
        <v>72</v>
      </c>
      <c r="U259" s="26"/>
      <c r="V259" s="14"/>
      <c r="W259" s="14"/>
      <c r="X259" s="18"/>
      <c r="Y259" s="18"/>
      <c r="Z259" s="18"/>
      <c r="AA259" s="19">
        <f t="shared" si="1"/>
        <v>6</v>
      </c>
      <c r="AB259" s="19">
        <f t="shared" si="2"/>
        <v>6</v>
      </c>
    </row>
    <row r="260" ht="15.75" customHeight="1">
      <c r="A260" s="12">
        <v>45099.0</v>
      </c>
      <c r="B260" s="14" t="s">
        <v>84</v>
      </c>
      <c r="C260" s="13" t="s">
        <v>1300</v>
      </c>
      <c r="D260" s="14" t="s">
        <v>1301</v>
      </c>
      <c r="E260" s="13">
        <v>8.0</v>
      </c>
      <c r="F260" s="14"/>
      <c r="G260" s="14"/>
      <c r="H260" s="15" t="s">
        <v>1302</v>
      </c>
      <c r="I260" s="14"/>
      <c r="J260" s="14"/>
      <c r="K260" s="14"/>
      <c r="L260" s="14" t="s">
        <v>111</v>
      </c>
      <c r="M260" s="14" t="s">
        <v>34</v>
      </c>
      <c r="N260" s="14" t="b">
        <v>1</v>
      </c>
      <c r="O260" s="13" t="s">
        <v>1303</v>
      </c>
      <c r="P260" s="13" t="s">
        <v>69</v>
      </c>
      <c r="Q260" s="14"/>
      <c r="R260" s="14"/>
      <c r="S260" s="14" t="s">
        <v>1304</v>
      </c>
      <c r="T260" s="14" t="s">
        <v>36</v>
      </c>
      <c r="U260" s="17"/>
      <c r="V260" s="14"/>
      <c r="W260" s="14"/>
      <c r="X260" s="18"/>
      <c r="Y260" s="18"/>
      <c r="Z260" s="18"/>
      <c r="AA260" s="19">
        <f t="shared" si="1"/>
        <v>6</v>
      </c>
      <c r="AB260" s="19" t="str">
        <f t="shared" si="2"/>
        <v/>
      </c>
    </row>
    <row r="261" ht="15.75" customHeight="1">
      <c r="A261" s="12">
        <v>45099.0</v>
      </c>
      <c r="B261" s="14" t="s">
        <v>84</v>
      </c>
      <c r="C261" s="13" t="s">
        <v>1305</v>
      </c>
      <c r="D261" s="14"/>
      <c r="E261" s="14"/>
      <c r="F261" s="14"/>
      <c r="G261" s="14"/>
      <c r="H261" s="15" t="s">
        <v>1306</v>
      </c>
      <c r="I261" s="14"/>
      <c r="J261" s="14"/>
      <c r="K261" s="14"/>
      <c r="L261" s="14" t="s">
        <v>48</v>
      </c>
      <c r="M261" s="14" t="s">
        <v>34</v>
      </c>
      <c r="N261" s="14" t="b">
        <v>0</v>
      </c>
      <c r="O261" s="14"/>
      <c r="P261" s="14"/>
      <c r="Q261" s="14"/>
      <c r="R261" s="14"/>
      <c r="S261" s="14" t="s">
        <v>1307</v>
      </c>
      <c r="T261" s="14" t="s">
        <v>36</v>
      </c>
      <c r="U261" s="17"/>
      <c r="V261" s="14"/>
      <c r="W261" s="14"/>
      <c r="X261" s="18"/>
      <c r="Y261" s="18"/>
      <c r="Z261" s="18"/>
      <c r="AA261" s="19">
        <f t="shared" si="1"/>
        <v>6</v>
      </c>
      <c r="AB261" s="19" t="str">
        <f t="shared" si="2"/>
        <v/>
      </c>
    </row>
    <row r="262" ht="15.75" customHeight="1">
      <c r="A262" s="12">
        <v>45100.0</v>
      </c>
      <c r="B262" s="14" t="s">
        <v>84</v>
      </c>
      <c r="C262" s="14" t="s">
        <v>1308</v>
      </c>
      <c r="D262" s="14"/>
      <c r="E262" s="14"/>
      <c r="F262" s="14"/>
      <c r="G262" s="14"/>
      <c r="H262" s="15" t="s">
        <v>1309</v>
      </c>
      <c r="I262" s="14"/>
      <c r="J262" s="14"/>
      <c r="K262" s="14" t="s">
        <v>1310</v>
      </c>
      <c r="L262" s="14" t="s">
        <v>89</v>
      </c>
      <c r="M262" s="14" t="s">
        <v>565</v>
      </c>
      <c r="N262" s="14" t="b">
        <v>0</v>
      </c>
      <c r="O262" s="14"/>
      <c r="P262" s="14"/>
      <c r="Q262" s="14"/>
      <c r="R262" s="14"/>
      <c r="S262" s="14" t="s">
        <v>1311</v>
      </c>
      <c r="T262" s="13" t="s">
        <v>129</v>
      </c>
      <c r="U262" s="17">
        <v>45103.0</v>
      </c>
      <c r="V262" s="14"/>
      <c r="W262" s="14"/>
      <c r="X262" s="18"/>
      <c r="Y262" s="18"/>
      <c r="Z262" s="18"/>
      <c r="AA262" s="19">
        <f t="shared" si="1"/>
        <v>6</v>
      </c>
      <c r="AB262" s="19" t="str">
        <f t="shared" si="2"/>
        <v/>
      </c>
    </row>
    <row r="263" ht="15.75" customHeight="1">
      <c r="A263" s="12">
        <v>45100.0</v>
      </c>
      <c r="B263" s="14" t="s">
        <v>84</v>
      </c>
      <c r="C263" s="14" t="s">
        <v>1312</v>
      </c>
      <c r="D263" s="14" t="s">
        <v>1313</v>
      </c>
      <c r="E263" s="13">
        <v>9.0</v>
      </c>
      <c r="F263" s="14">
        <v>4.0</v>
      </c>
      <c r="G263" s="14"/>
      <c r="H263" s="15" t="s">
        <v>1314</v>
      </c>
      <c r="I263" s="14"/>
      <c r="J263" s="14"/>
      <c r="K263" s="14" t="s">
        <v>1315</v>
      </c>
      <c r="L263" s="14" t="s">
        <v>111</v>
      </c>
      <c r="M263" s="14" t="s">
        <v>333</v>
      </c>
      <c r="N263" s="14" t="b">
        <v>0</v>
      </c>
      <c r="O263" s="14"/>
      <c r="P263" s="14"/>
      <c r="Q263" s="14"/>
      <c r="R263" s="14"/>
      <c r="S263" s="14" t="s">
        <v>1316</v>
      </c>
      <c r="T263" s="14" t="s">
        <v>36</v>
      </c>
      <c r="U263" s="17"/>
      <c r="V263" s="14"/>
      <c r="W263" s="14"/>
      <c r="X263" s="18"/>
      <c r="Y263" s="18"/>
      <c r="Z263" s="18"/>
      <c r="AA263" s="19">
        <f t="shared" si="1"/>
        <v>6</v>
      </c>
      <c r="AB263" s="19" t="str">
        <f t="shared" si="2"/>
        <v/>
      </c>
    </row>
    <row r="264" ht="15.75" customHeight="1">
      <c r="A264" s="12">
        <v>45100.0</v>
      </c>
      <c r="B264" s="13" t="s">
        <v>28</v>
      </c>
      <c r="C264" s="14" t="s">
        <v>1317</v>
      </c>
      <c r="D264" s="14" t="s">
        <v>1318</v>
      </c>
      <c r="E264" s="13">
        <v>7.0</v>
      </c>
      <c r="F264" s="14"/>
      <c r="G264" s="14"/>
      <c r="H264" s="15" t="s">
        <v>1319</v>
      </c>
      <c r="I264" s="14"/>
      <c r="J264" s="14"/>
      <c r="K264" s="14" t="s">
        <v>1320</v>
      </c>
      <c r="L264" s="14" t="s">
        <v>48</v>
      </c>
      <c r="M264" s="14" t="s">
        <v>158</v>
      </c>
      <c r="N264" s="14" t="b">
        <v>0</v>
      </c>
      <c r="O264" s="14"/>
      <c r="P264" s="14"/>
      <c r="Q264" s="14"/>
      <c r="R264" s="14"/>
      <c r="S264" s="14" t="s">
        <v>1321</v>
      </c>
      <c r="T264" s="14" t="s">
        <v>36</v>
      </c>
      <c r="U264" s="17"/>
      <c r="V264" s="14"/>
      <c r="W264" s="14"/>
      <c r="X264" s="18"/>
      <c r="Y264" s="18"/>
      <c r="Z264" s="18"/>
      <c r="AA264" s="19">
        <f t="shared" si="1"/>
        <v>6</v>
      </c>
      <c r="AB264" s="19" t="str">
        <f t="shared" si="2"/>
        <v/>
      </c>
    </row>
    <row r="265" ht="15.75" customHeight="1">
      <c r="A265" s="12">
        <v>45100.0</v>
      </c>
      <c r="B265" s="13" t="s">
        <v>28</v>
      </c>
      <c r="C265" s="14" t="s">
        <v>1322</v>
      </c>
      <c r="D265" s="14"/>
      <c r="E265" s="14"/>
      <c r="F265" s="14"/>
      <c r="G265" s="14"/>
      <c r="H265" s="15" t="s">
        <v>1323</v>
      </c>
      <c r="I265" s="14"/>
      <c r="J265" s="14"/>
      <c r="K265" s="14" t="s">
        <v>1324</v>
      </c>
      <c r="L265" s="14" t="s">
        <v>111</v>
      </c>
      <c r="M265" s="14" t="s">
        <v>216</v>
      </c>
      <c r="N265" s="14" t="b">
        <v>0</v>
      </c>
      <c r="O265" s="14"/>
      <c r="P265" s="14"/>
      <c r="Q265" s="14"/>
      <c r="R265" s="14"/>
      <c r="S265" s="14" t="s">
        <v>1325</v>
      </c>
      <c r="T265" s="13" t="s">
        <v>129</v>
      </c>
      <c r="U265" s="17">
        <v>45101.0</v>
      </c>
      <c r="V265" s="32">
        <v>45106.0</v>
      </c>
      <c r="W265" s="24" t="s">
        <v>575</v>
      </c>
      <c r="X265" s="25">
        <v>3062000.0</v>
      </c>
      <c r="Y265" s="25">
        <f>X265-Z265</f>
        <v>152000</v>
      </c>
      <c r="Z265" s="25">
        <v>2910000.0</v>
      </c>
      <c r="AA265" s="19">
        <f t="shared" si="1"/>
        <v>6</v>
      </c>
      <c r="AB265" s="19" t="str">
        <f t="shared" si="2"/>
        <v/>
      </c>
    </row>
    <row r="266" ht="15.75" customHeight="1">
      <c r="A266" s="26">
        <v>45100.0</v>
      </c>
      <c r="B266" s="13" t="s">
        <v>28</v>
      </c>
      <c r="C266" s="27" t="s">
        <v>1326</v>
      </c>
      <c r="D266" s="27" t="s">
        <v>1327</v>
      </c>
      <c r="E266" s="24">
        <v>10.0</v>
      </c>
      <c r="F266" s="27" t="s">
        <v>1328</v>
      </c>
      <c r="G266" s="27"/>
      <c r="H266" s="34" t="s">
        <v>1329</v>
      </c>
      <c r="I266" s="27"/>
      <c r="J266" s="27"/>
      <c r="K266" s="27"/>
      <c r="L266" s="27" t="s">
        <v>48</v>
      </c>
      <c r="M266" s="27" t="s">
        <v>67</v>
      </c>
      <c r="N266" s="14" t="b">
        <v>1</v>
      </c>
      <c r="O266" s="24" t="s">
        <v>1330</v>
      </c>
      <c r="P266" s="13" t="s">
        <v>69</v>
      </c>
      <c r="Q266" s="24" t="s">
        <v>91</v>
      </c>
      <c r="R266" s="27"/>
      <c r="S266" s="24" t="s">
        <v>1331</v>
      </c>
      <c r="T266" s="24" t="s">
        <v>72</v>
      </c>
      <c r="U266" s="26"/>
      <c r="V266" s="14"/>
      <c r="W266" s="14"/>
      <c r="X266" s="18"/>
      <c r="Y266" s="18"/>
      <c r="Z266" s="18"/>
      <c r="AA266" s="19">
        <f t="shared" si="1"/>
        <v>6</v>
      </c>
      <c r="AB266" s="19">
        <f t="shared" si="2"/>
        <v>6</v>
      </c>
    </row>
    <row r="267" ht="15.75" customHeight="1">
      <c r="A267" s="12">
        <v>45100.0</v>
      </c>
      <c r="B267" s="13" t="s">
        <v>28</v>
      </c>
      <c r="C267" s="14" t="s">
        <v>1332</v>
      </c>
      <c r="D267" s="14" t="s">
        <v>1333</v>
      </c>
      <c r="E267" s="13">
        <v>12.0</v>
      </c>
      <c r="F267" s="14"/>
      <c r="G267" s="14"/>
      <c r="H267" s="15" t="s">
        <v>1334</v>
      </c>
      <c r="I267" s="14"/>
      <c r="J267" s="14"/>
      <c r="K267" s="14" t="s">
        <v>1335</v>
      </c>
      <c r="L267" s="14" t="s">
        <v>48</v>
      </c>
      <c r="M267" s="14" t="s">
        <v>34</v>
      </c>
      <c r="N267" s="14" t="b">
        <v>1</v>
      </c>
      <c r="O267" s="13" t="s">
        <v>1336</v>
      </c>
      <c r="P267" s="13" t="s">
        <v>69</v>
      </c>
      <c r="Q267" s="14"/>
      <c r="R267" s="14"/>
      <c r="S267" s="62" t="s">
        <v>1337</v>
      </c>
      <c r="T267" s="14" t="s">
        <v>36</v>
      </c>
      <c r="U267" s="17"/>
      <c r="V267" s="32">
        <v>45114.0</v>
      </c>
      <c r="W267" s="24" t="s">
        <v>130</v>
      </c>
      <c r="X267" s="25">
        <v>3062000.0</v>
      </c>
      <c r="Y267" s="25">
        <v>153100.0</v>
      </c>
      <c r="Z267" s="25">
        <v>2908900.0</v>
      </c>
      <c r="AA267" s="19">
        <f t="shared" si="1"/>
        <v>6</v>
      </c>
      <c r="AB267" s="19" t="str">
        <f t="shared" si="2"/>
        <v/>
      </c>
    </row>
    <row r="268" ht="15.75" customHeight="1">
      <c r="A268" s="26">
        <v>45100.0</v>
      </c>
      <c r="B268" s="13" t="s">
        <v>28</v>
      </c>
      <c r="C268" s="27" t="s">
        <v>1338</v>
      </c>
      <c r="D268" s="27" t="s">
        <v>1339</v>
      </c>
      <c r="E268" s="24">
        <v>11.0</v>
      </c>
      <c r="F268" s="27">
        <v>6.0</v>
      </c>
      <c r="G268" s="27"/>
      <c r="H268" s="29" t="s">
        <v>1340</v>
      </c>
      <c r="I268" s="27"/>
      <c r="J268" s="27"/>
      <c r="K268" s="27" t="s">
        <v>1341</v>
      </c>
      <c r="L268" s="27" t="s">
        <v>111</v>
      </c>
      <c r="M268" s="27" t="s">
        <v>67</v>
      </c>
      <c r="N268" s="14" t="b">
        <v>1</v>
      </c>
      <c r="O268" s="24" t="s">
        <v>1342</v>
      </c>
      <c r="P268" s="13" t="s">
        <v>69</v>
      </c>
      <c r="Q268" s="24" t="s">
        <v>91</v>
      </c>
      <c r="R268" s="27" t="s">
        <v>1343</v>
      </c>
      <c r="S268" s="27" t="s">
        <v>1344</v>
      </c>
      <c r="T268" s="24" t="s">
        <v>72</v>
      </c>
      <c r="U268" s="26"/>
      <c r="V268" s="14"/>
      <c r="W268" s="14"/>
      <c r="X268" s="18"/>
      <c r="Y268" s="18"/>
      <c r="Z268" s="18"/>
      <c r="AA268" s="19">
        <f t="shared" si="1"/>
        <v>6</v>
      </c>
      <c r="AB268" s="19">
        <f t="shared" si="2"/>
        <v>7</v>
      </c>
    </row>
    <row r="269" ht="15.75" customHeight="1">
      <c r="A269" s="12">
        <v>45100.0</v>
      </c>
      <c r="B269" s="13" t="s">
        <v>28</v>
      </c>
      <c r="C269" s="14" t="s">
        <v>1345</v>
      </c>
      <c r="D269" s="14" t="s">
        <v>1346</v>
      </c>
      <c r="E269" s="14"/>
      <c r="F269" s="14" t="s">
        <v>1328</v>
      </c>
      <c r="G269" s="14"/>
      <c r="H269" s="15" t="s">
        <v>1347</v>
      </c>
      <c r="I269" s="14"/>
      <c r="J269" s="14"/>
      <c r="K269" s="14"/>
      <c r="L269" s="14" t="s">
        <v>48</v>
      </c>
      <c r="M269" s="14" t="s">
        <v>34</v>
      </c>
      <c r="N269" s="14" t="b">
        <v>1</v>
      </c>
      <c r="O269" s="13" t="s">
        <v>1348</v>
      </c>
      <c r="P269" s="13" t="s">
        <v>69</v>
      </c>
      <c r="Q269" s="14"/>
      <c r="R269" s="14"/>
      <c r="S269" s="14" t="s">
        <v>1349</v>
      </c>
      <c r="T269" s="14" t="s">
        <v>36</v>
      </c>
      <c r="U269" s="17"/>
      <c r="V269" s="14"/>
      <c r="W269" s="14"/>
      <c r="X269" s="18"/>
      <c r="Y269" s="18"/>
      <c r="Z269" s="18"/>
      <c r="AA269" s="19">
        <f t="shared" si="1"/>
        <v>6</v>
      </c>
      <c r="AB269" s="19" t="str">
        <f t="shared" si="2"/>
        <v/>
      </c>
    </row>
    <row r="270" ht="15.75" customHeight="1">
      <c r="A270" s="12">
        <v>45100.0</v>
      </c>
      <c r="B270" s="13" t="s">
        <v>28</v>
      </c>
      <c r="C270" s="14" t="s">
        <v>1350</v>
      </c>
      <c r="D270" s="14"/>
      <c r="E270" s="14"/>
      <c r="F270" s="14"/>
      <c r="G270" s="14"/>
      <c r="H270" s="15" t="s">
        <v>1351</v>
      </c>
      <c r="I270" s="14"/>
      <c r="J270" s="14"/>
      <c r="K270" s="14"/>
      <c r="L270" s="14" t="s">
        <v>48</v>
      </c>
      <c r="M270" s="14" t="s">
        <v>216</v>
      </c>
      <c r="N270" s="14" t="b">
        <v>0</v>
      </c>
      <c r="O270" s="14"/>
      <c r="P270" s="14"/>
      <c r="Q270" s="14"/>
      <c r="R270" s="14"/>
      <c r="S270" s="14" t="s">
        <v>1352</v>
      </c>
      <c r="T270" s="14" t="s">
        <v>36</v>
      </c>
      <c r="U270" s="17"/>
      <c r="V270" s="14"/>
      <c r="W270" s="14"/>
      <c r="X270" s="18"/>
      <c r="Y270" s="18"/>
      <c r="Z270" s="18"/>
      <c r="AA270" s="19">
        <f t="shared" si="1"/>
        <v>6</v>
      </c>
      <c r="AB270" s="19" t="str">
        <f t="shared" si="2"/>
        <v/>
      </c>
    </row>
    <row r="271" ht="15.75" customHeight="1">
      <c r="A271" s="12">
        <v>45100.0</v>
      </c>
      <c r="B271" s="13" t="s">
        <v>28</v>
      </c>
      <c r="C271" s="120" t="s">
        <v>1353</v>
      </c>
      <c r="D271" s="120" t="s">
        <v>1354</v>
      </c>
      <c r="E271" s="13">
        <v>12.0</v>
      </c>
      <c r="F271" s="14" t="s">
        <v>297</v>
      </c>
      <c r="G271" s="14"/>
      <c r="H271" s="15" t="s">
        <v>1355</v>
      </c>
      <c r="I271" s="14"/>
      <c r="J271" s="14"/>
      <c r="K271" s="13" t="s">
        <v>1356</v>
      </c>
      <c r="L271" s="14" t="s">
        <v>111</v>
      </c>
      <c r="M271" s="14" t="s">
        <v>13</v>
      </c>
      <c r="N271" s="14" t="b">
        <v>1</v>
      </c>
      <c r="O271" s="13" t="s">
        <v>1357</v>
      </c>
      <c r="P271" s="13" t="s">
        <v>69</v>
      </c>
      <c r="Q271" s="14"/>
      <c r="R271" s="14"/>
      <c r="S271" s="14" t="s">
        <v>1358</v>
      </c>
      <c r="T271" s="13" t="s">
        <v>129</v>
      </c>
      <c r="U271" s="17"/>
      <c r="V271" s="14"/>
      <c r="W271" s="14"/>
      <c r="X271" s="18"/>
      <c r="Y271" s="18"/>
      <c r="Z271" s="18"/>
      <c r="AA271" s="19">
        <f t="shared" si="1"/>
        <v>6</v>
      </c>
      <c r="AB271" s="19" t="str">
        <f t="shared" si="2"/>
        <v/>
      </c>
    </row>
    <row r="272" ht="15.75" customHeight="1">
      <c r="A272" s="12">
        <v>45100.0</v>
      </c>
      <c r="B272" s="13" t="s">
        <v>28</v>
      </c>
      <c r="C272" s="120"/>
      <c r="D272" s="133" t="s">
        <v>1359</v>
      </c>
      <c r="E272" s="13">
        <v>9.0</v>
      </c>
      <c r="F272" s="14"/>
      <c r="G272" s="14"/>
      <c r="H272" s="15" t="s">
        <v>1355</v>
      </c>
      <c r="I272" s="14"/>
      <c r="J272" s="14"/>
      <c r="K272" s="14"/>
      <c r="L272" s="14" t="s">
        <v>111</v>
      </c>
      <c r="M272" s="14" t="s">
        <v>34</v>
      </c>
      <c r="N272" s="14" t="b">
        <v>0</v>
      </c>
      <c r="O272" s="14"/>
      <c r="P272" s="14"/>
      <c r="Q272" s="14"/>
      <c r="R272" s="14"/>
      <c r="S272" s="14" t="s">
        <v>1360</v>
      </c>
      <c r="T272" s="14" t="s">
        <v>36</v>
      </c>
      <c r="U272" s="17"/>
      <c r="V272" s="14"/>
      <c r="W272" s="14"/>
      <c r="X272" s="18"/>
      <c r="Y272" s="18"/>
      <c r="Z272" s="18"/>
      <c r="AA272" s="19">
        <f t="shared" si="1"/>
        <v>6</v>
      </c>
      <c r="AB272" s="19" t="str">
        <f t="shared" si="2"/>
        <v/>
      </c>
    </row>
    <row r="273" ht="15.75" customHeight="1">
      <c r="A273" s="12">
        <v>45101.0</v>
      </c>
      <c r="B273" s="13" t="s">
        <v>28</v>
      </c>
      <c r="C273" s="120" t="s">
        <v>1361</v>
      </c>
      <c r="D273" s="37" t="s">
        <v>1362</v>
      </c>
      <c r="E273" s="14"/>
      <c r="F273" s="14"/>
      <c r="G273" s="14"/>
      <c r="H273" s="42" t="s">
        <v>1363</v>
      </c>
      <c r="I273" s="14"/>
      <c r="J273" s="14"/>
      <c r="K273" s="13" t="s">
        <v>1364</v>
      </c>
      <c r="L273" s="14" t="s">
        <v>48</v>
      </c>
      <c r="M273" s="14" t="s">
        <v>34</v>
      </c>
      <c r="N273" s="14" t="b">
        <v>0</v>
      </c>
      <c r="O273" s="14"/>
      <c r="P273" s="14"/>
      <c r="Q273" s="14"/>
      <c r="R273" s="14"/>
      <c r="S273" s="37" t="s">
        <v>1365</v>
      </c>
      <c r="T273" s="14" t="s">
        <v>36</v>
      </c>
      <c r="U273" s="61"/>
      <c r="V273" s="32">
        <v>45107.0</v>
      </c>
      <c r="W273" s="24" t="s">
        <v>83</v>
      </c>
      <c r="X273" s="25">
        <v>3062000.0</v>
      </c>
      <c r="Y273" s="25">
        <f>X273-Z273</f>
        <v>153100</v>
      </c>
      <c r="Z273" s="25">
        <v>2908900.0</v>
      </c>
      <c r="AA273" s="19">
        <f t="shared" si="1"/>
        <v>6</v>
      </c>
      <c r="AB273" s="19" t="str">
        <f t="shared" si="2"/>
        <v/>
      </c>
    </row>
    <row r="274" ht="15.75" customHeight="1">
      <c r="A274" s="26">
        <v>45101.0</v>
      </c>
      <c r="B274" s="13" t="s">
        <v>28</v>
      </c>
      <c r="C274" s="27" t="s">
        <v>1366</v>
      </c>
      <c r="D274" s="27" t="s">
        <v>1367</v>
      </c>
      <c r="E274" s="24">
        <v>11.0</v>
      </c>
      <c r="F274" s="27" t="s">
        <v>1368</v>
      </c>
      <c r="G274" s="27"/>
      <c r="H274" s="34" t="s">
        <v>1369</v>
      </c>
      <c r="I274" s="27"/>
      <c r="J274" s="27"/>
      <c r="K274" s="27"/>
      <c r="L274" s="27" t="s">
        <v>48</v>
      </c>
      <c r="M274" s="27" t="s">
        <v>67</v>
      </c>
      <c r="N274" s="14" t="b">
        <v>1</v>
      </c>
      <c r="O274" s="24" t="s">
        <v>1370</v>
      </c>
      <c r="P274" s="13" t="s">
        <v>42</v>
      </c>
      <c r="Q274" s="24" t="s">
        <v>91</v>
      </c>
      <c r="R274" s="27"/>
      <c r="S274" s="24" t="s">
        <v>1371</v>
      </c>
      <c r="T274" s="24" t="s">
        <v>72</v>
      </c>
      <c r="U274" s="32"/>
      <c r="V274" s="14"/>
      <c r="W274" s="14"/>
      <c r="X274" s="18"/>
      <c r="Y274" s="18"/>
      <c r="Z274" s="18"/>
      <c r="AA274" s="19">
        <f t="shared" si="1"/>
        <v>6</v>
      </c>
      <c r="AB274" s="19">
        <f t="shared" si="2"/>
        <v>6</v>
      </c>
    </row>
    <row r="275" ht="15.75" customHeight="1">
      <c r="A275" s="12">
        <v>45101.0</v>
      </c>
      <c r="B275" s="14" t="s">
        <v>703</v>
      </c>
      <c r="C275" s="14" t="s">
        <v>1372</v>
      </c>
      <c r="D275" s="14"/>
      <c r="E275" s="13">
        <v>7.0</v>
      </c>
      <c r="F275" s="14"/>
      <c r="G275" s="14"/>
      <c r="H275" s="15" t="s">
        <v>1373</v>
      </c>
      <c r="I275" s="14"/>
      <c r="J275" s="14"/>
      <c r="K275" s="14" t="s">
        <v>1374</v>
      </c>
      <c r="L275" s="14" t="s">
        <v>111</v>
      </c>
      <c r="M275" s="14" t="s">
        <v>565</v>
      </c>
      <c r="N275" s="14" t="b">
        <v>0</v>
      </c>
      <c r="O275" s="14"/>
      <c r="P275" s="14"/>
      <c r="Q275" s="14"/>
      <c r="R275" s="14"/>
      <c r="S275" s="14" t="s">
        <v>1375</v>
      </c>
      <c r="T275" s="13" t="s">
        <v>129</v>
      </c>
      <c r="U275" s="17"/>
      <c r="V275" s="32">
        <v>45105.0</v>
      </c>
      <c r="W275" s="24" t="s">
        <v>1376</v>
      </c>
      <c r="X275" s="25">
        <v>8750000.0</v>
      </c>
      <c r="Y275" s="25">
        <v>437500.0</v>
      </c>
      <c r="Z275" s="25">
        <v>8312500.0</v>
      </c>
      <c r="AA275" s="19">
        <f t="shared" si="1"/>
        <v>6</v>
      </c>
      <c r="AB275" s="19" t="str">
        <f t="shared" si="2"/>
        <v/>
      </c>
    </row>
    <row r="276" ht="15.75" customHeight="1">
      <c r="A276" s="26">
        <v>45101.0</v>
      </c>
      <c r="B276" s="27" t="s">
        <v>84</v>
      </c>
      <c r="C276" s="27" t="s">
        <v>1377</v>
      </c>
      <c r="D276" s="27" t="s">
        <v>1378</v>
      </c>
      <c r="E276" s="24">
        <v>12.0</v>
      </c>
      <c r="F276" s="27"/>
      <c r="G276" s="27"/>
      <c r="H276" s="34" t="s">
        <v>1379</v>
      </c>
      <c r="I276" s="27"/>
      <c r="J276" s="27"/>
      <c r="K276" s="24" t="s">
        <v>1380</v>
      </c>
      <c r="L276" s="27" t="s">
        <v>111</v>
      </c>
      <c r="M276" s="27" t="s">
        <v>67</v>
      </c>
      <c r="N276" s="14" t="b">
        <v>1</v>
      </c>
      <c r="O276" s="27" t="s">
        <v>1381</v>
      </c>
      <c r="P276" s="13" t="s">
        <v>42</v>
      </c>
      <c r="Q276" s="24" t="s">
        <v>91</v>
      </c>
      <c r="R276" s="27" t="s">
        <v>1382</v>
      </c>
      <c r="S276" s="24" t="s">
        <v>1383</v>
      </c>
      <c r="T276" s="24" t="s">
        <v>72</v>
      </c>
      <c r="U276" s="26"/>
      <c r="V276" s="115"/>
      <c r="W276" s="115"/>
      <c r="X276" s="134"/>
      <c r="Y276" s="134"/>
      <c r="Z276" s="18"/>
      <c r="AA276" s="19">
        <f t="shared" si="1"/>
        <v>6</v>
      </c>
      <c r="AB276" s="19">
        <f t="shared" si="2"/>
        <v>6</v>
      </c>
    </row>
    <row r="277" ht="15.75" customHeight="1">
      <c r="A277" s="114">
        <v>45095.0</v>
      </c>
      <c r="B277" s="115" t="s">
        <v>84</v>
      </c>
      <c r="C277" s="117" t="s">
        <v>1384</v>
      </c>
      <c r="D277" s="115" t="s">
        <v>1385</v>
      </c>
      <c r="E277" s="115"/>
      <c r="F277" s="115"/>
      <c r="G277" s="115"/>
      <c r="H277" s="15" t="s">
        <v>1386</v>
      </c>
      <c r="I277" s="115"/>
      <c r="J277" s="115"/>
      <c r="K277" s="13" t="s">
        <v>1380</v>
      </c>
      <c r="L277" s="115" t="s">
        <v>111</v>
      </c>
      <c r="M277" s="115" t="s">
        <v>34</v>
      </c>
      <c r="N277" s="14" t="b">
        <v>1</v>
      </c>
      <c r="O277" s="115" t="s">
        <v>1387</v>
      </c>
      <c r="P277" s="13" t="s">
        <v>42</v>
      </c>
      <c r="Q277" s="117"/>
      <c r="R277" s="115"/>
      <c r="S277" s="117" t="s">
        <v>1388</v>
      </c>
      <c r="T277" s="14" t="s">
        <v>36</v>
      </c>
      <c r="U277" s="135"/>
      <c r="V277" s="14"/>
      <c r="W277" s="14"/>
      <c r="X277" s="18"/>
      <c r="Y277" s="18"/>
      <c r="Z277" s="18"/>
      <c r="AA277" s="19">
        <f t="shared" si="1"/>
        <v>6</v>
      </c>
      <c r="AB277" s="19" t="str">
        <f t="shared" si="2"/>
        <v/>
      </c>
    </row>
    <row r="278" ht="15.75" customHeight="1">
      <c r="A278" s="12">
        <v>45101.0</v>
      </c>
      <c r="B278" s="13" t="s">
        <v>28</v>
      </c>
      <c r="C278" s="14" t="s">
        <v>1389</v>
      </c>
      <c r="D278" s="14"/>
      <c r="E278" s="14"/>
      <c r="F278" s="14"/>
      <c r="G278" s="14"/>
      <c r="H278" s="15" t="s">
        <v>1390</v>
      </c>
      <c r="I278" s="14"/>
      <c r="J278" s="14"/>
      <c r="K278" s="14"/>
      <c r="L278" s="14" t="s">
        <v>48</v>
      </c>
      <c r="M278" s="14" t="s">
        <v>216</v>
      </c>
      <c r="N278" s="14" t="b">
        <v>0</v>
      </c>
      <c r="O278" s="14"/>
      <c r="P278" s="14"/>
      <c r="Q278" s="14"/>
      <c r="R278" s="14"/>
      <c r="S278" s="14" t="s">
        <v>1391</v>
      </c>
      <c r="T278" s="14" t="s">
        <v>36</v>
      </c>
      <c r="U278" s="17">
        <v>45110.0</v>
      </c>
      <c r="V278" s="14"/>
      <c r="W278" s="14"/>
      <c r="X278" s="18"/>
      <c r="Y278" s="18"/>
      <c r="Z278" s="18"/>
      <c r="AA278" s="19">
        <f t="shared" si="1"/>
        <v>6</v>
      </c>
      <c r="AB278" s="19" t="str">
        <f t="shared" si="2"/>
        <v/>
      </c>
    </row>
    <row r="279" ht="15.75" customHeight="1">
      <c r="A279" s="12">
        <v>45101.0</v>
      </c>
      <c r="B279" s="14" t="s">
        <v>84</v>
      </c>
      <c r="C279" s="14" t="s">
        <v>1392</v>
      </c>
      <c r="D279" s="14"/>
      <c r="E279" s="13">
        <v>9.0</v>
      </c>
      <c r="F279" s="14"/>
      <c r="G279" s="14"/>
      <c r="H279" s="15" t="s">
        <v>1393</v>
      </c>
      <c r="I279" s="14"/>
      <c r="J279" s="14"/>
      <c r="K279" s="14" t="s">
        <v>1394</v>
      </c>
      <c r="L279" s="14" t="s">
        <v>111</v>
      </c>
      <c r="M279" s="14" t="s">
        <v>34</v>
      </c>
      <c r="N279" s="14" t="b">
        <v>0</v>
      </c>
      <c r="O279" s="14"/>
      <c r="P279" s="14"/>
      <c r="Q279" s="14"/>
      <c r="R279" s="14"/>
      <c r="S279" s="14" t="s">
        <v>1395</v>
      </c>
      <c r="T279" s="14" t="s">
        <v>36</v>
      </c>
      <c r="U279" s="17"/>
      <c r="V279" s="109">
        <v>45103.0</v>
      </c>
      <c r="W279" s="77" t="s">
        <v>311</v>
      </c>
      <c r="X279" s="25">
        <v>6124000.0</v>
      </c>
      <c r="Y279" s="25">
        <v>918600.0</v>
      </c>
      <c r="Z279" s="25">
        <v>5205400.0</v>
      </c>
      <c r="AA279" s="19">
        <f t="shared" si="1"/>
        <v>6</v>
      </c>
      <c r="AB279" s="19" t="str">
        <f t="shared" si="2"/>
        <v/>
      </c>
    </row>
    <row r="280" ht="15.75" customHeight="1">
      <c r="A280" s="26">
        <v>45102.0</v>
      </c>
      <c r="B280" s="13" t="s">
        <v>28</v>
      </c>
      <c r="C280" s="27" t="s">
        <v>1396</v>
      </c>
      <c r="D280" s="27" t="s">
        <v>1397</v>
      </c>
      <c r="E280" s="24">
        <v>8.0</v>
      </c>
      <c r="F280" s="27"/>
      <c r="G280" s="27"/>
      <c r="H280" s="34" t="s">
        <v>1398</v>
      </c>
      <c r="I280" s="27"/>
      <c r="J280" s="27" t="s">
        <v>1399</v>
      </c>
      <c r="K280" s="24" t="s">
        <v>1400</v>
      </c>
      <c r="L280" s="27" t="s">
        <v>111</v>
      </c>
      <c r="M280" s="27" t="s">
        <v>67</v>
      </c>
      <c r="N280" s="14" t="b">
        <v>1</v>
      </c>
      <c r="O280" s="58" t="s">
        <v>1401</v>
      </c>
      <c r="P280" s="13" t="s">
        <v>69</v>
      </c>
      <c r="Q280" s="24" t="s">
        <v>91</v>
      </c>
      <c r="R280" s="27"/>
      <c r="S280" s="24" t="s">
        <v>1402</v>
      </c>
      <c r="T280" s="24" t="s">
        <v>72</v>
      </c>
      <c r="U280" s="26"/>
      <c r="V280" s="14"/>
      <c r="W280" s="14"/>
      <c r="X280" s="18"/>
      <c r="Y280" s="18"/>
      <c r="Z280" s="18"/>
      <c r="AA280" s="19">
        <f t="shared" si="1"/>
        <v>6</v>
      </c>
      <c r="AB280" s="19">
        <f t="shared" si="2"/>
        <v>6</v>
      </c>
    </row>
    <row r="281" ht="15.75" customHeight="1">
      <c r="A281" s="12">
        <v>45103.0</v>
      </c>
      <c r="B281" s="14" t="s">
        <v>84</v>
      </c>
      <c r="C281" s="14"/>
      <c r="D281" s="14" t="s">
        <v>1403</v>
      </c>
      <c r="E281" s="13">
        <v>5.0</v>
      </c>
      <c r="F281" s="14"/>
      <c r="G281" s="14"/>
      <c r="H281" s="15" t="s">
        <v>1404</v>
      </c>
      <c r="I281" s="14"/>
      <c r="J281" s="14"/>
      <c r="K281" s="13" t="s">
        <v>1405</v>
      </c>
      <c r="L281" s="14" t="s">
        <v>48</v>
      </c>
      <c r="M281" s="14" t="s">
        <v>34</v>
      </c>
      <c r="N281" s="14" t="b">
        <v>0</v>
      </c>
      <c r="O281" s="14"/>
      <c r="P281" s="14"/>
      <c r="Q281" s="14"/>
      <c r="R281" s="14"/>
      <c r="S281" s="14" t="s">
        <v>1406</v>
      </c>
      <c r="T281" s="13" t="s">
        <v>129</v>
      </c>
      <c r="U281" s="17"/>
      <c r="V281" s="14"/>
      <c r="W281" s="14"/>
      <c r="X281" s="18"/>
      <c r="Y281" s="18"/>
      <c r="Z281" s="18"/>
      <c r="AA281" s="19">
        <f t="shared" si="1"/>
        <v>6</v>
      </c>
      <c r="AB281" s="19" t="str">
        <f t="shared" si="2"/>
        <v/>
      </c>
    </row>
    <row r="282" ht="15.75" customHeight="1">
      <c r="A282" s="12">
        <v>45097.0</v>
      </c>
      <c r="B282" s="14" t="s">
        <v>201</v>
      </c>
      <c r="C282" s="14" t="s">
        <v>154</v>
      </c>
      <c r="D282" s="14" t="s">
        <v>1407</v>
      </c>
      <c r="E282" s="14"/>
      <c r="F282" s="14" t="s">
        <v>234</v>
      </c>
      <c r="G282" s="14"/>
      <c r="H282" s="15" t="s">
        <v>156</v>
      </c>
      <c r="I282" s="14"/>
      <c r="J282" s="14"/>
      <c r="K282" s="14" t="s">
        <v>1408</v>
      </c>
      <c r="L282" s="14" t="s">
        <v>48</v>
      </c>
      <c r="M282" s="14" t="s">
        <v>34</v>
      </c>
      <c r="N282" s="14" t="b">
        <v>1</v>
      </c>
      <c r="O282" s="13" t="s">
        <v>1409</v>
      </c>
      <c r="P282" s="13" t="s">
        <v>69</v>
      </c>
      <c r="Q282" s="14"/>
      <c r="R282" s="14"/>
      <c r="S282" s="14" t="s">
        <v>1410</v>
      </c>
      <c r="T282" s="14" t="s">
        <v>36</v>
      </c>
      <c r="U282" s="17"/>
      <c r="V282" s="32">
        <v>45103.0</v>
      </c>
      <c r="W282" s="24" t="s">
        <v>1411</v>
      </c>
      <c r="X282" s="25">
        <v>8750000.0</v>
      </c>
      <c r="Y282" s="25">
        <f>X282-Z282</f>
        <v>1292500</v>
      </c>
      <c r="Z282" s="25">
        <v>7457500.0</v>
      </c>
      <c r="AA282" s="19">
        <f t="shared" si="1"/>
        <v>6</v>
      </c>
      <c r="AB282" s="19" t="str">
        <f t="shared" si="2"/>
        <v/>
      </c>
    </row>
    <row r="283" ht="15.75" customHeight="1">
      <c r="A283" s="26">
        <v>45097.0</v>
      </c>
      <c r="B283" s="27" t="s">
        <v>201</v>
      </c>
      <c r="C283" s="27" t="s">
        <v>154</v>
      </c>
      <c r="D283" s="27" t="s">
        <v>1412</v>
      </c>
      <c r="E283" s="24">
        <v>13.0</v>
      </c>
      <c r="F283" s="27" t="s">
        <v>1413</v>
      </c>
      <c r="G283" s="27"/>
      <c r="H283" s="34" t="s">
        <v>156</v>
      </c>
      <c r="I283" s="27"/>
      <c r="J283" s="27"/>
      <c r="K283" s="27" t="s">
        <v>1414</v>
      </c>
      <c r="L283" s="27" t="s">
        <v>48</v>
      </c>
      <c r="M283" s="27" t="s">
        <v>67</v>
      </c>
      <c r="N283" s="14" t="b">
        <v>1</v>
      </c>
      <c r="O283" s="24" t="s">
        <v>1415</v>
      </c>
      <c r="P283" s="13" t="s">
        <v>69</v>
      </c>
      <c r="Q283" s="24" t="s">
        <v>1416</v>
      </c>
      <c r="R283" s="27"/>
      <c r="S283" s="27" t="s">
        <v>1417</v>
      </c>
      <c r="T283" s="24" t="s">
        <v>72</v>
      </c>
      <c r="U283" s="26"/>
      <c r="V283" s="14"/>
      <c r="W283" s="14"/>
      <c r="X283" s="18"/>
      <c r="Y283" s="18"/>
      <c r="Z283" s="18"/>
      <c r="AA283" s="19">
        <f t="shared" si="1"/>
        <v>6</v>
      </c>
      <c r="AB283" s="19">
        <f t="shared" si="2"/>
        <v>6</v>
      </c>
    </row>
    <row r="284" ht="15.75" customHeight="1">
      <c r="A284" s="12">
        <v>45103.0</v>
      </c>
      <c r="B284" s="27" t="s">
        <v>60</v>
      </c>
      <c r="C284" s="13" t="s">
        <v>1418</v>
      </c>
      <c r="D284" s="14"/>
      <c r="E284" s="13">
        <v>11.0</v>
      </c>
      <c r="F284" s="14" t="s">
        <v>1419</v>
      </c>
      <c r="G284" s="14"/>
      <c r="H284" s="15" t="s">
        <v>1420</v>
      </c>
      <c r="I284" s="14"/>
      <c r="J284" s="14"/>
      <c r="K284" s="14" t="s">
        <v>1421</v>
      </c>
      <c r="L284" s="27" t="s">
        <v>48</v>
      </c>
      <c r="M284" s="14" t="s">
        <v>565</v>
      </c>
      <c r="N284" s="14" t="b">
        <v>0</v>
      </c>
      <c r="O284" s="14"/>
      <c r="P284" s="14"/>
      <c r="Q284" s="14"/>
      <c r="R284" s="14"/>
      <c r="S284" s="14" t="s">
        <v>1422</v>
      </c>
      <c r="T284" s="13" t="s">
        <v>129</v>
      </c>
      <c r="U284" s="17">
        <v>45108.0</v>
      </c>
      <c r="V284" s="14"/>
      <c r="W284" s="14"/>
      <c r="X284" s="18"/>
      <c r="Y284" s="18"/>
      <c r="Z284" s="18"/>
      <c r="AA284" s="19">
        <f t="shared" si="1"/>
        <v>6</v>
      </c>
      <c r="AB284" s="19" t="str">
        <f t="shared" si="2"/>
        <v/>
      </c>
    </row>
    <row r="285" ht="15.75" customHeight="1">
      <c r="A285" s="12">
        <v>45104.0</v>
      </c>
      <c r="B285" s="13" t="s">
        <v>28</v>
      </c>
      <c r="C285" s="14" t="s">
        <v>1423</v>
      </c>
      <c r="D285" s="14"/>
      <c r="E285" s="14"/>
      <c r="F285" s="14"/>
      <c r="G285" s="14"/>
      <c r="H285" s="15" t="s">
        <v>1424</v>
      </c>
      <c r="I285" s="14"/>
      <c r="J285" s="14"/>
      <c r="K285" s="14"/>
      <c r="L285" s="27" t="s">
        <v>111</v>
      </c>
      <c r="M285" s="14" t="s">
        <v>34</v>
      </c>
      <c r="N285" s="14" t="b">
        <v>0</v>
      </c>
      <c r="O285" s="14"/>
      <c r="P285" s="14"/>
      <c r="Q285" s="14"/>
      <c r="R285" s="14"/>
      <c r="S285" s="14" t="s">
        <v>1425</v>
      </c>
      <c r="T285" s="14" t="s">
        <v>36</v>
      </c>
      <c r="U285" s="17"/>
      <c r="V285" s="14"/>
      <c r="W285" s="14"/>
      <c r="X285" s="18"/>
      <c r="Y285" s="18"/>
      <c r="Z285" s="18"/>
      <c r="AA285" s="19">
        <f t="shared" si="1"/>
        <v>6</v>
      </c>
      <c r="AB285" s="19" t="str">
        <f t="shared" si="2"/>
        <v/>
      </c>
    </row>
    <row r="286" ht="15.75" customHeight="1">
      <c r="A286" s="12">
        <v>45104.0</v>
      </c>
      <c r="B286" s="13" t="s">
        <v>28</v>
      </c>
      <c r="C286" s="14" t="s">
        <v>1426</v>
      </c>
      <c r="D286" s="14"/>
      <c r="E286" s="14"/>
      <c r="F286" s="14"/>
      <c r="G286" s="14"/>
      <c r="H286" s="15" t="s">
        <v>1427</v>
      </c>
      <c r="I286" s="14"/>
      <c r="J286" s="14"/>
      <c r="K286" s="14" t="s">
        <v>1428</v>
      </c>
      <c r="L286" s="27" t="s">
        <v>48</v>
      </c>
      <c r="M286" s="14" t="s">
        <v>34</v>
      </c>
      <c r="N286" s="14" t="b">
        <v>0</v>
      </c>
      <c r="O286" s="14"/>
      <c r="P286" s="14"/>
      <c r="Q286" s="14"/>
      <c r="R286" s="14"/>
      <c r="S286" s="14" t="s">
        <v>1429</v>
      </c>
      <c r="T286" s="14" t="s">
        <v>36</v>
      </c>
      <c r="U286" s="17"/>
      <c r="V286" s="14"/>
      <c r="W286" s="14"/>
      <c r="X286" s="18"/>
      <c r="Y286" s="18"/>
      <c r="Z286" s="18"/>
      <c r="AA286" s="19">
        <f t="shared" si="1"/>
        <v>6</v>
      </c>
      <c r="AB286" s="19" t="str">
        <f t="shared" si="2"/>
        <v/>
      </c>
    </row>
    <row r="287" ht="15.75" customHeight="1">
      <c r="A287" s="12">
        <v>45104.0</v>
      </c>
      <c r="B287" s="115" t="s">
        <v>703</v>
      </c>
      <c r="C287" s="14" t="s">
        <v>1430</v>
      </c>
      <c r="D287" s="14"/>
      <c r="E287" s="14"/>
      <c r="F287" s="14"/>
      <c r="G287" s="14"/>
      <c r="H287" s="15" t="s">
        <v>1431</v>
      </c>
      <c r="I287" s="14"/>
      <c r="J287" s="14"/>
      <c r="K287" s="14"/>
      <c r="L287" s="27" t="s">
        <v>111</v>
      </c>
      <c r="M287" s="14" t="s">
        <v>216</v>
      </c>
      <c r="N287" s="14" t="b">
        <v>0</v>
      </c>
      <c r="O287" s="14"/>
      <c r="P287" s="14"/>
      <c r="Q287" s="14"/>
      <c r="R287" s="14"/>
      <c r="S287" s="14" t="s">
        <v>1432</v>
      </c>
      <c r="T287" s="14" t="s">
        <v>36</v>
      </c>
      <c r="U287" s="17"/>
      <c r="V287" s="14"/>
      <c r="W287" s="14"/>
      <c r="X287" s="18"/>
      <c r="Y287" s="18"/>
      <c r="Z287" s="18"/>
      <c r="AA287" s="19">
        <f t="shared" si="1"/>
        <v>6</v>
      </c>
      <c r="AB287" s="19" t="str">
        <f t="shared" si="2"/>
        <v/>
      </c>
    </row>
    <row r="288" ht="15.75" customHeight="1">
      <c r="A288" s="12">
        <v>45104.0</v>
      </c>
      <c r="B288" s="115" t="s">
        <v>703</v>
      </c>
      <c r="C288" s="14" t="s">
        <v>1433</v>
      </c>
      <c r="D288" s="14"/>
      <c r="E288" s="14"/>
      <c r="F288" s="14"/>
      <c r="G288" s="14"/>
      <c r="H288" s="15" t="s">
        <v>1434</v>
      </c>
      <c r="I288" s="14"/>
      <c r="J288" s="14"/>
      <c r="K288" s="14" t="s">
        <v>1435</v>
      </c>
      <c r="L288" s="27" t="s">
        <v>48</v>
      </c>
      <c r="M288" s="14" t="s">
        <v>34</v>
      </c>
      <c r="N288" s="14" t="b">
        <v>0</v>
      </c>
      <c r="O288" s="14"/>
      <c r="P288" s="14"/>
      <c r="Q288" s="14"/>
      <c r="R288" s="14"/>
      <c r="S288" s="14" t="s">
        <v>1436</v>
      </c>
      <c r="T288" s="14" t="s">
        <v>36</v>
      </c>
      <c r="U288" s="17"/>
      <c r="V288" s="14"/>
      <c r="W288" s="14"/>
      <c r="X288" s="18"/>
      <c r="Y288" s="18"/>
      <c r="Z288" s="18"/>
      <c r="AA288" s="19">
        <f t="shared" si="1"/>
        <v>6</v>
      </c>
      <c r="AB288" s="19" t="str">
        <f t="shared" si="2"/>
        <v/>
      </c>
    </row>
    <row r="289" ht="15.75" customHeight="1">
      <c r="A289" s="12">
        <v>45104.0</v>
      </c>
      <c r="B289" s="13" t="s">
        <v>28</v>
      </c>
      <c r="C289" s="14" t="s">
        <v>1437</v>
      </c>
      <c r="D289" s="14"/>
      <c r="E289" s="13">
        <v>9.0</v>
      </c>
      <c r="F289" s="14" t="s">
        <v>176</v>
      </c>
      <c r="G289" s="14"/>
      <c r="H289" s="15" t="s">
        <v>1438</v>
      </c>
      <c r="I289" s="14"/>
      <c r="J289" s="14"/>
      <c r="K289" s="14" t="s">
        <v>1439</v>
      </c>
      <c r="L289" s="27" t="s">
        <v>111</v>
      </c>
      <c r="M289" s="14" t="s">
        <v>1049</v>
      </c>
      <c r="N289" s="14" t="b">
        <v>0</v>
      </c>
      <c r="O289" s="14"/>
      <c r="P289" s="14"/>
      <c r="Q289" s="14"/>
      <c r="R289" s="14"/>
      <c r="S289" s="14" t="s">
        <v>1440</v>
      </c>
      <c r="T289" s="14" t="s">
        <v>36</v>
      </c>
      <c r="U289" s="17"/>
      <c r="V289" s="14"/>
      <c r="W289" s="14"/>
      <c r="X289" s="18"/>
      <c r="Y289" s="18"/>
      <c r="Z289" s="18"/>
      <c r="AA289" s="19">
        <f t="shared" si="1"/>
        <v>6</v>
      </c>
      <c r="AB289" s="19" t="str">
        <f t="shared" si="2"/>
        <v/>
      </c>
    </row>
    <row r="290" ht="15.75" customHeight="1">
      <c r="A290" s="12">
        <v>45104.0</v>
      </c>
      <c r="B290" s="14" t="s">
        <v>60</v>
      </c>
      <c r="C290" s="13" t="s">
        <v>1441</v>
      </c>
      <c r="D290" s="14" t="s">
        <v>1442</v>
      </c>
      <c r="E290" s="13">
        <v>12.0</v>
      </c>
      <c r="F290" s="14" t="s">
        <v>1443</v>
      </c>
      <c r="G290" s="14"/>
      <c r="H290" s="15" t="s">
        <v>1444</v>
      </c>
      <c r="I290" s="14"/>
      <c r="J290" s="14"/>
      <c r="K290" s="14"/>
      <c r="L290" s="27" t="s">
        <v>48</v>
      </c>
      <c r="M290" s="14" t="s">
        <v>34</v>
      </c>
      <c r="N290" s="14" t="b">
        <v>0</v>
      </c>
      <c r="O290" s="14"/>
      <c r="P290" s="14"/>
      <c r="Q290" s="14"/>
      <c r="R290" s="14"/>
      <c r="S290" s="14" t="s">
        <v>1445</v>
      </c>
      <c r="T290" s="14" t="s">
        <v>36</v>
      </c>
      <c r="U290" s="17"/>
      <c r="V290" s="14"/>
      <c r="W290" s="14"/>
      <c r="X290" s="18"/>
      <c r="Y290" s="18"/>
      <c r="Z290" s="18"/>
      <c r="AA290" s="19">
        <f t="shared" si="1"/>
        <v>6</v>
      </c>
      <c r="AB290" s="19" t="str">
        <f t="shared" si="2"/>
        <v/>
      </c>
    </row>
    <row r="291" ht="15.75" customHeight="1">
      <c r="A291" s="12">
        <v>45104.0</v>
      </c>
      <c r="B291" s="13" t="s">
        <v>28</v>
      </c>
      <c r="C291" s="14" t="s">
        <v>1446</v>
      </c>
      <c r="D291" s="14"/>
      <c r="E291" s="14"/>
      <c r="F291" s="14"/>
      <c r="G291" s="14"/>
      <c r="H291" s="15" t="s">
        <v>1447</v>
      </c>
      <c r="I291" s="14"/>
      <c r="J291" s="14"/>
      <c r="K291" s="13" t="s">
        <v>1448</v>
      </c>
      <c r="L291" s="27" t="s">
        <v>48</v>
      </c>
      <c r="M291" s="14" t="s">
        <v>34</v>
      </c>
      <c r="N291" s="14" t="b">
        <v>0</v>
      </c>
      <c r="O291" s="14"/>
      <c r="P291" s="14"/>
      <c r="Q291" s="14"/>
      <c r="R291" s="14"/>
      <c r="S291" s="14" t="s">
        <v>1449</v>
      </c>
      <c r="T291" s="14" t="s">
        <v>36</v>
      </c>
      <c r="U291" s="17"/>
      <c r="V291" s="14"/>
      <c r="W291" s="14"/>
      <c r="X291" s="18"/>
      <c r="Y291" s="18"/>
      <c r="Z291" s="18"/>
      <c r="AA291" s="19">
        <f t="shared" si="1"/>
        <v>6</v>
      </c>
      <c r="AB291" s="19" t="str">
        <f t="shared" si="2"/>
        <v/>
      </c>
    </row>
    <row r="292" ht="15.75" customHeight="1">
      <c r="A292" s="12">
        <v>45104.0</v>
      </c>
      <c r="B292" s="13" t="s">
        <v>28</v>
      </c>
      <c r="C292" s="14" t="s">
        <v>393</v>
      </c>
      <c r="D292" s="14"/>
      <c r="E292" s="14"/>
      <c r="F292" s="14"/>
      <c r="G292" s="14"/>
      <c r="H292" s="15" t="s">
        <v>1450</v>
      </c>
      <c r="I292" s="14"/>
      <c r="J292" s="14"/>
      <c r="K292" s="13" t="s">
        <v>1451</v>
      </c>
      <c r="L292" s="27" t="s">
        <v>111</v>
      </c>
      <c r="M292" s="14" t="s">
        <v>34</v>
      </c>
      <c r="N292" s="14" t="b">
        <v>0</v>
      </c>
      <c r="O292" s="14"/>
      <c r="P292" s="14"/>
      <c r="Q292" s="14"/>
      <c r="R292" s="14"/>
      <c r="S292" s="14" t="s">
        <v>1452</v>
      </c>
      <c r="T292" s="14" t="s">
        <v>36</v>
      </c>
      <c r="U292" s="17"/>
      <c r="V292" s="14"/>
      <c r="W292" s="14"/>
      <c r="X292" s="18"/>
      <c r="Y292" s="18"/>
      <c r="Z292" s="18"/>
      <c r="AA292" s="19">
        <f t="shared" si="1"/>
        <v>6</v>
      </c>
      <c r="AB292" s="19" t="str">
        <f t="shared" si="2"/>
        <v/>
      </c>
    </row>
    <row r="293" ht="15.75" customHeight="1">
      <c r="A293" s="12">
        <v>45104.0</v>
      </c>
      <c r="B293" s="14" t="s">
        <v>60</v>
      </c>
      <c r="C293" s="136"/>
      <c r="D293" s="14" t="s">
        <v>1453</v>
      </c>
      <c r="E293" s="13">
        <v>12.0</v>
      </c>
      <c r="F293" s="14" t="s">
        <v>1443</v>
      </c>
      <c r="G293" s="14"/>
      <c r="H293" s="15" t="s">
        <v>1454</v>
      </c>
      <c r="I293" s="14"/>
      <c r="J293" s="14"/>
      <c r="K293" s="14"/>
      <c r="L293" s="27" t="s">
        <v>48</v>
      </c>
      <c r="M293" s="14" t="s">
        <v>565</v>
      </c>
      <c r="N293" s="14" t="b">
        <v>0</v>
      </c>
      <c r="O293" s="14"/>
      <c r="P293" s="14"/>
      <c r="Q293" s="14"/>
      <c r="R293" s="14"/>
      <c r="S293" s="14" t="s">
        <v>1455</v>
      </c>
      <c r="T293" s="14" t="s">
        <v>36</v>
      </c>
      <c r="U293" s="17"/>
      <c r="V293" s="32">
        <v>45105.0</v>
      </c>
      <c r="W293" s="24" t="s">
        <v>862</v>
      </c>
      <c r="X293" s="25">
        <v>5116000.0</v>
      </c>
      <c r="Y293" s="25">
        <f>X293-Z293</f>
        <v>767400</v>
      </c>
      <c r="Z293" s="25">
        <v>4348600.0</v>
      </c>
      <c r="AA293" s="19">
        <f t="shared" si="1"/>
        <v>6</v>
      </c>
      <c r="AB293" s="19" t="str">
        <f t="shared" si="2"/>
        <v/>
      </c>
    </row>
    <row r="294" ht="15.75" customHeight="1">
      <c r="A294" s="26">
        <v>45104.0</v>
      </c>
      <c r="B294" s="13" t="s">
        <v>28</v>
      </c>
      <c r="C294" s="27" t="s">
        <v>1456</v>
      </c>
      <c r="D294" s="27" t="s">
        <v>1457</v>
      </c>
      <c r="E294" s="24">
        <v>10.0</v>
      </c>
      <c r="F294" s="27" t="s">
        <v>1458</v>
      </c>
      <c r="G294" s="27"/>
      <c r="H294" s="34" t="s">
        <v>1459</v>
      </c>
      <c r="I294" s="27"/>
      <c r="J294" s="27"/>
      <c r="K294" s="24" t="s">
        <v>1460</v>
      </c>
      <c r="L294" s="27" t="s">
        <v>48</v>
      </c>
      <c r="M294" s="27" t="s">
        <v>67</v>
      </c>
      <c r="N294" s="14" t="b">
        <v>1</v>
      </c>
      <c r="O294" s="24" t="s">
        <v>1461</v>
      </c>
      <c r="P294" s="13" t="s">
        <v>42</v>
      </c>
      <c r="Q294" s="24" t="s">
        <v>238</v>
      </c>
      <c r="R294" s="27"/>
      <c r="S294" s="27" t="s">
        <v>1462</v>
      </c>
      <c r="T294" s="24" t="s">
        <v>72</v>
      </c>
      <c r="U294" s="26"/>
      <c r="V294" s="14"/>
      <c r="W294" s="14"/>
      <c r="X294" s="18"/>
      <c r="Y294" s="18"/>
      <c r="Z294" s="18"/>
      <c r="AA294" s="19">
        <f t="shared" si="1"/>
        <v>6</v>
      </c>
      <c r="AB294" s="19">
        <f t="shared" si="2"/>
        <v>6</v>
      </c>
    </row>
    <row r="295" ht="15.75" customHeight="1">
      <c r="A295" s="12">
        <v>45104.0</v>
      </c>
      <c r="B295" s="13" t="s">
        <v>28</v>
      </c>
      <c r="C295" s="14" t="s">
        <v>1463</v>
      </c>
      <c r="D295" s="14"/>
      <c r="E295" s="13">
        <v>9.0</v>
      </c>
      <c r="F295" s="14"/>
      <c r="G295" s="14"/>
      <c r="H295" s="15" t="s">
        <v>1464</v>
      </c>
      <c r="I295" s="14"/>
      <c r="J295" s="14"/>
      <c r="K295" s="14"/>
      <c r="L295" s="27" t="s">
        <v>111</v>
      </c>
      <c r="M295" s="14" t="s">
        <v>158</v>
      </c>
      <c r="N295" s="14" t="b">
        <v>0</v>
      </c>
      <c r="O295" s="14"/>
      <c r="P295" s="14"/>
      <c r="Q295" s="14"/>
      <c r="R295" s="14"/>
      <c r="S295" s="14" t="s">
        <v>1465</v>
      </c>
      <c r="T295" s="13" t="s">
        <v>129</v>
      </c>
      <c r="U295" s="17">
        <v>45120.0</v>
      </c>
      <c r="V295" s="14"/>
      <c r="W295" s="14"/>
      <c r="X295" s="18"/>
      <c r="Y295" s="18"/>
      <c r="Z295" s="18"/>
      <c r="AA295" s="19">
        <f t="shared" si="1"/>
        <v>6</v>
      </c>
      <c r="AB295" s="19" t="str">
        <f t="shared" si="2"/>
        <v/>
      </c>
    </row>
    <row r="296" ht="15.75" customHeight="1">
      <c r="A296" s="12">
        <v>45104.0</v>
      </c>
      <c r="B296" s="13" t="s">
        <v>28</v>
      </c>
      <c r="C296" s="14" t="s">
        <v>1466</v>
      </c>
      <c r="D296" s="14" t="s">
        <v>1467</v>
      </c>
      <c r="E296" s="13">
        <v>11.0</v>
      </c>
      <c r="F296" s="14" t="s">
        <v>437</v>
      </c>
      <c r="G296" s="14"/>
      <c r="H296" s="15" t="s">
        <v>1468</v>
      </c>
      <c r="I296" s="14"/>
      <c r="J296" s="14"/>
      <c r="K296" s="14"/>
      <c r="L296" s="27" t="s">
        <v>48</v>
      </c>
      <c r="M296" s="14" t="s">
        <v>34</v>
      </c>
      <c r="N296" s="14" t="b">
        <v>1</v>
      </c>
      <c r="O296" s="13" t="s">
        <v>1469</v>
      </c>
      <c r="P296" s="13" t="s">
        <v>69</v>
      </c>
      <c r="Q296" s="14"/>
      <c r="R296" s="14"/>
      <c r="S296" s="14" t="s">
        <v>1470</v>
      </c>
      <c r="T296" s="14" t="s">
        <v>36</v>
      </c>
      <c r="U296" s="17"/>
      <c r="V296" s="14"/>
      <c r="W296" s="14"/>
      <c r="X296" s="18"/>
      <c r="Y296" s="18"/>
      <c r="Z296" s="18"/>
      <c r="AA296" s="19">
        <f t="shared" si="1"/>
        <v>6</v>
      </c>
      <c r="AB296" s="19" t="str">
        <f t="shared" si="2"/>
        <v/>
      </c>
    </row>
    <row r="297" ht="15.75" customHeight="1">
      <c r="A297" s="12">
        <v>45104.0</v>
      </c>
      <c r="B297" s="13" t="s">
        <v>28</v>
      </c>
      <c r="C297" s="14" t="s">
        <v>1471</v>
      </c>
      <c r="D297" s="14" t="s">
        <v>1472</v>
      </c>
      <c r="E297" s="13">
        <v>11.0</v>
      </c>
      <c r="F297" s="14"/>
      <c r="G297" s="14"/>
      <c r="H297" s="15" t="s">
        <v>1473</v>
      </c>
      <c r="I297" s="14"/>
      <c r="J297" s="14"/>
      <c r="K297" s="14"/>
      <c r="L297" s="27" t="s">
        <v>48</v>
      </c>
      <c r="M297" s="14" t="s">
        <v>34</v>
      </c>
      <c r="N297" s="14" t="b">
        <v>1</v>
      </c>
      <c r="O297" s="13" t="s">
        <v>1474</v>
      </c>
      <c r="P297" s="13" t="s">
        <v>69</v>
      </c>
      <c r="Q297" s="14"/>
      <c r="R297" s="14"/>
      <c r="S297" s="14" t="s">
        <v>1475</v>
      </c>
      <c r="T297" s="14" t="s">
        <v>36</v>
      </c>
      <c r="U297" s="41"/>
      <c r="V297" s="32">
        <v>45126.0</v>
      </c>
      <c r="W297" s="24" t="s">
        <v>862</v>
      </c>
      <c r="X297" s="25">
        <v>5116000.0</v>
      </c>
      <c r="Y297" s="25">
        <v>500000.0</v>
      </c>
      <c r="Z297" s="25">
        <v>4616000.0</v>
      </c>
      <c r="AA297" s="19">
        <f t="shared" si="1"/>
        <v>6</v>
      </c>
      <c r="AB297" s="19" t="str">
        <f t="shared" si="2"/>
        <v/>
      </c>
    </row>
    <row r="298" ht="15.75" customHeight="1">
      <c r="A298" s="26">
        <v>45104.0</v>
      </c>
      <c r="B298" s="13" t="s">
        <v>28</v>
      </c>
      <c r="C298" s="24" t="s">
        <v>1476</v>
      </c>
      <c r="D298" s="27" t="s">
        <v>1477</v>
      </c>
      <c r="E298" s="24">
        <v>11.0</v>
      </c>
      <c r="F298" s="27"/>
      <c r="G298" s="27"/>
      <c r="H298" s="34" t="s">
        <v>1478</v>
      </c>
      <c r="I298" s="27"/>
      <c r="J298" s="27"/>
      <c r="K298" s="27" t="s">
        <v>1479</v>
      </c>
      <c r="L298" s="27" t="s">
        <v>111</v>
      </c>
      <c r="M298" s="27" t="s">
        <v>67</v>
      </c>
      <c r="N298" s="14" t="b">
        <v>1</v>
      </c>
      <c r="O298" s="27" t="s">
        <v>1480</v>
      </c>
      <c r="P298" s="13" t="s">
        <v>42</v>
      </c>
      <c r="Q298" s="24" t="s">
        <v>238</v>
      </c>
      <c r="R298" s="27"/>
      <c r="S298" s="27" t="s">
        <v>1481</v>
      </c>
      <c r="T298" s="24" t="s">
        <v>72</v>
      </c>
      <c r="U298" s="26"/>
      <c r="V298" s="14"/>
      <c r="W298" s="14"/>
      <c r="X298" s="18"/>
      <c r="Y298" s="18"/>
      <c r="Z298" s="18"/>
      <c r="AA298" s="19">
        <f t="shared" si="1"/>
        <v>6</v>
      </c>
      <c r="AB298" s="19">
        <f t="shared" si="2"/>
        <v>7</v>
      </c>
    </row>
    <row r="299" ht="15.75" customHeight="1">
      <c r="A299" s="12">
        <v>45104.0</v>
      </c>
      <c r="B299" s="13" t="s">
        <v>28</v>
      </c>
      <c r="C299" s="14" t="s">
        <v>1482</v>
      </c>
      <c r="D299" s="14"/>
      <c r="E299" s="14"/>
      <c r="F299" s="14"/>
      <c r="G299" s="14"/>
      <c r="H299" s="15" t="s">
        <v>1483</v>
      </c>
      <c r="I299" s="14"/>
      <c r="J299" s="14"/>
      <c r="K299" s="14"/>
      <c r="L299" s="27" t="s">
        <v>48</v>
      </c>
      <c r="M299" s="14" t="s">
        <v>1484</v>
      </c>
      <c r="N299" s="14" t="b">
        <v>0</v>
      </c>
      <c r="O299" s="14"/>
      <c r="P299" s="14"/>
      <c r="Q299" s="14"/>
      <c r="R299" s="14"/>
      <c r="S299" s="14" t="s">
        <v>1485</v>
      </c>
      <c r="T299" s="13" t="s">
        <v>129</v>
      </c>
      <c r="U299" s="17">
        <v>45114.0</v>
      </c>
      <c r="V299" s="32">
        <v>45128.0</v>
      </c>
      <c r="W299" s="24" t="s">
        <v>696</v>
      </c>
      <c r="X299" s="25">
        <v>2558000.0</v>
      </c>
      <c r="Y299" s="25">
        <v>0.0</v>
      </c>
      <c r="Z299" s="25">
        <v>2558000.0</v>
      </c>
      <c r="AA299" s="19">
        <f t="shared" si="1"/>
        <v>6</v>
      </c>
      <c r="AB299" s="19" t="str">
        <f t="shared" si="2"/>
        <v/>
      </c>
    </row>
    <row r="300" ht="15.75" customHeight="1">
      <c r="A300" s="26">
        <v>45104.0</v>
      </c>
      <c r="B300" s="13" t="s">
        <v>28</v>
      </c>
      <c r="C300" s="27" t="s">
        <v>1486</v>
      </c>
      <c r="D300" s="27" t="s">
        <v>1487</v>
      </c>
      <c r="E300" s="24">
        <v>11.0</v>
      </c>
      <c r="F300" s="27"/>
      <c r="G300" s="27"/>
      <c r="H300" s="34" t="s">
        <v>1488</v>
      </c>
      <c r="I300" s="27"/>
      <c r="J300" s="27">
        <v>9.06459947E8</v>
      </c>
      <c r="K300" s="27" t="s">
        <v>1489</v>
      </c>
      <c r="L300" s="27" t="s">
        <v>111</v>
      </c>
      <c r="M300" s="27" t="s">
        <v>67</v>
      </c>
      <c r="N300" s="14" t="b">
        <v>1</v>
      </c>
      <c r="O300" s="24" t="s">
        <v>1490</v>
      </c>
      <c r="P300" s="13" t="s">
        <v>69</v>
      </c>
      <c r="Q300" s="24" t="s">
        <v>238</v>
      </c>
      <c r="R300" s="27"/>
      <c r="S300" s="27" t="s">
        <v>1491</v>
      </c>
      <c r="T300" s="24" t="s">
        <v>72</v>
      </c>
      <c r="U300" s="26"/>
      <c r="V300" s="14"/>
      <c r="W300" s="14"/>
      <c r="X300" s="18"/>
      <c r="Y300" s="18"/>
      <c r="Z300" s="18"/>
      <c r="AA300" s="19">
        <f t="shared" si="1"/>
        <v>6</v>
      </c>
      <c r="AB300" s="19">
        <f t="shared" si="2"/>
        <v>7</v>
      </c>
    </row>
    <row r="301" ht="15.75" customHeight="1">
      <c r="A301" s="12">
        <v>45104.0</v>
      </c>
      <c r="B301" s="13" t="s">
        <v>28</v>
      </c>
      <c r="C301" s="14" t="s">
        <v>1492</v>
      </c>
      <c r="D301" s="14" t="s">
        <v>1493</v>
      </c>
      <c r="E301" s="13">
        <v>9.0</v>
      </c>
      <c r="F301" s="14">
        <v>4.0</v>
      </c>
      <c r="G301" s="14"/>
      <c r="H301" s="15" t="s">
        <v>1494</v>
      </c>
      <c r="I301" s="14"/>
      <c r="J301" s="14"/>
      <c r="K301" s="14"/>
      <c r="L301" s="27" t="s">
        <v>48</v>
      </c>
      <c r="M301" s="14" t="s">
        <v>34</v>
      </c>
      <c r="N301" s="14" t="b">
        <v>0</v>
      </c>
      <c r="O301" s="13" t="s">
        <v>1495</v>
      </c>
      <c r="P301" s="13" t="s">
        <v>69</v>
      </c>
      <c r="Q301" s="14"/>
      <c r="R301" s="14"/>
      <c r="S301" s="14" t="s">
        <v>1496</v>
      </c>
      <c r="T301" s="13" t="s">
        <v>129</v>
      </c>
      <c r="U301" s="17">
        <v>45127.0</v>
      </c>
      <c r="V301" s="14"/>
      <c r="W301" s="14"/>
      <c r="X301" s="18"/>
      <c r="Y301" s="18"/>
      <c r="Z301" s="18"/>
      <c r="AA301" s="19">
        <f t="shared" si="1"/>
        <v>6</v>
      </c>
      <c r="AB301" s="19" t="str">
        <f t="shared" si="2"/>
        <v/>
      </c>
    </row>
    <row r="302" ht="15.75" customHeight="1">
      <c r="A302" s="12">
        <v>45104.0</v>
      </c>
      <c r="B302" s="13" t="s">
        <v>28</v>
      </c>
      <c r="C302" s="14" t="s">
        <v>1497</v>
      </c>
      <c r="D302" s="14" t="s">
        <v>1498</v>
      </c>
      <c r="E302" s="13">
        <v>9.0</v>
      </c>
      <c r="F302" s="14"/>
      <c r="G302" s="14"/>
      <c r="H302" s="42" t="s">
        <v>1499</v>
      </c>
      <c r="I302" s="14"/>
      <c r="J302" s="14"/>
      <c r="K302" s="14" t="s">
        <v>1500</v>
      </c>
      <c r="L302" s="27" t="s">
        <v>111</v>
      </c>
      <c r="M302" s="14" t="s">
        <v>13</v>
      </c>
      <c r="N302" s="14" t="b">
        <v>0</v>
      </c>
      <c r="O302" s="61"/>
      <c r="P302" s="61"/>
      <c r="Q302" s="14"/>
      <c r="R302" s="14"/>
      <c r="S302" s="14" t="s">
        <v>1501</v>
      </c>
      <c r="T302" s="13" t="s">
        <v>129</v>
      </c>
      <c r="U302" s="17">
        <v>45117.0</v>
      </c>
      <c r="V302" s="32">
        <v>45114.0</v>
      </c>
      <c r="W302" s="24" t="s">
        <v>407</v>
      </c>
      <c r="X302" s="25">
        <v>6124000.0</v>
      </c>
      <c r="Y302" s="25">
        <f>X302-Z302</f>
        <v>918600</v>
      </c>
      <c r="Z302" s="25">
        <v>5205400.0</v>
      </c>
      <c r="AA302" s="19">
        <f t="shared" si="1"/>
        <v>6</v>
      </c>
      <c r="AB302" s="19" t="str">
        <f t="shared" si="2"/>
        <v/>
      </c>
    </row>
    <row r="303" ht="15.75" customHeight="1">
      <c r="A303" s="26">
        <v>45104.0</v>
      </c>
      <c r="B303" s="13" t="s">
        <v>28</v>
      </c>
      <c r="C303" s="27" t="s">
        <v>1502</v>
      </c>
      <c r="D303" s="27" t="s">
        <v>1503</v>
      </c>
      <c r="E303" s="24">
        <v>11.0</v>
      </c>
      <c r="F303" s="27" t="s">
        <v>1504</v>
      </c>
      <c r="G303" s="27"/>
      <c r="H303" s="34" t="s">
        <v>1505</v>
      </c>
      <c r="I303" s="27"/>
      <c r="J303" s="27"/>
      <c r="K303" s="27"/>
      <c r="L303" s="27" t="s">
        <v>48</v>
      </c>
      <c r="M303" s="27" t="s">
        <v>67</v>
      </c>
      <c r="N303" s="14" t="b">
        <v>0</v>
      </c>
      <c r="O303" s="24" t="s">
        <v>1506</v>
      </c>
      <c r="P303" s="13" t="s">
        <v>69</v>
      </c>
      <c r="Q303" s="24" t="s">
        <v>91</v>
      </c>
      <c r="R303" s="27"/>
      <c r="S303" s="24" t="s">
        <v>1507</v>
      </c>
      <c r="T303" s="24" t="s">
        <v>72</v>
      </c>
      <c r="U303" s="26"/>
      <c r="V303" s="14"/>
      <c r="W303" s="14"/>
      <c r="X303" s="18"/>
      <c r="Y303" s="18"/>
      <c r="Z303" s="18"/>
      <c r="AA303" s="19">
        <f t="shared" si="1"/>
        <v>6</v>
      </c>
      <c r="AB303" s="19">
        <f t="shared" si="2"/>
        <v>7</v>
      </c>
    </row>
    <row r="304" ht="15.75" customHeight="1">
      <c r="A304" s="12">
        <v>45104.0</v>
      </c>
      <c r="B304" s="13" t="s">
        <v>28</v>
      </c>
      <c r="C304" s="14" t="s">
        <v>1508</v>
      </c>
      <c r="D304" s="14"/>
      <c r="E304" s="13">
        <v>11.0</v>
      </c>
      <c r="F304" s="14"/>
      <c r="G304" s="14"/>
      <c r="H304" s="15" t="s">
        <v>1509</v>
      </c>
      <c r="I304" s="14"/>
      <c r="J304" s="14"/>
      <c r="K304" s="14"/>
      <c r="L304" s="27" t="s">
        <v>111</v>
      </c>
      <c r="M304" s="14" t="s">
        <v>34</v>
      </c>
      <c r="N304" s="14" t="b">
        <v>0</v>
      </c>
      <c r="O304" s="14"/>
      <c r="P304" s="14"/>
      <c r="Q304" s="14"/>
      <c r="R304" s="14"/>
      <c r="S304" s="14" t="s">
        <v>1510</v>
      </c>
      <c r="T304" s="14" t="s">
        <v>36</v>
      </c>
      <c r="U304" s="17"/>
      <c r="V304" s="14"/>
      <c r="W304" s="14"/>
      <c r="X304" s="18"/>
      <c r="Y304" s="18"/>
      <c r="Z304" s="18"/>
      <c r="AA304" s="19">
        <f t="shared" si="1"/>
        <v>6</v>
      </c>
      <c r="AB304" s="19" t="str">
        <f t="shared" si="2"/>
        <v/>
      </c>
    </row>
    <row r="305" ht="15.75" customHeight="1">
      <c r="A305" s="12">
        <v>45104.0</v>
      </c>
      <c r="B305" s="13" t="s">
        <v>28</v>
      </c>
      <c r="C305" s="120" t="s">
        <v>1511</v>
      </c>
      <c r="D305" s="14"/>
      <c r="E305" s="13">
        <v>9.0</v>
      </c>
      <c r="F305" s="14"/>
      <c r="G305" s="14"/>
      <c r="H305" s="137" t="s">
        <v>1512</v>
      </c>
      <c r="I305" s="14"/>
      <c r="J305" s="14"/>
      <c r="K305" s="14" t="s">
        <v>1513</v>
      </c>
      <c r="L305" s="27" t="s">
        <v>48</v>
      </c>
      <c r="M305" s="14" t="s">
        <v>158</v>
      </c>
      <c r="N305" s="14" t="b">
        <v>0</v>
      </c>
      <c r="O305" s="14"/>
      <c r="P305" s="14"/>
      <c r="Q305" s="14"/>
      <c r="R305" s="14"/>
      <c r="S305" s="14" t="s">
        <v>1514</v>
      </c>
      <c r="T305" s="13" t="s">
        <v>229</v>
      </c>
      <c r="U305" s="17"/>
      <c r="V305" s="14"/>
      <c r="W305" s="14"/>
      <c r="X305" s="18"/>
      <c r="Y305" s="18"/>
      <c r="Z305" s="18"/>
      <c r="AA305" s="19">
        <f t="shared" si="1"/>
        <v>6</v>
      </c>
      <c r="AB305" s="19" t="str">
        <f t="shared" si="2"/>
        <v/>
      </c>
    </row>
    <row r="306" ht="15.75" customHeight="1">
      <c r="A306" s="12">
        <v>45104.0</v>
      </c>
      <c r="B306" s="13" t="s">
        <v>28</v>
      </c>
      <c r="C306" s="120" t="s">
        <v>1511</v>
      </c>
      <c r="D306" s="14"/>
      <c r="E306" s="13">
        <v>12.0</v>
      </c>
      <c r="F306" s="14"/>
      <c r="G306" s="14"/>
      <c r="H306" s="137" t="s">
        <v>1512</v>
      </c>
      <c r="I306" s="14"/>
      <c r="J306" s="14"/>
      <c r="K306" s="14" t="s">
        <v>1513</v>
      </c>
      <c r="L306" s="27" t="s">
        <v>48</v>
      </c>
      <c r="M306" s="14" t="s">
        <v>158</v>
      </c>
      <c r="N306" s="14" t="b">
        <v>0</v>
      </c>
      <c r="O306" s="14"/>
      <c r="P306" s="14"/>
      <c r="Q306" s="14"/>
      <c r="R306" s="14"/>
      <c r="S306" s="62" t="s">
        <v>1515</v>
      </c>
      <c r="T306" s="13" t="s">
        <v>229</v>
      </c>
      <c r="U306" s="17">
        <v>45127.0</v>
      </c>
      <c r="V306" s="14"/>
      <c r="W306" s="14"/>
      <c r="X306" s="18"/>
      <c r="Y306" s="18"/>
      <c r="Z306" s="18"/>
      <c r="AA306" s="19">
        <f t="shared" si="1"/>
        <v>6</v>
      </c>
      <c r="AB306" s="19" t="str">
        <f t="shared" si="2"/>
        <v/>
      </c>
    </row>
    <row r="307" ht="15.75" customHeight="1">
      <c r="A307" s="12">
        <v>45104.0</v>
      </c>
      <c r="B307" s="14" t="s">
        <v>73</v>
      </c>
      <c r="C307" s="14" t="s">
        <v>1516</v>
      </c>
      <c r="D307" s="14" t="s">
        <v>1517</v>
      </c>
      <c r="E307" s="13">
        <v>8.0</v>
      </c>
      <c r="F307" s="14"/>
      <c r="G307" s="14"/>
      <c r="H307" s="15" t="s">
        <v>1518</v>
      </c>
      <c r="I307" s="14"/>
      <c r="J307" s="14"/>
      <c r="K307" s="14" t="s">
        <v>1519</v>
      </c>
      <c r="L307" s="27" t="s">
        <v>111</v>
      </c>
      <c r="M307" s="14" t="s">
        <v>34</v>
      </c>
      <c r="N307" s="14" t="b">
        <v>1</v>
      </c>
      <c r="O307" s="13" t="s">
        <v>1520</v>
      </c>
      <c r="P307" s="13" t="s">
        <v>69</v>
      </c>
      <c r="Q307" s="14"/>
      <c r="R307" s="14"/>
      <c r="S307" s="14" t="s">
        <v>1521</v>
      </c>
      <c r="T307" s="14" t="s">
        <v>36</v>
      </c>
      <c r="U307" s="17"/>
      <c r="V307" s="14"/>
      <c r="W307" s="14"/>
      <c r="X307" s="18"/>
      <c r="Y307" s="18"/>
      <c r="Z307" s="18"/>
      <c r="AA307" s="19">
        <f t="shared" si="1"/>
        <v>6</v>
      </c>
      <c r="AB307" s="19" t="str">
        <f t="shared" si="2"/>
        <v/>
      </c>
    </row>
    <row r="308" ht="15.75" customHeight="1">
      <c r="A308" s="12">
        <v>45104.0</v>
      </c>
      <c r="B308" s="13" t="s">
        <v>28</v>
      </c>
      <c r="C308" s="37" t="s">
        <v>1522</v>
      </c>
      <c r="D308" s="14" t="s">
        <v>1523</v>
      </c>
      <c r="E308" s="13">
        <v>13.0</v>
      </c>
      <c r="F308" s="14"/>
      <c r="G308" s="14"/>
      <c r="H308" s="15" t="s">
        <v>1524</v>
      </c>
      <c r="I308" s="14"/>
      <c r="J308" s="14"/>
      <c r="K308" s="13" t="s">
        <v>1525</v>
      </c>
      <c r="L308" s="27" t="s">
        <v>48</v>
      </c>
      <c r="M308" s="14" t="s">
        <v>158</v>
      </c>
      <c r="N308" s="14" t="b">
        <v>0</v>
      </c>
      <c r="O308" s="14"/>
      <c r="P308" s="14"/>
      <c r="Q308" s="14"/>
      <c r="R308" s="14"/>
      <c r="S308" s="14" t="s">
        <v>1526</v>
      </c>
      <c r="T308" s="13" t="s">
        <v>229</v>
      </c>
      <c r="U308" s="17">
        <v>45122.0</v>
      </c>
      <c r="V308" s="14"/>
      <c r="W308" s="14"/>
      <c r="X308" s="18"/>
      <c r="Y308" s="18"/>
      <c r="Z308" s="18"/>
      <c r="AA308" s="19">
        <f t="shared" si="1"/>
        <v>6</v>
      </c>
      <c r="AB308" s="19" t="str">
        <f t="shared" si="2"/>
        <v/>
      </c>
    </row>
    <row r="309" ht="15.75" customHeight="1">
      <c r="A309" s="12">
        <v>45101.0</v>
      </c>
      <c r="B309" s="13" t="s">
        <v>28</v>
      </c>
      <c r="C309" s="14"/>
      <c r="D309" s="14" t="s">
        <v>1527</v>
      </c>
      <c r="E309" s="14"/>
      <c r="F309" s="14"/>
      <c r="G309" s="14"/>
      <c r="H309" s="15" t="s">
        <v>1528</v>
      </c>
      <c r="I309" s="14"/>
      <c r="J309" s="14"/>
      <c r="K309" s="14" t="s">
        <v>1529</v>
      </c>
      <c r="L309" s="14" t="s">
        <v>111</v>
      </c>
      <c r="M309" s="14" t="s">
        <v>565</v>
      </c>
      <c r="N309" s="14" t="b">
        <v>0</v>
      </c>
      <c r="O309" s="14"/>
      <c r="P309" s="14"/>
      <c r="Q309" s="14"/>
      <c r="R309" s="14"/>
      <c r="S309" s="14" t="s">
        <v>1530</v>
      </c>
      <c r="T309" s="13" t="s">
        <v>229</v>
      </c>
      <c r="U309" s="17">
        <v>45106.0</v>
      </c>
      <c r="V309" s="14"/>
      <c r="W309" s="14"/>
      <c r="X309" s="18"/>
      <c r="Y309" s="18"/>
      <c r="Z309" s="18"/>
      <c r="AA309" s="19">
        <f t="shared" si="1"/>
        <v>6</v>
      </c>
      <c r="AB309" s="19" t="str">
        <f t="shared" si="2"/>
        <v/>
      </c>
    </row>
    <row r="310" ht="15.75" customHeight="1">
      <c r="A310" s="12">
        <v>45100.0</v>
      </c>
      <c r="B310" s="13" t="s">
        <v>28</v>
      </c>
      <c r="C310" s="14" t="s">
        <v>1531</v>
      </c>
      <c r="D310" s="14"/>
      <c r="E310" s="14"/>
      <c r="F310" s="14"/>
      <c r="G310" s="14"/>
      <c r="H310" s="15" t="s">
        <v>1532</v>
      </c>
      <c r="I310" s="14"/>
      <c r="J310" s="14"/>
      <c r="K310" s="14"/>
      <c r="L310" s="14" t="s">
        <v>111</v>
      </c>
      <c r="M310" s="14" t="s">
        <v>34</v>
      </c>
      <c r="N310" s="14" t="b">
        <v>0</v>
      </c>
      <c r="O310" s="14"/>
      <c r="P310" s="14"/>
      <c r="Q310" s="14"/>
      <c r="R310" s="14"/>
      <c r="S310" s="138" t="s">
        <v>1533</v>
      </c>
      <c r="T310" s="14" t="s">
        <v>36</v>
      </c>
      <c r="U310" s="17"/>
      <c r="V310" s="14"/>
      <c r="W310" s="14"/>
      <c r="X310" s="18"/>
      <c r="Y310" s="18"/>
      <c r="Z310" s="18"/>
      <c r="AA310" s="19">
        <f t="shared" si="1"/>
        <v>6</v>
      </c>
      <c r="AB310" s="19" t="str">
        <f t="shared" si="2"/>
        <v/>
      </c>
    </row>
    <row r="311" ht="15.75" customHeight="1">
      <c r="A311" s="12">
        <v>45100.0</v>
      </c>
      <c r="B311" s="13" t="s">
        <v>28</v>
      </c>
      <c r="C311" s="14" t="s">
        <v>1534</v>
      </c>
      <c r="D311" s="14" t="s">
        <v>1535</v>
      </c>
      <c r="E311" s="13">
        <v>11.0</v>
      </c>
      <c r="F311" s="14" t="s">
        <v>155</v>
      </c>
      <c r="G311" s="14"/>
      <c r="H311" s="15" t="s">
        <v>1536</v>
      </c>
      <c r="I311" s="14"/>
      <c r="J311" s="14"/>
      <c r="K311" s="14"/>
      <c r="L311" s="14" t="s">
        <v>48</v>
      </c>
      <c r="M311" s="14" t="s">
        <v>34</v>
      </c>
      <c r="N311" s="14" t="b">
        <v>0</v>
      </c>
      <c r="O311" s="14"/>
      <c r="P311" s="14"/>
      <c r="Q311" s="14"/>
      <c r="R311" s="14"/>
      <c r="S311" s="14" t="s">
        <v>1537</v>
      </c>
      <c r="T311" s="14" t="s">
        <v>36</v>
      </c>
      <c r="U311" s="17"/>
      <c r="V311" s="14"/>
      <c r="W311" s="14"/>
      <c r="X311" s="18"/>
      <c r="Y311" s="18"/>
      <c r="Z311" s="18"/>
      <c r="AA311" s="19">
        <f t="shared" si="1"/>
        <v>6</v>
      </c>
      <c r="AB311" s="19" t="str">
        <f t="shared" si="2"/>
        <v/>
      </c>
    </row>
    <row r="312" ht="15.75" customHeight="1">
      <c r="A312" s="12">
        <v>45100.0</v>
      </c>
      <c r="B312" s="13" t="s">
        <v>28</v>
      </c>
      <c r="C312" s="14" t="s">
        <v>1538</v>
      </c>
      <c r="D312" s="14"/>
      <c r="E312" s="14"/>
      <c r="F312" s="14"/>
      <c r="G312" s="14"/>
      <c r="H312" s="15" t="s">
        <v>1539</v>
      </c>
      <c r="I312" s="14"/>
      <c r="J312" s="14"/>
      <c r="K312" s="14"/>
      <c r="L312" s="14" t="s">
        <v>111</v>
      </c>
      <c r="M312" s="14" t="s">
        <v>565</v>
      </c>
      <c r="N312" s="14" t="b">
        <v>0</v>
      </c>
      <c r="O312" s="14"/>
      <c r="P312" s="14"/>
      <c r="Q312" s="14"/>
      <c r="R312" s="14"/>
      <c r="S312" s="14" t="s">
        <v>1540</v>
      </c>
      <c r="T312" s="13" t="s">
        <v>129</v>
      </c>
      <c r="U312" s="17">
        <v>45114.0</v>
      </c>
      <c r="V312" s="14"/>
      <c r="W312" s="14"/>
      <c r="X312" s="18"/>
      <c r="Y312" s="18"/>
      <c r="Z312" s="18"/>
      <c r="AA312" s="19">
        <f t="shared" si="1"/>
        <v>6</v>
      </c>
      <c r="AB312" s="19" t="str">
        <f t="shared" si="2"/>
        <v/>
      </c>
    </row>
    <row r="313" ht="15.75" customHeight="1">
      <c r="A313" s="12">
        <v>45103.0</v>
      </c>
      <c r="B313" s="13" t="s">
        <v>28</v>
      </c>
      <c r="C313" s="14" t="s">
        <v>1541</v>
      </c>
      <c r="D313" s="14" t="s">
        <v>1542</v>
      </c>
      <c r="E313" s="13">
        <v>10.0</v>
      </c>
      <c r="F313" s="14"/>
      <c r="G313" s="14"/>
      <c r="H313" s="15" t="s">
        <v>1543</v>
      </c>
      <c r="I313" s="14"/>
      <c r="J313" s="14"/>
      <c r="K313" s="14" t="s">
        <v>1544</v>
      </c>
      <c r="L313" s="27" t="s">
        <v>111</v>
      </c>
      <c r="M313" s="14" t="s">
        <v>565</v>
      </c>
      <c r="N313" s="14" t="b">
        <v>0</v>
      </c>
      <c r="O313" s="14"/>
      <c r="P313" s="14"/>
      <c r="Q313" s="14"/>
      <c r="R313" s="14"/>
      <c r="S313" s="14" t="s">
        <v>1545</v>
      </c>
      <c r="T313" s="13" t="s">
        <v>129</v>
      </c>
      <c r="U313" s="17">
        <v>45117.0</v>
      </c>
      <c r="V313" s="32">
        <v>45107.0</v>
      </c>
      <c r="W313" s="79" t="s">
        <v>575</v>
      </c>
      <c r="X313" s="25">
        <v>6124000.0</v>
      </c>
      <c r="Y313" s="25">
        <f>X313-Z313</f>
        <v>918600</v>
      </c>
      <c r="Z313" s="25">
        <v>5205400.0</v>
      </c>
      <c r="AA313" s="19">
        <f t="shared" si="1"/>
        <v>6</v>
      </c>
      <c r="AB313" s="19" t="str">
        <f t="shared" si="2"/>
        <v/>
      </c>
    </row>
    <row r="314" ht="15.75" customHeight="1">
      <c r="A314" s="26">
        <v>45105.0</v>
      </c>
      <c r="B314" s="27" t="s">
        <v>84</v>
      </c>
      <c r="C314" s="24" t="s">
        <v>1546</v>
      </c>
      <c r="D314" s="27" t="s">
        <v>1547</v>
      </c>
      <c r="E314" s="24">
        <v>12.0</v>
      </c>
      <c r="F314" s="27" t="s">
        <v>1548</v>
      </c>
      <c r="G314" s="27"/>
      <c r="H314" s="34" t="s">
        <v>1549</v>
      </c>
      <c r="I314" s="27"/>
      <c r="J314" s="27" t="s">
        <v>1550</v>
      </c>
      <c r="K314" s="27" t="s">
        <v>1551</v>
      </c>
      <c r="L314" s="27" t="s">
        <v>48</v>
      </c>
      <c r="M314" s="27" t="s">
        <v>67</v>
      </c>
      <c r="N314" s="14" t="b">
        <v>1</v>
      </c>
      <c r="O314" s="24" t="s">
        <v>1552</v>
      </c>
      <c r="P314" s="13" t="s">
        <v>69</v>
      </c>
      <c r="Q314" s="24" t="s">
        <v>91</v>
      </c>
      <c r="R314" s="27"/>
      <c r="S314" s="24" t="s">
        <v>1553</v>
      </c>
      <c r="T314" s="24" t="s">
        <v>72</v>
      </c>
      <c r="U314" s="26"/>
      <c r="V314" s="14"/>
      <c r="W314" s="14"/>
      <c r="X314" s="18"/>
      <c r="Y314" s="18"/>
      <c r="Z314" s="18"/>
      <c r="AA314" s="19">
        <f t="shared" si="1"/>
        <v>6</v>
      </c>
      <c r="AB314" s="19">
        <f t="shared" si="2"/>
        <v>6</v>
      </c>
    </row>
    <row r="315" ht="15.75" customHeight="1">
      <c r="A315" s="12">
        <v>45105.0</v>
      </c>
      <c r="B315" s="14" t="s">
        <v>60</v>
      </c>
      <c r="C315" s="136"/>
      <c r="D315" s="14" t="s">
        <v>1554</v>
      </c>
      <c r="E315" s="14"/>
      <c r="F315" s="14"/>
      <c r="G315" s="14"/>
      <c r="H315" s="14">
        <v>9.05123029E8</v>
      </c>
      <c r="I315" s="14"/>
      <c r="J315" s="14"/>
      <c r="K315" s="14"/>
      <c r="L315" s="27" t="s">
        <v>111</v>
      </c>
      <c r="M315" s="14" t="s">
        <v>34</v>
      </c>
      <c r="N315" s="14" t="b">
        <v>0</v>
      </c>
      <c r="O315" s="14"/>
      <c r="P315" s="14"/>
      <c r="Q315" s="14"/>
      <c r="R315" s="14"/>
      <c r="S315" s="14" t="s">
        <v>1555</v>
      </c>
      <c r="T315" s="13" t="s">
        <v>129</v>
      </c>
      <c r="U315" s="17"/>
      <c r="V315" s="14"/>
      <c r="W315" s="14"/>
      <c r="X315" s="18"/>
      <c r="Y315" s="18"/>
      <c r="Z315" s="18"/>
      <c r="AA315" s="19">
        <f t="shared" si="1"/>
        <v>6</v>
      </c>
      <c r="AB315" s="19" t="str">
        <f t="shared" si="2"/>
        <v/>
      </c>
    </row>
    <row r="316" ht="15.75" customHeight="1">
      <c r="A316" s="12">
        <v>45105.0</v>
      </c>
      <c r="B316" s="14" t="s">
        <v>60</v>
      </c>
      <c r="C316" s="136"/>
      <c r="D316" s="14" t="s">
        <v>1556</v>
      </c>
      <c r="E316" s="14"/>
      <c r="F316" s="14"/>
      <c r="G316" s="14"/>
      <c r="H316" s="14">
        <v>9.05123029E8</v>
      </c>
      <c r="I316" s="14"/>
      <c r="J316" s="14"/>
      <c r="K316" s="14"/>
      <c r="L316" s="27" t="s">
        <v>111</v>
      </c>
      <c r="M316" s="14" t="s">
        <v>34</v>
      </c>
      <c r="N316" s="14" t="b">
        <v>0</v>
      </c>
      <c r="O316" s="14"/>
      <c r="P316" s="14"/>
      <c r="Q316" s="14"/>
      <c r="R316" s="14"/>
      <c r="S316" s="14" t="s">
        <v>1557</v>
      </c>
      <c r="T316" s="13" t="s">
        <v>129</v>
      </c>
      <c r="U316" s="17"/>
      <c r="V316" s="14"/>
      <c r="W316" s="14"/>
      <c r="X316" s="18"/>
      <c r="Y316" s="18"/>
      <c r="Z316" s="18"/>
      <c r="AA316" s="19">
        <f t="shared" si="1"/>
        <v>6</v>
      </c>
      <c r="AB316" s="19" t="str">
        <f t="shared" si="2"/>
        <v/>
      </c>
    </row>
    <row r="317" ht="15.75" customHeight="1">
      <c r="A317" s="12">
        <v>45105.0</v>
      </c>
      <c r="B317" s="14" t="s">
        <v>703</v>
      </c>
      <c r="C317" s="136" t="s">
        <v>1558</v>
      </c>
      <c r="D317" s="14"/>
      <c r="E317" s="14"/>
      <c r="F317" s="14"/>
      <c r="G317" s="14"/>
      <c r="H317" s="15" t="s">
        <v>1559</v>
      </c>
      <c r="I317" s="14"/>
      <c r="J317" s="14"/>
      <c r="K317" s="13" t="s">
        <v>1560</v>
      </c>
      <c r="L317" s="27" t="s">
        <v>111</v>
      </c>
      <c r="M317" s="14" t="s">
        <v>34</v>
      </c>
      <c r="N317" s="14" t="b">
        <v>0</v>
      </c>
      <c r="O317" s="14"/>
      <c r="P317" s="14"/>
      <c r="Q317" s="14"/>
      <c r="R317" s="14"/>
      <c r="S317" s="14" t="s">
        <v>1561</v>
      </c>
      <c r="T317" s="14" t="s">
        <v>36</v>
      </c>
      <c r="U317" s="17"/>
      <c r="V317" s="14"/>
      <c r="W317" s="14"/>
      <c r="X317" s="18"/>
      <c r="Y317" s="18"/>
      <c r="Z317" s="18"/>
      <c r="AA317" s="19">
        <f t="shared" si="1"/>
        <v>6</v>
      </c>
      <c r="AB317" s="19" t="str">
        <f t="shared" si="2"/>
        <v/>
      </c>
    </row>
    <row r="318" ht="15.75" customHeight="1">
      <c r="A318" s="12">
        <v>45105.0</v>
      </c>
      <c r="B318" s="14" t="s">
        <v>703</v>
      </c>
      <c r="C318" s="136" t="s">
        <v>1562</v>
      </c>
      <c r="D318" s="14" t="s">
        <v>1563</v>
      </c>
      <c r="E318" s="13">
        <v>6.0</v>
      </c>
      <c r="F318" s="14"/>
      <c r="G318" s="14"/>
      <c r="H318" s="15" t="s">
        <v>1564</v>
      </c>
      <c r="I318" s="14"/>
      <c r="J318" s="14"/>
      <c r="K318" s="13" t="s">
        <v>1560</v>
      </c>
      <c r="L318" s="27" t="s">
        <v>111</v>
      </c>
      <c r="M318" s="14" t="s">
        <v>34</v>
      </c>
      <c r="N318" s="14" t="b">
        <v>1</v>
      </c>
      <c r="O318" s="13" t="s">
        <v>1565</v>
      </c>
      <c r="P318" s="13" t="s">
        <v>69</v>
      </c>
      <c r="Q318" s="14"/>
      <c r="R318" s="14"/>
      <c r="S318" s="14" t="s">
        <v>1566</v>
      </c>
      <c r="T318" s="14" t="s">
        <v>36</v>
      </c>
      <c r="U318" s="17"/>
      <c r="V318" s="14"/>
      <c r="W318" s="14"/>
      <c r="X318" s="18"/>
      <c r="Y318" s="18"/>
      <c r="Z318" s="18"/>
      <c r="AA318" s="19">
        <f t="shared" si="1"/>
        <v>6</v>
      </c>
      <c r="AB318" s="19" t="str">
        <f t="shared" si="2"/>
        <v/>
      </c>
    </row>
    <row r="319" ht="15.75" customHeight="1">
      <c r="A319" s="12">
        <v>45105.0</v>
      </c>
      <c r="B319" s="14" t="s">
        <v>703</v>
      </c>
      <c r="C319" s="14" t="s">
        <v>1567</v>
      </c>
      <c r="D319" s="14"/>
      <c r="E319" s="14"/>
      <c r="F319" s="14"/>
      <c r="G319" s="14"/>
      <c r="H319" s="15" t="s">
        <v>1568</v>
      </c>
      <c r="I319" s="14"/>
      <c r="J319" s="14"/>
      <c r="K319" s="13" t="s">
        <v>1560</v>
      </c>
      <c r="L319" s="27" t="s">
        <v>111</v>
      </c>
      <c r="M319" s="14" t="s">
        <v>216</v>
      </c>
      <c r="N319" s="14" t="b">
        <v>0</v>
      </c>
      <c r="O319" s="14"/>
      <c r="P319" s="14"/>
      <c r="Q319" s="14"/>
      <c r="R319" s="14"/>
      <c r="S319" s="14" t="s">
        <v>1569</v>
      </c>
      <c r="T319" s="13" t="s">
        <v>129</v>
      </c>
      <c r="U319" s="17">
        <v>45114.0</v>
      </c>
      <c r="V319" s="14"/>
      <c r="W319" s="14"/>
      <c r="X319" s="18"/>
      <c r="Y319" s="18"/>
      <c r="Z319" s="18"/>
      <c r="AA319" s="19">
        <f t="shared" si="1"/>
        <v>6</v>
      </c>
      <c r="AB319" s="19" t="str">
        <f t="shared" si="2"/>
        <v/>
      </c>
    </row>
    <row r="320" ht="15.75" customHeight="1">
      <c r="A320" s="12">
        <v>45105.0</v>
      </c>
      <c r="B320" s="14" t="s">
        <v>703</v>
      </c>
      <c r="C320" s="13" t="s">
        <v>1570</v>
      </c>
      <c r="D320" s="14"/>
      <c r="E320" s="14"/>
      <c r="F320" s="14"/>
      <c r="G320" s="14"/>
      <c r="H320" s="15" t="s">
        <v>1571</v>
      </c>
      <c r="I320" s="14"/>
      <c r="J320" s="14"/>
      <c r="K320" s="13" t="s">
        <v>1560</v>
      </c>
      <c r="L320" s="27" t="s">
        <v>111</v>
      </c>
      <c r="M320" s="14" t="s">
        <v>34</v>
      </c>
      <c r="N320" s="14" t="b">
        <v>0</v>
      </c>
      <c r="O320" s="14"/>
      <c r="P320" s="14"/>
      <c r="Q320" s="14"/>
      <c r="R320" s="14"/>
      <c r="S320" s="14" t="s">
        <v>1572</v>
      </c>
      <c r="T320" s="14" t="s">
        <v>36</v>
      </c>
      <c r="U320" s="17"/>
      <c r="V320" s="14"/>
      <c r="W320" s="14"/>
      <c r="X320" s="18"/>
      <c r="Y320" s="18"/>
      <c r="Z320" s="18"/>
      <c r="AA320" s="19">
        <f t="shared" si="1"/>
        <v>6</v>
      </c>
      <c r="AB320" s="19" t="str">
        <f t="shared" si="2"/>
        <v/>
      </c>
    </row>
    <row r="321" ht="15.75" customHeight="1">
      <c r="A321" s="12">
        <v>45105.0</v>
      </c>
      <c r="B321" s="14" t="s">
        <v>703</v>
      </c>
      <c r="C321" s="14" t="s">
        <v>1573</v>
      </c>
      <c r="D321" s="14"/>
      <c r="E321" s="14"/>
      <c r="F321" s="14"/>
      <c r="G321" s="14"/>
      <c r="H321" s="15" t="s">
        <v>1574</v>
      </c>
      <c r="I321" s="14"/>
      <c r="J321" s="14"/>
      <c r="K321" s="13" t="s">
        <v>1560</v>
      </c>
      <c r="L321" s="27" t="s">
        <v>48</v>
      </c>
      <c r="M321" s="14" t="s">
        <v>34</v>
      </c>
      <c r="N321" s="14" t="b">
        <v>0</v>
      </c>
      <c r="O321" s="14"/>
      <c r="P321" s="14"/>
      <c r="Q321" s="14"/>
      <c r="R321" s="14"/>
      <c r="S321" s="14" t="s">
        <v>1575</v>
      </c>
      <c r="T321" s="13" t="s">
        <v>129</v>
      </c>
      <c r="U321" s="17">
        <v>45110.0</v>
      </c>
      <c r="V321" s="14"/>
      <c r="W321" s="14"/>
      <c r="X321" s="18"/>
      <c r="Y321" s="18"/>
      <c r="Z321" s="18"/>
      <c r="AA321" s="19">
        <f t="shared" si="1"/>
        <v>6</v>
      </c>
      <c r="AB321" s="19" t="str">
        <f t="shared" si="2"/>
        <v/>
      </c>
    </row>
    <row r="322" ht="15.75" customHeight="1">
      <c r="A322" s="12">
        <v>45105.0</v>
      </c>
      <c r="B322" s="14" t="s">
        <v>703</v>
      </c>
      <c r="C322" s="14" t="s">
        <v>1576</v>
      </c>
      <c r="D322" s="14"/>
      <c r="E322" s="14"/>
      <c r="F322" s="14"/>
      <c r="G322" s="14"/>
      <c r="H322" s="15" t="s">
        <v>1577</v>
      </c>
      <c r="I322" s="14"/>
      <c r="J322" s="14"/>
      <c r="K322" s="13" t="s">
        <v>1560</v>
      </c>
      <c r="L322" s="27" t="s">
        <v>48</v>
      </c>
      <c r="M322" s="14" t="s">
        <v>34</v>
      </c>
      <c r="N322" s="14" t="b">
        <v>0</v>
      </c>
      <c r="O322" s="14"/>
      <c r="P322" s="14"/>
      <c r="Q322" s="14"/>
      <c r="R322" s="14"/>
      <c r="S322" s="14" t="s">
        <v>1578</v>
      </c>
      <c r="T322" s="14" t="s">
        <v>36</v>
      </c>
      <c r="U322" s="17"/>
      <c r="V322" s="14"/>
      <c r="W322" s="14"/>
      <c r="X322" s="18"/>
      <c r="Y322" s="18"/>
      <c r="Z322" s="18"/>
      <c r="AA322" s="19">
        <f t="shared" si="1"/>
        <v>6</v>
      </c>
      <c r="AB322" s="19" t="str">
        <f t="shared" si="2"/>
        <v/>
      </c>
    </row>
    <row r="323" ht="15.75" customHeight="1">
      <c r="A323" s="12">
        <v>45105.0</v>
      </c>
      <c r="B323" s="14" t="s">
        <v>703</v>
      </c>
      <c r="C323" s="14" t="s">
        <v>1579</v>
      </c>
      <c r="D323" s="14"/>
      <c r="E323" s="14"/>
      <c r="F323" s="14"/>
      <c r="G323" s="14"/>
      <c r="H323" s="15" t="s">
        <v>1580</v>
      </c>
      <c r="I323" s="14"/>
      <c r="J323" s="14"/>
      <c r="K323" s="13" t="s">
        <v>1560</v>
      </c>
      <c r="L323" s="27" t="s">
        <v>48</v>
      </c>
      <c r="M323" s="14" t="s">
        <v>34</v>
      </c>
      <c r="N323" s="14" t="b">
        <v>0</v>
      </c>
      <c r="O323" s="14"/>
      <c r="P323" s="14"/>
      <c r="Q323" s="14"/>
      <c r="R323" s="14"/>
      <c r="S323" s="14" t="s">
        <v>1581</v>
      </c>
      <c r="T323" s="14" t="s">
        <v>36</v>
      </c>
      <c r="U323" s="17"/>
      <c r="V323" s="14"/>
      <c r="W323" s="14"/>
      <c r="X323" s="18"/>
      <c r="Y323" s="18"/>
      <c r="Z323" s="18"/>
      <c r="AA323" s="19">
        <f t="shared" si="1"/>
        <v>6</v>
      </c>
      <c r="AB323" s="19" t="str">
        <f t="shared" si="2"/>
        <v/>
      </c>
    </row>
    <row r="324" ht="15.75" customHeight="1">
      <c r="A324" s="12">
        <v>45105.0</v>
      </c>
      <c r="B324" s="14" t="s">
        <v>703</v>
      </c>
      <c r="C324" s="14" t="s">
        <v>1582</v>
      </c>
      <c r="D324" s="14"/>
      <c r="E324" s="14"/>
      <c r="F324" s="14"/>
      <c r="G324" s="14"/>
      <c r="H324" s="15" t="s">
        <v>1583</v>
      </c>
      <c r="I324" s="14"/>
      <c r="J324" s="14"/>
      <c r="K324" s="13" t="s">
        <v>1560</v>
      </c>
      <c r="L324" s="27" t="s">
        <v>48</v>
      </c>
      <c r="M324" s="14" t="s">
        <v>216</v>
      </c>
      <c r="N324" s="14" t="b">
        <v>0</v>
      </c>
      <c r="O324" s="14"/>
      <c r="P324" s="14"/>
      <c r="Q324" s="14"/>
      <c r="R324" s="14"/>
      <c r="S324" s="14" t="s">
        <v>1584</v>
      </c>
      <c r="T324" s="14" t="s">
        <v>36</v>
      </c>
      <c r="U324" s="17"/>
      <c r="V324" s="32">
        <v>45108.0</v>
      </c>
      <c r="W324" s="79" t="s">
        <v>83</v>
      </c>
      <c r="X324" s="25">
        <v>3062000.0</v>
      </c>
      <c r="Y324" s="25">
        <f>X324-Z324</f>
        <v>153100</v>
      </c>
      <c r="Z324" s="25">
        <v>2908900.0</v>
      </c>
      <c r="AA324" s="19">
        <f t="shared" si="1"/>
        <v>6</v>
      </c>
      <c r="AB324" s="19" t="str">
        <f t="shared" si="2"/>
        <v/>
      </c>
    </row>
    <row r="325" ht="15.75" customHeight="1">
      <c r="A325" s="26">
        <v>45105.0</v>
      </c>
      <c r="B325" s="27" t="s">
        <v>84</v>
      </c>
      <c r="C325" s="27" t="s">
        <v>1585</v>
      </c>
      <c r="D325" s="27" t="s">
        <v>1586</v>
      </c>
      <c r="E325" s="24">
        <v>11.0</v>
      </c>
      <c r="F325" s="27" t="s">
        <v>1443</v>
      </c>
      <c r="G325" s="27"/>
      <c r="H325" s="34" t="s">
        <v>1587</v>
      </c>
      <c r="I325" s="27"/>
      <c r="J325" s="27"/>
      <c r="K325" s="27"/>
      <c r="L325" s="27" t="s">
        <v>48</v>
      </c>
      <c r="M325" s="27" t="s">
        <v>67</v>
      </c>
      <c r="N325" s="14" t="b">
        <v>1</v>
      </c>
      <c r="O325" s="24" t="s">
        <v>1588</v>
      </c>
      <c r="P325" s="13" t="s">
        <v>42</v>
      </c>
      <c r="Q325" s="24" t="s">
        <v>91</v>
      </c>
      <c r="R325" s="27"/>
      <c r="S325" s="24" t="s">
        <v>1589</v>
      </c>
      <c r="T325" s="24" t="s">
        <v>72</v>
      </c>
      <c r="U325" s="26"/>
      <c r="V325" s="14"/>
      <c r="W325" s="14"/>
      <c r="X325" s="18"/>
      <c r="Y325" s="18"/>
      <c r="Z325" s="18"/>
      <c r="AA325" s="19">
        <f t="shared" si="1"/>
        <v>6</v>
      </c>
      <c r="AB325" s="19">
        <f t="shared" si="2"/>
        <v>7</v>
      </c>
    </row>
    <row r="326" ht="15.75" customHeight="1">
      <c r="A326" s="12">
        <v>45105.0</v>
      </c>
      <c r="B326" s="13" t="s">
        <v>28</v>
      </c>
      <c r="C326" s="14" t="s">
        <v>1590</v>
      </c>
      <c r="D326" s="14" t="s">
        <v>1591</v>
      </c>
      <c r="E326" s="13">
        <v>9.0</v>
      </c>
      <c r="F326" s="14" t="s">
        <v>176</v>
      </c>
      <c r="G326" s="14"/>
      <c r="H326" s="15" t="s">
        <v>1592</v>
      </c>
      <c r="I326" s="14"/>
      <c r="J326" s="14"/>
      <c r="K326" s="139" t="s">
        <v>1593</v>
      </c>
      <c r="L326" s="27" t="s">
        <v>48</v>
      </c>
      <c r="M326" s="14" t="s">
        <v>34</v>
      </c>
      <c r="N326" s="14" t="b">
        <v>1</v>
      </c>
      <c r="O326" s="13" t="s">
        <v>1594</v>
      </c>
      <c r="P326" s="13" t="s">
        <v>69</v>
      </c>
      <c r="Q326" s="14"/>
      <c r="R326" s="14"/>
      <c r="S326" s="14" t="s">
        <v>1595</v>
      </c>
      <c r="T326" s="14" t="s">
        <v>36</v>
      </c>
      <c r="U326" s="17"/>
      <c r="V326" s="14"/>
      <c r="W326" s="14"/>
      <c r="X326" s="18"/>
      <c r="Y326" s="18"/>
      <c r="Z326" s="18"/>
      <c r="AA326" s="19">
        <f t="shared" si="1"/>
        <v>6</v>
      </c>
      <c r="AB326" s="19" t="str">
        <f t="shared" si="2"/>
        <v/>
      </c>
    </row>
    <row r="327" ht="15.75" customHeight="1">
      <c r="A327" s="12">
        <v>45105.0</v>
      </c>
      <c r="B327" s="14" t="s">
        <v>703</v>
      </c>
      <c r="C327" s="14" t="s">
        <v>1596</v>
      </c>
      <c r="D327" s="14"/>
      <c r="E327" s="14"/>
      <c r="F327" s="14"/>
      <c r="G327" s="14"/>
      <c r="H327" s="15" t="s">
        <v>1597</v>
      </c>
      <c r="I327" s="14"/>
      <c r="J327" s="14"/>
      <c r="K327" s="14"/>
      <c r="L327" s="27" t="s">
        <v>48</v>
      </c>
      <c r="M327" s="14" t="s">
        <v>216</v>
      </c>
      <c r="N327" s="14" t="b">
        <v>0</v>
      </c>
      <c r="O327" s="14"/>
      <c r="P327" s="14"/>
      <c r="Q327" s="14"/>
      <c r="R327" s="14"/>
      <c r="S327" s="14" t="s">
        <v>1598</v>
      </c>
      <c r="T327" s="14" t="s">
        <v>36</v>
      </c>
      <c r="U327" s="17"/>
      <c r="V327" s="14"/>
      <c r="W327" s="14"/>
      <c r="X327" s="18"/>
      <c r="Y327" s="18"/>
      <c r="Z327" s="18"/>
      <c r="AA327" s="19">
        <f t="shared" si="1"/>
        <v>6</v>
      </c>
      <c r="AB327" s="19" t="str">
        <f t="shared" si="2"/>
        <v/>
      </c>
    </row>
    <row r="328" ht="15.75" customHeight="1">
      <c r="A328" s="12">
        <v>45105.0</v>
      </c>
      <c r="B328" s="13" t="s">
        <v>28</v>
      </c>
      <c r="C328" s="13" t="s">
        <v>1599</v>
      </c>
      <c r="D328" s="14"/>
      <c r="E328" s="14"/>
      <c r="F328" s="14"/>
      <c r="G328" s="14"/>
      <c r="H328" s="15" t="s">
        <v>1600</v>
      </c>
      <c r="I328" s="14"/>
      <c r="J328" s="14"/>
      <c r="K328" s="14"/>
      <c r="L328" s="27" t="s">
        <v>48</v>
      </c>
      <c r="M328" s="14" t="s">
        <v>216</v>
      </c>
      <c r="N328" s="14" t="b">
        <v>0</v>
      </c>
      <c r="O328" s="14"/>
      <c r="P328" s="14"/>
      <c r="Q328" s="14"/>
      <c r="R328" s="14"/>
      <c r="S328" s="14" t="s">
        <v>1601</v>
      </c>
      <c r="T328" s="14" t="s">
        <v>36</v>
      </c>
      <c r="U328" s="17"/>
      <c r="V328" s="14"/>
      <c r="W328" s="14"/>
      <c r="X328" s="18"/>
      <c r="Y328" s="18"/>
      <c r="Z328" s="18"/>
      <c r="AA328" s="19">
        <f t="shared" si="1"/>
        <v>6</v>
      </c>
      <c r="AB328" s="19" t="str">
        <f t="shared" si="2"/>
        <v/>
      </c>
    </row>
    <row r="329" ht="15.75" customHeight="1">
      <c r="A329" s="12">
        <v>45105.0</v>
      </c>
      <c r="B329" s="14" t="s">
        <v>84</v>
      </c>
      <c r="C329" s="14" t="s">
        <v>1602</v>
      </c>
      <c r="D329" s="140" t="s">
        <v>1603</v>
      </c>
      <c r="E329" s="13">
        <v>8.0</v>
      </c>
      <c r="F329" s="14"/>
      <c r="G329" s="14"/>
      <c r="H329" s="15" t="s">
        <v>1604</v>
      </c>
      <c r="I329" s="14"/>
      <c r="J329" s="14"/>
      <c r="K329" s="14"/>
      <c r="L329" s="27" t="s">
        <v>111</v>
      </c>
      <c r="M329" s="14" t="s">
        <v>158</v>
      </c>
      <c r="N329" s="14" t="b">
        <v>0</v>
      </c>
      <c r="O329" s="14"/>
      <c r="P329" s="14"/>
      <c r="Q329" s="14"/>
      <c r="R329" s="14"/>
      <c r="S329" s="14" t="s">
        <v>1605</v>
      </c>
      <c r="T329" s="13" t="s">
        <v>129</v>
      </c>
      <c r="U329" s="17">
        <v>45114.0</v>
      </c>
      <c r="V329" s="14"/>
      <c r="W329" s="14"/>
      <c r="X329" s="18"/>
      <c r="Y329" s="18"/>
      <c r="Z329" s="18"/>
      <c r="AA329" s="19">
        <f t="shared" si="1"/>
        <v>6</v>
      </c>
      <c r="AB329" s="19" t="str">
        <f t="shared" si="2"/>
        <v/>
      </c>
    </row>
    <row r="330" ht="15.75" customHeight="1">
      <c r="A330" s="12">
        <v>45106.0</v>
      </c>
      <c r="B330" s="13" t="s">
        <v>28</v>
      </c>
      <c r="C330" s="14" t="s">
        <v>1606</v>
      </c>
      <c r="D330" s="14"/>
      <c r="E330" s="14"/>
      <c r="F330" s="14"/>
      <c r="G330" s="14"/>
      <c r="H330" s="15" t="s">
        <v>1600</v>
      </c>
      <c r="I330" s="14"/>
      <c r="J330" s="14"/>
      <c r="K330" s="14"/>
      <c r="L330" s="27" t="s">
        <v>48</v>
      </c>
      <c r="M330" s="14" t="s">
        <v>216</v>
      </c>
      <c r="N330" s="14" t="b">
        <v>0</v>
      </c>
      <c r="O330" s="14"/>
      <c r="P330" s="14"/>
      <c r="Q330" s="14"/>
      <c r="R330" s="14"/>
      <c r="S330" s="14" t="s">
        <v>1601</v>
      </c>
      <c r="T330" s="14" t="s">
        <v>36</v>
      </c>
      <c r="U330" s="17"/>
      <c r="V330" s="14"/>
      <c r="W330" s="14"/>
      <c r="X330" s="18"/>
      <c r="Y330" s="18"/>
      <c r="Z330" s="18"/>
      <c r="AA330" s="19">
        <f t="shared" si="1"/>
        <v>6</v>
      </c>
      <c r="AB330" s="19" t="str">
        <f t="shared" si="2"/>
        <v/>
      </c>
    </row>
    <row r="331" ht="15.75" customHeight="1">
      <c r="A331" s="12">
        <v>45106.0</v>
      </c>
      <c r="B331" s="14" t="s">
        <v>60</v>
      </c>
      <c r="C331" s="14" t="s">
        <v>1607</v>
      </c>
      <c r="D331" s="14" t="s">
        <v>1608</v>
      </c>
      <c r="E331" s="13">
        <v>13.0</v>
      </c>
      <c r="F331" s="14"/>
      <c r="G331" s="14"/>
      <c r="H331" s="15" t="s">
        <v>1609</v>
      </c>
      <c r="I331" s="14"/>
      <c r="J331" s="14"/>
      <c r="K331" s="14"/>
      <c r="L331" s="27" t="s">
        <v>111</v>
      </c>
      <c r="M331" s="14" t="s">
        <v>565</v>
      </c>
      <c r="N331" s="14" t="b">
        <v>0</v>
      </c>
      <c r="O331" s="14"/>
      <c r="P331" s="14"/>
      <c r="Q331" s="14"/>
      <c r="R331" s="14"/>
      <c r="S331" s="13" t="s">
        <v>1610</v>
      </c>
      <c r="T331" s="13" t="s">
        <v>129</v>
      </c>
      <c r="U331" s="17">
        <v>45114.0</v>
      </c>
      <c r="V331" s="14"/>
      <c r="W331" s="14"/>
      <c r="X331" s="18"/>
      <c r="Y331" s="18"/>
      <c r="Z331" s="18"/>
      <c r="AA331" s="19">
        <f t="shared" si="1"/>
        <v>6</v>
      </c>
      <c r="AB331" s="19" t="str">
        <f t="shared" si="2"/>
        <v/>
      </c>
    </row>
    <row r="332" ht="15.75" customHeight="1">
      <c r="A332" s="12">
        <v>45106.0</v>
      </c>
      <c r="B332" s="14" t="s">
        <v>60</v>
      </c>
      <c r="C332" s="14" t="s">
        <v>1607</v>
      </c>
      <c r="D332" s="13" t="s">
        <v>1611</v>
      </c>
      <c r="E332" s="13">
        <v>16.0</v>
      </c>
      <c r="F332" s="14"/>
      <c r="G332" s="14"/>
      <c r="H332" s="15" t="s">
        <v>1609</v>
      </c>
      <c r="I332" s="14"/>
      <c r="J332" s="14"/>
      <c r="K332" s="14"/>
      <c r="L332" s="27" t="s">
        <v>111</v>
      </c>
      <c r="M332" s="14" t="s">
        <v>565</v>
      </c>
      <c r="N332" s="14" t="b">
        <v>0</v>
      </c>
      <c r="O332" s="14"/>
      <c r="P332" s="14"/>
      <c r="Q332" s="14"/>
      <c r="R332" s="14"/>
      <c r="S332" s="13" t="s">
        <v>1610</v>
      </c>
      <c r="T332" s="13" t="s">
        <v>129</v>
      </c>
      <c r="U332" s="17">
        <v>45114.0</v>
      </c>
      <c r="V332" s="14"/>
      <c r="W332" s="14"/>
      <c r="X332" s="18"/>
      <c r="Y332" s="18"/>
      <c r="Z332" s="18"/>
      <c r="AA332" s="19">
        <f t="shared" si="1"/>
        <v>6</v>
      </c>
      <c r="AB332" s="19" t="str">
        <f t="shared" si="2"/>
        <v/>
      </c>
    </row>
    <row r="333" ht="15.75" customHeight="1">
      <c r="A333" s="12">
        <v>45106.0</v>
      </c>
      <c r="B333" s="14" t="s">
        <v>73</v>
      </c>
      <c r="C333" s="14" t="s">
        <v>1612</v>
      </c>
      <c r="D333" s="14" t="s">
        <v>1613</v>
      </c>
      <c r="E333" s="13">
        <v>11.0</v>
      </c>
      <c r="F333" s="14"/>
      <c r="G333" s="14"/>
      <c r="H333" s="15" t="s">
        <v>1614</v>
      </c>
      <c r="I333" s="14"/>
      <c r="J333" s="14"/>
      <c r="K333" s="13" t="s">
        <v>1615</v>
      </c>
      <c r="L333" s="27" t="s">
        <v>111</v>
      </c>
      <c r="M333" s="14" t="s">
        <v>565</v>
      </c>
      <c r="N333" s="14" t="b">
        <v>0</v>
      </c>
      <c r="O333" s="14"/>
      <c r="P333" s="14"/>
      <c r="Q333" s="14"/>
      <c r="R333" s="14"/>
      <c r="S333" s="14" t="s">
        <v>1616</v>
      </c>
      <c r="T333" s="13" t="s">
        <v>129</v>
      </c>
      <c r="U333" s="17">
        <v>45119.0</v>
      </c>
      <c r="V333" s="14"/>
      <c r="W333" s="14"/>
      <c r="X333" s="18"/>
      <c r="Y333" s="18"/>
      <c r="Z333" s="18"/>
      <c r="AA333" s="19">
        <f t="shared" si="1"/>
        <v>6</v>
      </c>
      <c r="AB333" s="19" t="str">
        <f t="shared" si="2"/>
        <v/>
      </c>
    </row>
    <row r="334" ht="15.75" customHeight="1">
      <c r="A334" s="12">
        <v>45106.0</v>
      </c>
      <c r="B334" s="14" t="s">
        <v>60</v>
      </c>
      <c r="C334" s="14"/>
      <c r="D334" s="14" t="s">
        <v>1617</v>
      </c>
      <c r="E334" s="13">
        <v>12.0</v>
      </c>
      <c r="F334" s="14" t="s">
        <v>1443</v>
      </c>
      <c r="G334" s="14"/>
      <c r="H334" s="15" t="s">
        <v>1618</v>
      </c>
      <c r="I334" s="14"/>
      <c r="J334" s="14"/>
      <c r="K334" s="14"/>
      <c r="L334" s="27" t="s">
        <v>48</v>
      </c>
      <c r="M334" s="14" t="s">
        <v>565</v>
      </c>
      <c r="N334" s="14" t="b">
        <v>0</v>
      </c>
      <c r="O334" s="14"/>
      <c r="P334" s="14"/>
      <c r="Q334" s="14"/>
      <c r="R334" s="14"/>
      <c r="S334" s="14" t="s">
        <v>1619</v>
      </c>
      <c r="T334" s="13" t="s">
        <v>129</v>
      </c>
      <c r="U334" s="17">
        <v>45110.0</v>
      </c>
      <c r="V334" s="32">
        <v>45111.0</v>
      </c>
      <c r="W334" s="24" t="s">
        <v>575</v>
      </c>
      <c r="X334" s="25">
        <v>6124000.0</v>
      </c>
      <c r="Y334" s="25">
        <v>1102000.0</v>
      </c>
      <c r="Z334" s="25">
        <v>5022000.0</v>
      </c>
      <c r="AA334" s="19">
        <f t="shared" si="1"/>
        <v>6</v>
      </c>
      <c r="AB334" s="19" t="str">
        <f t="shared" si="2"/>
        <v/>
      </c>
    </row>
    <row r="335" ht="15.75" customHeight="1">
      <c r="A335" s="26">
        <v>45106.0</v>
      </c>
      <c r="B335" s="27" t="s">
        <v>73</v>
      </c>
      <c r="C335" s="24" t="s">
        <v>1620</v>
      </c>
      <c r="D335" s="24" t="s">
        <v>1621</v>
      </c>
      <c r="E335" s="24">
        <v>8.0</v>
      </c>
      <c r="F335" s="27"/>
      <c r="G335" s="27"/>
      <c r="H335" s="82" t="s">
        <v>1622</v>
      </c>
      <c r="I335" s="27"/>
      <c r="J335" s="27"/>
      <c r="K335" s="27"/>
      <c r="L335" s="27" t="s">
        <v>111</v>
      </c>
      <c r="M335" s="27" t="s">
        <v>67</v>
      </c>
      <c r="N335" s="14" t="b">
        <v>1</v>
      </c>
      <c r="O335" s="24" t="s">
        <v>1623</v>
      </c>
      <c r="P335" s="13" t="s">
        <v>69</v>
      </c>
      <c r="Q335" s="24" t="s">
        <v>91</v>
      </c>
      <c r="R335" s="27"/>
      <c r="S335" s="24" t="s">
        <v>1624</v>
      </c>
      <c r="T335" s="24" t="s">
        <v>72</v>
      </c>
      <c r="U335" s="26"/>
      <c r="V335" s="14"/>
      <c r="W335" s="14"/>
      <c r="X335" s="18"/>
      <c r="Y335" s="18"/>
      <c r="Z335" s="18"/>
      <c r="AA335" s="19">
        <f t="shared" si="1"/>
        <v>6</v>
      </c>
      <c r="AB335" s="19">
        <f t="shared" si="2"/>
        <v>7</v>
      </c>
    </row>
    <row r="336" ht="15.75" customHeight="1">
      <c r="A336" s="12">
        <v>45107.0</v>
      </c>
      <c r="B336" s="13" t="s">
        <v>28</v>
      </c>
      <c r="C336" s="14" t="s">
        <v>1625</v>
      </c>
      <c r="D336" s="14"/>
      <c r="E336" s="14"/>
      <c r="F336" s="14"/>
      <c r="G336" s="14"/>
      <c r="H336" s="15" t="s">
        <v>1626</v>
      </c>
      <c r="I336" s="14"/>
      <c r="J336" s="14"/>
      <c r="K336" s="14"/>
      <c r="L336" s="27" t="s">
        <v>48</v>
      </c>
      <c r="M336" s="14" t="s">
        <v>565</v>
      </c>
      <c r="N336" s="14" t="b">
        <v>0</v>
      </c>
      <c r="O336" s="14"/>
      <c r="P336" s="14"/>
      <c r="Q336" s="14"/>
      <c r="R336" s="14"/>
      <c r="S336" s="14" t="s">
        <v>1627</v>
      </c>
      <c r="T336" s="14" t="s">
        <v>36</v>
      </c>
      <c r="U336" s="17"/>
      <c r="V336" s="14"/>
      <c r="W336" s="14"/>
      <c r="X336" s="18"/>
      <c r="Y336" s="18"/>
      <c r="Z336" s="18"/>
      <c r="AA336" s="19">
        <f t="shared" si="1"/>
        <v>6</v>
      </c>
      <c r="AB336" s="19" t="str">
        <f t="shared" si="2"/>
        <v/>
      </c>
    </row>
    <row r="337" ht="15.75" customHeight="1">
      <c r="A337" s="12">
        <v>45107.0</v>
      </c>
      <c r="B337" s="14" t="s">
        <v>703</v>
      </c>
      <c r="C337" s="120" t="s">
        <v>739</v>
      </c>
      <c r="D337" s="14" t="s">
        <v>1628</v>
      </c>
      <c r="E337" s="13">
        <v>11.0</v>
      </c>
      <c r="F337" s="14"/>
      <c r="G337" s="14"/>
      <c r="H337" s="15" t="s">
        <v>1629</v>
      </c>
      <c r="I337" s="14"/>
      <c r="J337" s="14"/>
      <c r="K337" s="14"/>
      <c r="L337" s="27" t="s">
        <v>111</v>
      </c>
      <c r="M337" s="14" t="s">
        <v>34</v>
      </c>
      <c r="N337" s="14" t="b">
        <v>0</v>
      </c>
      <c r="O337" s="14"/>
      <c r="P337" s="14"/>
      <c r="Q337" s="14"/>
      <c r="R337" s="14"/>
      <c r="S337" s="14" t="s">
        <v>1630</v>
      </c>
      <c r="T337" s="14" t="s">
        <v>36</v>
      </c>
      <c r="U337" s="17"/>
      <c r="V337" s="14"/>
      <c r="W337" s="14"/>
      <c r="X337" s="18"/>
      <c r="Y337" s="18"/>
      <c r="Z337" s="18"/>
      <c r="AA337" s="19">
        <f t="shared" si="1"/>
        <v>6</v>
      </c>
      <c r="AB337" s="19" t="str">
        <f t="shared" si="2"/>
        <v/>
      </c>
    </row>
    <row r="338" ht="15.75" customHeight="1">
      <c r="A338" s="12">
        <v>45107.0</v>
      </c>
      <c r="B338" s="14" t="s">
        <v>703</v>
      </c>
      <c r="C338" s="120" t="s">
        <v>739</v>
      </c>
      <c r="D338" s="14" t="s">
        <v>1631</v>
      </c>
      <c r="E338" s="13">
        <v>8.0</v>
      </c>
      <c r="F338" s="14"/>
      <c r="G338" s="14"/>
      <c r="H338" s="15" t="s">
        <v>1629</v>
      </c>
      <c r="I338" s="14"/>
      <c r="J338" s="14"/>
      <c r="K338" s="14"/>
      <c r="L338" s="27" t="s">
        <v>111</v>
      </c>
      <c r="M338" s="14" t="s">
        <v>34</v>
      </c>
      <c r="N338" s="14" t="b">
        <v>0</v>
      </c>
      <c r="O338" s="14"/>
      <c r="P338" s="14"/>
      <c r="Q338" s="14"/>
      <c r="R338" s="14"/>
      <c r="S338" s="14" t="s">
        <v>1630</v>
      </c>
      <c r="T338" s="14" t="s">
        <v>36</v>
      </c>
      <c r="U338" s="17"/>
      <c r="V338" s="14"/>
      <c r="W338" s="14"/>
      <c r="X338" s="18"/>
      <c r="Y338" s="18"/>
      <c r="Z338" s="18"/>
      <c r="AA338" s="19">
        <f t="shared" si="1"/>
        <v>6</v>
      </c>
      <c r="AB338" s="19" t="str">
        <f t="shared" si="2"/>
        <v/>
      </c>
    </row>
    <row r="339" ht="15.75" customHeight="1">
      <c r="A339" s="12">
        <v>45107.0</v>
      </c>
      <c r="B339" s="14" t="s">
        <v>703</v>
      </c>
      <c r="C339" s="141" t="s">
        <v>1632</v>
      </c>
      <c r="D339" s="14"/>
      <c r="E339" s="14"/>
      <c r="F339" s="14"/>
      <c r="G339" s="14"/>
      <c r="H339" s="15" t="s">
        <v>1633</v>
      </c>
      <c r="I339" s="14"/>
      <c r="J339" s="14"/>
      <c r="K339" s="14"/>
      <c r="L339" s="27" t="s">
        <v>48</v>
      </c>
      <c r="M339" s="14" t="s">
        <v>34</v>
      </c>
      <c r="N339" s="14" t="b">
        <v>0</v>
      </c>
      <c r="O339" s="14"/>
      <c r="P339" s="14"/>
      <c r="Q339" s="14"/>
      <c r="R339" s="14"/>
      <c r="S339" s="14" t="s">
        <v>1634</v>
      </c>
      <c r="T339" s="14" t="s">
        <v>36</v>
      </c>
      <c r="U339" s="17"/>
      <c r="V339" s="14"/>
      <c r="W339" s="14"/>
      <c r="X339" s="18"/>
      <c r="Y339" s="18"/>
      <c r="Z339" s="18"/>
      <c r="AA339" s="19">
        <f t="shared" si="1"/>
        <v>6</v>
      </c>
      <c r="AB339" s="19" t="str">
        <f t="shared" si="2"/>
        <v/>
      </c>
    </row>
    <row r="340" ht="15.75" customHeight="1">
      <c r="A340" s="12">
        <v>45107.0</v>
      </c>
      <c r="B340" s="14" t="s">
        <v>703</v>
      </c>
      <c r="C340" s="14" t="s">
        <v>1635</v>
      </c>
      <c r="D340" s="14"/>
      <c r="E340" s="13">
        <v>12.0</v>
      </c>
      <c r="F340" s="14" t="s">
        <v>297</v>
      </c>
      <c r="G340" s="14"/>
      <c r="H340" s="15" t="s">
        <v>1636</v>
      </c>
      <c r="I340" s="16" t="s">
        <v>1637</v>
      </c>
      <c r="J340" s="14" t="s">
        <v>1638</v>
      </c>
      <c r="K340" s="14"/>
      <c r="L340" s="27" t="s">
        <v>111</v>
      </c>
      <c r="M340" s="14" t="s">
        <v>34</v>
      </c>
      <c r="N340" s="14" t="b">
        <v>0</v>
      </c>
      <c r="O340" s="14"/>
      <c r="P340" s="14"/>
      <c r="Q340" s="14"/>
      <c r="R340" s="14"/>
      <c r="S340" s="14" t="s">
        <v>1639</v>
      </c>
      <c r="T340" s="14" t="s">
        <v>36</v>
      </c>
      <c r="U340" s="17"/>
      <c r="V340" s="14"/>
      <c r="W340" s="14"/>
      <c r="X340" s="18"/>
      <c r="Y340" s="18"/>
      <c r="Z340" s="18"/>
      <c r="AA340" s="19">
        <f t="shared" si="1"/>
        <v>6</v>
      </c>
      <c r="AB340" s="19" t="str">
        <f t="shared" si="2"/>
        <v/>
      </c>
    </row>
    <row r="341" ht="15.75" customHeight="1">
      <c r="A341" s="12">
        <v>45107.0</v>
      </c>
      <c r="B341" s="14" t="s">
        <v>703</v>
      </c>
      <c r="C341" s="14" t="s">
        <v>1640</v>
      </c>
      <c r="D341" s="14"/>
      <c r="E341" s="13">
        <v>13.0</v>
      </c>
      <c r="F341" s="14" t="s">
        <v>234</v>
      </c>
      <c r="G341" s="14"/>
      <c r="H341" s="15" t="s">
        <v>1641</v>
      </c>
      <c r="I341" s="14"/>
      <c r="J341" s="14"/>
      <c r="K341" s="14"/>
      <c r="L341" s="27" t="s">
        <v>48</v>
      </c>
      <c r="M341" s="14" t="s">
        <v>565</v>
      </c>
      <c r="N341" s="14" t="b">
        <v>0</v>
      </c>
      <c r="O341" s="14"/>
      <c r="P341" s="14"/>
      <c r="Q341" s="14"/>
      <c r="R341" s="14"/>
      <c r="S341" s="14" t="s">
        <v>1642</v>
      </c>
      <c r="T341" s="14" t="s">
        <v>36</v>
      </c>
      <c r="U341" s="17"/>
      <c r="V341" s="14"/>
      <c r="W341" s="14"/>
      <c r="X341" s="18"/>
      <c r="Y341" s="18"/>
      <c r="Z341" s="18"/>
      <c r="AA341" s="19">
        <f t="shared" si="1"/>
        <v>6</v>
      </c>
      <c r="AB341" s="19" t="str">
        <f t="shared" si="2"/>
        <v/>
      </c>
    </row>
    <row r="342" ht="15.75" customHeight="1">
      <c r="A342" s="12">
        <v>45107.0</v>
      </c>
      <c r="B342" s="14" t="s">
        <v>703</v>
      </c>
      <c r="C342" s="14" t="s">
        <v>1643</v>
      </c>
      <c r="D342" s="14"/>
      <c r="E342" s="14"/>
      <c r="F342" s="14"/>
      <c r="G342" s="14"/>
      <c r="H342" s="15" t="s">
        <v>1644</v>
      </c>
      <c r="I342" s="14"/>
      <c r="J342" s="14"/>
      <c r="K342" s="14"/>
      <c r="L342" s="27" t="s">
        <v>111</v>
      </c>
      <c r="M342" s="14" t="s">
        <v>34</v>
      </c>
      <c r="N342" s="14" t="b">
        <v>0</v>
      </c>
      <c r="O342" s="14"/>
      <c r="P342" s="14"/>
      <c r="Q342" s="14"/>
      <c r="R342" s="14"/>
      <c r="S342" s="14" t="s">
        <v>1645</v>
      </c>
      <c r="T342" s="14" t="s">
        <v>36</v>
      </c>
      <c r="U342" s="17"/>
      <c r="V342" s="14"/>
      <c r="W342" s="14"/>
      <c r="X342" s="18"/>
      <c r="Y342" s="18"/>
      <c r="Z342" s="18"/>
      <c r="AA342" s="19">
        <f t="shared" si="1"/>
        <v>6</v>
      </c>
      <c r="AB342" s="19" t="str">
        <f t="shared" si="2"/>
        <v/>
      </c>
    </row>
    <row r="343" ht="15.75" customHeight="1">
      <c r="A343" s="12">
        <v>45107.0</v>
      </c>
      <c r="B343" s="14" t="s">
        <v>703</v>
      </c>
      <c r="C343" s="14" t="s">
        <v>1646</v>
      </c>
      <c r="D343" s="14"/>
      <c r="E343" s="14"/>
      <c r="F343" s="14"/>
      <c r="G343" s="14"/>
      <c r="H343" s="15" t="s">
        <v>1647</v>
      </c>
      <c r="I343" s="14"/>
      <c r="J343" s="14"/>
      <c r="K343" s="14"/>
      <c r="L343" s="27" t="s">
        <v>48</v>
      </c>
      <c r="M343" s="14" t="s">
        <v>565</v>
      </c>
      <c r="N343" s="14" t="b">
        <v>0</v>
      </c>
      <c r="O343" s="14"/>
      <c r="P343" s="14"/>
      <c r="Q343" s="14"/>
      <c r="R343" s="14"/>
      <c r="S343" s="14" t="s">
        <v>1648</v>
      </c>
      <c r="T343" s="14" t="s">
        <v>36</v>
      </c>
      <c r="U343" s="17"/>
      <c r="V343" s="14"/>
      <c r="W343" s="14"/>
      <c r="X343" s="18"/>
      <c r="Y343" s="18"/>
      <c r="Z343" s="18"/>
      <c r="AA343" s="19">
        <f t="shared" si="1"/>
        <v>6</v>
      </c>
      <c r="AB343" s="19" t="str">
        <f t="shared" si="2"/>
        <v/>
      </c>
    </row>
    <row r="344" ht="15.75" customHeight="1">
      <c r="A344" s="12">
        <v>45107.0</v>
      </c>
      <c r="B344" s="14" t="s">
        <v>703</v>
      </c>
      <c r="C344" s="14" t="s">
        <v>1649</v>
      </c>
      <c r="D344" s="14"/>
      <c r="E344" s="14"/>
      <c r="F344" s="14"/>
      <c r="G344" s="14"/>
      <c r="H344" s="15" t="s">
        <v>1650</v>
      </c>
      <c r="I344" s="14"/>
      <c r="J344" s="14"/>
      <c r="K344" s="14"/>
      <c r="L344" s="27" t="s">
        <v>48</v>
      </c>
      <c r="M344" s="14" t="s">
        <v>216</v>
      </c>
      <c r="N344" s="14" t="b">
        <v>0</v>
      </c>
      <c r="O344" s="14"/>
      <c r="P344" s="14"/>
      <c r="Q344" s="14"/>
      <c r="R344" s="14"/>
      <c r="S344" s="14" t="s">
        <v>1651</v>
      </c>
      <c r="T344" s="14" t="s">
        <v>36</v>
      </c>
      <c r="U344" s="17"/>
      <c r="V344" s="14"/>
      <c r="W344" s="14"/>
      <c r="X344" s="18"/>
      <c r="Y344" s="18"/>
      <c r="Z344" s="18"/>
      <c r="AA344" s="19">
        <f t="shared" si="1"/>
        <v>6</v>
      </c>
      <c r="AB344" s="19" t="str">
        <f t="shared" si="2"/>
        <v/>
      </c>
    </row>
    <row r="345" ht="15.75" customHeight="1">
      <c r="A345" s="12">
        <v>45107.0</v>
      </c>
      <c r="B345" s="14" t="s">
        <v>84</v>
      </c>
      <c r="C345" s="13" t="s">
        <v>1652</v>
      </c>
      <c r="D345" s="14" t="s">
        <v>1653</v>
      </c>
      <c r="E345" s="13">
        <v>9.0</v>
      </c>
      <c r="F345" s="14"/>
      <c r="G345" s="14"/>
      <c r="H345" s="15" t="s">
        <v>1654</v>
      </c>
      <c r="I345" s="14"/>
      <c r="J345" s="14"/>
      <c r="K345" s="14"/>
      <c r="L345" s="27" t="s">
        <v>111</v>
      </c>
      <c r="M345" s="14" t="s">
        <v>34</v>
      </c>
      <c r="N345" s="14" t="b">
        <v>1</v>
      </c>
      <c r="O345" s="13" t="s">
        <v>1655</v>
      </c>
      <c r="P345" s="13" t="s">
        <v>69</v>
      </c>
      <c r="Q345" s="14"/>
      <c r="R345" s="14"/>
      <c r="S345" s="14" t="s">
        <v>1656</v>
      </c>
      <c r="T345" s="14" t="s">
        <v>36</v>
      </c>
      <c r="U345" s="17"/>
      <c r="V345" s="14"/>
      <c r="W345" s="14"/>
      <c r="X345" s="18"/>
      <c r="Y345" s="18"/>
      <c r="Z345" s="18"/>
      <c r="AA345" s="19">
        <f t="shared" si="1"/>
        <v>6</v>
      </c>
      <c r="AB345" s="19" t="str">
        <f t="shared" si="2"/>
        <v/>
      </c>
    </row>
    <row r="346" ht="15.75" customHeight="1">
      <c r="A346" s="12">
        <v>45107.0</v>
      </c>
      <c r="B346" s="14" t="s">
        <v>201</v>
      </c>
      <c r="C346" s="13" t="s">
        <v>1657</v>
      </c>
      <c r="D346" s="14"/>
      <c r="E346" s="14"/>
      <c r="F346" s="14"/>
      <c r="G346" s="14"/>
      <c r="H346" s="15"/>
      <c r="I346" s="16" t="s">
        <v>1658</v>
      </c>
      <c r="J346" s="14"/>
      <c r="K346" s="14"/>
      <c r="L346" s="27" t="s">
        <v>111</v>
      </c>
      <c r="M346" s="14" t="s">
        <v>216</v>
      </c>
      <c r="N346" s="14" t="b">
        <v>0</v>
      </c>
      <c r="O346" s="14"/>
      <c r="P346" s="14"/>
      <c r="Q346" s="14"/>
      <c r="R346" s="14"/>
      <c r="S346" s="14" t="s">
        <v>1659</v>
      </c>
      <c r="T346" s="14" t="s">
        <v>36</v>
      </c>
      <c r="U346" s="17"/>
      <c r="V346" s="14"/>
      <c r="W346" s="14"/>
      <c r="X346" s="18"/>
      <c r="Y346" s="18"/>
      <c r="Z346" s="18"/>
      <c r="AA346" s="19">
        <f t="shared" si="1"/>
        <v>6</v>
      </c>
      <c r="AB346" s="19" t="str">
        <f t="shared" si="2"/>
        <v/>
      </c>
    </row>
    <row r="347" ht="15.75" customHeight="1">
      <c r="A347" s="12">
        <v>45107.0</v>
      </c>
      <c r="B347" s="14" t="s">
        <v>703</v>
      </c>
      <c r="C347" s="14" t="s">
        <v>161</v>
      </c>
      <c r="D347" s="14"/>
      <c r="E347" s="14"/>
      <c r="F347" s="14"/>
      <c r="G347" s="14"/>
      <c r="H347" s="15" t="s">
        <v>1660</v>
      </c>
      <c r="I347" s="16" t="s">
        <v>1658</v>
      </c>
      <c r="J347" s="14"/>
      <c r="K347" s="14"/>
      <c r="L347" s="27" t="s">
        <v>48</v>
      </c>
      <c r="M347" s="14" t="s">
        <v>34</v>
      </c>
      <c r="N347" s="14" t="b">
        <v>0</v>
      </c>
      <c r="O347" s="14"/>
      <c r="P347" s="14"/>
      <c r="Q347" s="14"/>
      <c r="R347" s="14"/>
      <c r="S347" s="14" t="s">
        <v>1661</v>
      </c>
      <c r="T347" s="14" t="s">
        <v>36</v>
      </c>
      <c r="U347" s="17"/>
      <c r="V347" s="14"/>
      <c r="W347" s="14"/>
      <c r="X347" s="18"/>
      <c r="Y347" s="18"/>
      <c r="Z347" s="18"/>
      <c r="AA347" s="19">
        <f t="shared" si="1"/>
        <v>6</v>
      </c>
      <c r="AB347" s="19" t="str">
        <f t="shared" si="2"/>
        <v/>
      </c>
    </row>
    <row r="348" ht="15.75" customHeight="1">
      <c r="A348" s="12">
        <v>45107.0</v>
      </c>
      <c r="B348" s="14" t="s">
        <v>703</v>
      </c>
      <c r="C348" s="13" t="s">
        <v>1662</v>
      </c>
      <c r="D348" s="14"/>
      <c r="E348" s="14"/>
      <c r="F348" s="14"/>
      <c r="G348" s="14"/>
      <c r="H348" s="15" t="s">
        <v>1663</v>
      </c>
      <c r="I348" s="16" t="s">
        <v>1658</v>
      </c>
      <c r="J348" s="14"/>
      <c r="K348" s="14"/>
      <c r="L348" s="27" t="s">
        <v>48</v>
      </c>
      <c r="M348" s="14" t="s">
        <v>34</v>
      </c>
      <c r="N348" s="14" t="b">
        <v>0</v>
      </c>
      <c r="O348" s="14"/>
      <c r="P348" s="14"/>
      <c r="Q348" s="14"/>
      <c r="R348" s="14"/>
      <c r="S348" s="14" t="s">
        <v>1664</v>
      </c>
      <c r="T348" s="14" t="s">
        <v>36</v>
      </c>
      <c r="U348" s="17"/>
      <c r="V348" s="14"/>
      <c r="W348" s="14"/>
      <c r="X348" s="18"/>
      <c r="Y348" s="18"/>
      <c r="Z348" s="18"/>
      <c r="AA348" s="19">
        <f t="shared" si="1"/>
        <v>6</v>
      </c>
      <c r="AB348" s="19" t="str">
        <f t="shared" si="2"/>
        <v/>
      </c>
    </row>
    <row r="349" ht="15.75" customHeight="1">
      <c r="A349" s="12">
        <v>45108.0</v>
      </c>
      <c r="B349" s="13" t="s">
        <v>28</v>
      </c>
      <c r="C349" s="14" t="s">
        <v>1665</v>
      </c>
      <c r="D349" s="14" t="s">
        <v>1666</v>
      </c>
      <c r="E349" s="13">
        <v>9.0</v>
      </c>
      <c r="F349" s="14"/>
      <c r="G349" s="14"/>
      <c r="H349" s="15" t="s">
        <v>1667</v>
      </c>
      <c r="I349" s="14"/>
      <c r="J349" s="14"/>
      <c r="K349" s="14"/>
      <c r="L349" s="27" t="s">
        <v>111</v>
      </c>
      <c r="M349" s="14" t="s">
        <v>565</v>
      </c>
      <c r="N349" s="14" t="b">
        <v>0</v>
      </c>
      <c r="O349" s="14"/>
      <c r="P349" s="14"/>
      <c r="Q349" s="14"/>
      <c r="R349" s="14"/>
      <c r="S349" s="14" t="s">
        <v>1668</v>
      </c>
      <c r="T349" s="13" t="s">
        <v>129</v>
      </c>
      <c r="U349" s="17">
        <v>45124.0</v>
      </c>
      <c r="V349" s="142">
        <v>45149.0</v>
      </c>
      <c r="W349" s="13" t="s">
        <v>1376</v>
      </c>
      <c r="X349" s="18">
        <v>4375000.0</v>
      </c>
      <c r="Y349" s="18">
        <f t="shared" ref="Y349:Y350" si="5">X349-Z349</f>
        <v>218750</v>
      </c>
      <c r="Z349" s="18">
        <v>4156250.0</v>
      </c>
      <c r="AA349" s="19">
        <f t="shared" si="1"/>
        <v>7</v>
      </c>
      <c r="AB349" s="19" t="str">
        <f t="shared" si="2"/>
        <v/>
      </c>
    </row>
    <row r="350" ht="15.75" customHeight="1">
      <c r="A350" s="12">
        <v>45108.0</v>
      </c>
      <c r="B350" s="13" t="s">
        <v>28</v>
      </c>
      <c r="C350" s="14" t="s">
        <v>1669</v>
      </c>
      <c r="D350" s="14" t="s">
        <v>1670</v>
      </c>
      <c r="E350" s="13">
        <v>13.0</v>
      </c>
      <c r="F350" s="14" t="s">
        <v>234</v>
      </c>
      <c r="G350" s="14"/>
      <c r="H350" s="15" t="s">
        <v>1671</v>
      </c>
      <c r="I350" s="14"/>
      <c r="J350" s="14"/>
      <c r="K350" s="14" t="s">
        <v>1672</v>
      </c>
      <c r="L350" s="27" t="s">
        <v>48</v>
      </c>
      <c r="M350" s="14" t="s">
        <v>67</v>
      </c>
      <c r="N350" s="14" t="b">
        <v>1</v>
      </c>
      <c r="O350" s="13" t="s">
        <v>1673</v>
      </c>
      <c r="P350" s="13" t="s">
        <v>69</v>
      </c>
      <c r="Q350" s="24" t="s">
        <v>91</v>
      </c>
      <c r="R350" s="14"/>
      <c r="S350" s="13" t="s">
        <v>1674</v>
      </c>
      <c r="T350" s="24" t="s">
        <v>72</v>
      </c>
      <c r="U350" s="17"/>
      <c r="V350" s="142">
        <v>45149.0</v>
      </c>
      <c r="W350" s="13" t="s">
        <v>407</v>
      </c>
      <c r="X350" s="18">
        <v>4375000.0</v>
      </c>
      <c r="Y350" s="18">
        <f t="shared" si="5"/>
        <v>131250</v>
      </c>
      <c r="Z350" s="18">
        <v>4243750.0</v>
      </c>
      <c r="AA350" s="19">
        <f t="shared" si="1"/>
        <v>7</v>
      </c>
      <c r="AB350" s="19">
        <f t="shared" si="2"/>
        <v>8</v>
      </c>
    </row>
    <row r="351" ht="15.75" customHeight="1">
      <c r="A351" s="12">
        <v>45108.0</v>
      </c>
      <c r="B351" s="13" t="s">
        <v>28</v>
      </c>
      <c r="C351" s="14" t="s">
        <v>1669</v>
      </c>
      <c r="D351" s="14" t="s">
        <v>1675</v>
      </c>
      <c r="E351" s="13">
        <v>11.0</v>
      </c>
      <c r="F351" s="14" t="s">
        <v>155</v>
      </c>
      <c r="G351" s="14"/>
      <c r="H351" s="15" t="s">
        <v>1671</v>
      </c>
      <c r="I351" s="14"/>
      <c r="J351" s="14"/>
      <c r="K351" s="62" t="s">
        <v>1676</v>
      </c>
      <c r="L351" s="27" t="s">
        <v>48</v>
      </c>
      <c r="M351" s="14" t="s">
        <v>67</v>
      </c>
      <c r="N351" s="14" t="b">
        <v>1</v>
      </c>
      <c r="O351" s="13" t="s">
        <v>1677</v>
      </c>
      <c r="P351" s="13" t="s">
        <v>42</v>
      </c>
      <c r="Q351" s="24" t="s">
        <v>91</v>
      </c>
      <c r="R351" s="14"/>
      <c r="S351" s="13" t="s">
        <v>1678</v>
      </c>
      <c r="T351" s="24" t="s">
        <v>72</v>
      </c>
      <c r="U351" s="17"/>
      <c r="V351" s="14"/>
      <c r="W351" s="14"/>
      <c r="X351" s="18"/>
      <c r="Y351" s="18"/>
      <c r="Z351" s="18"/>
      <c r="AA351" s="19">
        <f t="shared" si="1"/>
        <v>7</v>
      </c>
      <c r="AB351" s="19">
        <f t="shared" si="2"/>
        <v>8</v>
      </c>
    </row>
    <row r="352" ht="15.75" customHeight="1">
      <c r="A352" s="12">
        <v>45108.0</v>
      </c>
      <c r="B352" s="13" t="s">
        <v>28</v>
      </c>
      <c r="C352" s="14" t="s">
        <v>1679</v>
      </c>
      <c r="D352" s="14"/>
      <c r="E352" s="14"/>
      <c r="F352" s="14"/>
      <c r="G352" s="14"/>
      <c r="H352" s="15" t="s">
        <v>1680</v>
      </c>
      <c r="I352" s="14"/>
      <c r="J352" s="14"/>
      <c r="K352" s="14"/>
      <c r="L352" s="27" t="s">
        <v>48</v>
      </c>
      <c r="M352" s="14" t="s">
        <v>565</v>
      </c>
      <c r="N352" s="14" t="b">
        <v>0</v>
      </c>
      <c r="O352" s="14"/>
      <c r="P352" s="14"/>
      <c r="Q352" s="14"/>
      <c r="R352" s="14"/>
      <c r="S352" s="14" t="s">
        <v>1681</v>
      </c>
      <c r="T352" s="13" t="s">
        <v>129</v>
      </c>
      <c r="U352" s="17">
        <v>45125.0</v>
      </c>
      <c r="V352" s="32">
        <v>45110.0</v>
      </c>
      <c r="W352" s="24" t="s">
        <v>1230</v>
      </c>
      <c r="X352" s="25">
        <v>4375000.0</v>
      </c>
      <c r="Y352" s="25">
        <f>X352-Z352</f>
        <v>218000</v>
      </c>
      <c r="Z352" s="25">
        <v>4157000.0</v>
      </c>
      <c r="AA352" s="19">
        <f t="shared" si="1"/>
        <v>7</v>
      </c>
      <c r="AB352" s="19" t="str">
        <f t="shared" si="2"/>
        <v/>
      </c>
    </row>
    <row r="353" ht="15.75" customHeight="1">
      <c r="A353" s="26">
        <v>45108.0</v>
      </c>
      <c r="B353" s="27" t="s">
        <v>201</v>
      </c>
      <c r="C353" s="24" t="s">
        <v>1682</v>
      </c>
      <c r="D353" s="27" t="s">
        <v>1683</v>
      </c>
      <c r="E353" s="24">
        <v>14.0</v>
      </c>
      <c r="F353" s="27" t="s">
        <v>1684</v>
      </c>
      <c r="G353" s="27"/>
      <c r="H353" s="34" t="s">
        <v>1685</v>
      </c>
      <c r="I353" s="27"/>
      <c r="J353" s="27"/>
      <c r="K353" s="27" t="s">
        <v>1686</v>
      </c>
      <c r="L353" s="27" t="s">
        <v>48</v>
      </c>
      <c r="M353" s="27" t="s">
        <v>67</v>
      </c>
      <c r="N353" s="14" t="b">
        <v>1</v>
      </c>
      <c r="O353" s="24" t="s">
        <v>1687</v>
      </c>
      <c r="P353" s="13" t="s">
        <v>69</v>
      </c>
      <c r="Q353" s="24" t="s">
        <v>1230</v>
      </c>
      <c r="R353" s="27"/>
      <c r="S353" s="27" t="s">
        <v>1688</v>
      </c>
      <c r="T353" s="24" t="s">
        <v>72</v>
      </c>
      <c r="U353" s="26"/>
      <c r="V353" s="14"/>
      <c r="W353" s="14"/>
      <c r="X353" s="18"/>
      <c r="Y353" s="18"/>
      <c r="Z353" s="18"/>
      <c r="AA353" s="19">
        <f t="shared" si="1"/>
        <v>7</v>
      </c>
      <c r="AB353" s="19">
        <f t="shared" si="2"/>
        <v>7</v>
      </c>
    </row>
    <row r="354" ht="15.75" customHeight="1">
      <c r="A354" s="12">
        <v>45108.0</v>
      </c>
      <c r="B354" s="14" t="s">
        <v>201</v>
      </c>
      <c r="C354" s="13" t="s">
        <v>1689</v>
      </c>
      <c r="D354" s="14"/>
      <c r="E354" s="13">
        <v>12.0</v>
      </c>
      <c r="F354" s="14" t="s">
        <v>1443</v>
      </c>
      <c r="G354" s="14"/>
      <c r="H354" s="15" t="s">
        <v>1690</v>
      </c>
      <c r="I354" s="14"/>
      <c r="J354" s="14"/>
      <c r="K354" s="14"/>
      <c r="L354" s="27" t="s">
        <v>48</v>
      </c>
      <c r="M354" s="14" t="s">
        <v>34</v>
      </c>
      <c r="N354" s="14" t="b">
        <v>0</v>
      </c>
      <c r="O354" s="14"/>
      <c r="P354" s="14"/>
      <c r="Q354" s="14"/>
      <c r="R354" s="14"/>
      <c r="S354" s="14" t="s">
        <v>1691</v>
      </c>
      <c r="T354" s="14" t="s">
        <v>36</v>
      </c>
      <c r="U354" s="41"/>
      <c r="V354" s="14"/>
      <c r="W354" s="14"/>
      <c r="X354" s="18"/>
      <c r="Y354" s="18"/>
      <c r="Z354" s="18"/>
      <c r="AA354" s="19">
        <f t="shared" si="1"/>
        <v>7</v>
      </c>
      <c r="AB354" s="19" t="str">
        <f t="shared" si="2"/>
        <v/>
      </c>
    </row>
    <row r="355" ht="15.75" customHeight="1">
      <c r="A355" s="12">
        <v>45108.0</v>
      </c>
      <c r="B355" s="14" t="s">
        <v>703</v>
      </c>
      <c r="C355" s="14" t="s">
        <v>1692</v>
      </c>
      <c r="D355" s="14"/>
      <c r="E355" s="13">
        <v>8.0</v>
      </c>
      <c r="F355" s="14"/>
      <c r="G355" s="14"/>
      <c r="H355" s="15" t="s">
        <v>1693</v>
      </c>
      <c r="I355" s="14"/>
      <c r="J355" s="14"/>
      <c r="K355" s="14" t="s">
        <v>1694</v>
      </c>
      <c r="L355" s="27" t="s">
        <v>48</v>
      </c>
      <c r="M355" s="14" t="s">
        <v>565</v>
      </c>
      <c r="N355" s="14" t="b">
        <v>0</v>
      </c>
      <c r="O355" s="14"/>
      <c r="P355" s="14"/>
      <c r="Q355" s="14"/>
      <c r="R355" s="14"/>
      <c r="S355" s="14" t="s">
        <v>1695</v>
      </c>
      <c r="T355" s="13" t="s">
        <v>129</v>
      </c>
      <c r="U355" s="17">
        <v>45114.0</v>
      </c>
      <c r="V355" s="14"/>
      <c r="W355" s="14"/>
      <c r="X355" s="18"/>
      <c r="Y355" s="18"/>
      <c r="Z355" s="18"/>
      <c r="AA355" s="19">
        <f t="shared" si="1"/>
        <v>7</v>
      </c>
      <c r="AB355" s="19" t="str">
        <f t="shared" si="2"/>
        <v/>
      </c>
    </row>
    <row r="356" ht="15.75" customHeight="1">
      <c r="A356" s="12">
        <v>45108.0</v>
      </c>
      <c r="B356" s="14" t="s">
        <v>201</v>
      </c>
      <c r="C356" s="13" t="s">
        <v>1696</v>
      </c>
      <c r="D356" s="14"/>
      <c r="E356" s="13">
        <v>16.0</v>
      </c>
      <c r="F356" s="14"/>
      <c r="G356" s="14"/>
      <c r="H356" s="15" t="s">
        <v>1697</v>
      </c>
      <c r="I356" s="14"/>
      <c r="J356" s="14"/>
      <c r="K356" s="14" t="s">
        <v>1698</v>
      </c>
      <c r="L356" s="27" t="s">
        <v>89</v>
      </c>
      <c r="M356" s="14" t="s">
        <v>565</v>
      </c>
      <c r="N356" s="14" t="b">
        <v>0</v>
      </c>
      <c r="O356" s="14"/>
      <c r="P356" s="14"/>
      <c r="Q356" s="14"/>
      <c r="R356" s="14"/>
      <c r="S356" s="14" t="s">
        <v>1699</v>
      </c>
      <c r="T356" s="13" t="s">
        <v>129</v>
      </c>
      <c r="U356" s="17"/>
      <c r="V356" s="14"/>
      <c r="W356" s="14"/>
      <c r="X356" s="18"/>
      <c r="Y356" s="18"/>
      <c r="Z356" s="18"/>
      <c r="AA356" s="19">
        <f t="shared" si="1"/>
        <v>7</v>
      </c>
      <c r="AB356" s="19" t="str">
        <f t="shared" si="2"/>
        <v/>
      </c>
    </row>
    <row r="357" ht="15.75" customHeight="1">
      <c r="A357" s="12">
        <v>45109.0</v>
      </c>
      <c r="B357" s="13" t="s">
        <v>28</v>
      </c>
      <c r="C357" s="14" t="s">
        <v>1700</v>
      </c>
      <c r="D357" s="14"/>
      <c r="E357" s="13">
        <v>6.0</v>
      </c>
      <c r="F357" s="14" t="s">
        <v>419</v>
      </c>
      <c r="G357" s="14"/>
      <c r="H357" s="15" t="s">
        <v>1701</v>
      </c>
      <c r="I357" s="14"/>
      <c r="J357" s="14"/>
      <c r="K357" s="143" t="s">
        <v>1702</v>
      </c>
      <c r="L357" s="27" t="s">
        <v>48</v>
      </c>
      <c r="M357" s="14" t="s">
        <v>34</v>
      </c>
      <c r="N357" s="14" t="b">
        <v>0</v>
      </c>
      <c r="O357" s="14"/>
      <c r="P357" s="14"/>
      <c r="Q357" s="14"/>
      <c r="R357" s="14"/>
      <c r="S357" s="14" t="s">
        <v>1703</v>
      </c>
      <c r="T357" s="14" t="s">
        <v>36</v>
      </c>
      <c r="U357" s="17"/>
      <c r="V357" s="14"/>
      <c r="W357" s="14"/>
      <c r="X357" s="18"/>
      <c r="Y357" s="18"/>
      <c r="Z357" s="18"/>
      <c r="AA357" s="19">
        <f t="shared" si="1"/>
        <v>7</v>
      </c>
      <c r="AB357" s="19" t="str">
        <f t="shared" si="2"/>
        <v/>
      </c>
    </row>
    <row r="358" ht="15.75" customHeight="1">
      <c r="A358" s="12">
        <v>45109.0</v>
      </c>
      <c r="B358" s="13" t="s">
        <v>28</v>
      </c>
      <c r="C358" s="14" t="s">
        <v>1704</v>
      </c>
      <c r="D358" s="14" t="s">
        <v>1705</v>
      </c>
      <c r="E358" s="13">
        <v>10.0</v>
      </c>
      <c r="F358" s="14"/>
      <c r="G358" s="14"/>
      <c r="H358" s="15" t="s">
        <v>1706</v>
      </c>
      <c r="I358" s="14"/>
      <c r="J358" s="14"/>
      <c r="K358" s="14"/>
      <c r="L358" s="27" t="s">
        <v>111</v>
      </c>
      <c r="M358" s="14" t="s">
        <v>13</v>
      </c>
      <c r="N358" s="14" t="b">
        <v>1</v>
      </c>
      <c r="O358" s="13" t="s">
        <v>1707</v>
      </c>
      <c r="P358" s="13" t="s">
        <v>42</v>
      </c>
      <c r="Q358" s="14"/>
      <c r="R358" s="14"/>
      <c r="S358" s="14" t="s">
        <v>1708</v>
      </c>
      <c r="T358" s="13" t="s">
        <v>129</v>
      </c>
      <c r="U358" s="17">
        <v>45159.0</v>
      </c>
      <c r="V358" s="14"/>
      <c r="W358" s="14"/>
      <c r="X358" s="18"/>
      <c r="Y358" s="18"/>
      <c r="Z358" s="18"/>
      <c r="AA358" s="19">
        <f t="shared" si="1"/>
        <v>7</v>
      </c>
      <c r="AB358" s="19" t="str">
        <f t="shared" si="2"/>
        <v/>
      </c>
    </row>
    <row r="359" ht="15.75" customHeight="1">
      <c r="A359" s="12">
        <v>45109.0</v>
      </c>
      <c r="B359" s="13" t="s">
        <v>28</v>
      </c>
      <c r="C359" s="14" t="s">
        <v>1709</v>
      </c>
      <c r="D359" s="14"/>
      <c r="E359" s="14"/>
      <c r="F359" s="14"/>
      <c r="G359" s="14"/>
      <c r="H359" s="15" t="s">
        <v>1710</v>
      </c>
      <c r="I359" s="14"/>
      <c r="J359" s="14"/>
      <c r="K359" s="14"/>
      <c r="L359" s="27" t="s">
        <v>48</v>
      </c>
      <c r="M359" s="14" t="s">
        <v>216</v>
      </c>
      <c r="N359" s="14" t="b">
        <v>0</v>
      </c>
      <c r="O359" s="14"/>
      <c r="P359" s="14"/>
      <c r="Q359" s="14"/>
      <c r="R359" s="14"/>
      <c r="S359" s="14" t="s">
        <v>1711</v>
      </c>
      <c r="T359" s="14" t="s">
        <v>36</v>
      </c>
      <c r="U359" s="17"/>
      <c r="V359" s="14"/>
      <c r="W359" s="14"/>
      <c r="X359" s="18"/>
      <c r="Y359" s="18"/>
      <c r="Z359" s="18"/>
      <c r="AA359" s="19">
        <f t="shared" si="1"/>
        <v>7</v>
      </c>
      <c r="AB359" s="19" t="str">
        <f t="shared" si="2"/>
        <v/>
      </c>
    </row>
    <row r="360" ht="15.75" customHeight="1">
      <c r="A360" s="12">
        <v>45100.0</v>
      </c>
      <c r="B360" s="24" t="s">
        <v>28</v>
      </c>
      <c r="C360" s="14"/>
      <c r="D360" s="14" t="s">
        <v>1712</v>
      </c>
      <c r="E360" s="14"/>
      <c r="F360" s="14"/>
      <c r="G360" s="14"/>
      <c r="H360" s="15" t="s">
        <v>1713</v>
      </c>
      <c r="I360" s="14"/>
      <c r="J360" s="14"/>
      <c r="K360" s="14" t="s">
        <v>1714</v>
      </c>
      <c r="L360" s="14" t="s">
        <v>48</v>
      </c>
      <c r="M360" s="14" t="s">
        <v>34</v>
      </c>
      <c r="N360" s="14" t="b">
        <v>0</v>
      </c>
      <c r="O360" s="14"/>
      <c r="P360" s="14"/>
      <c r="Q360" s="14"/>
      <c r="R360" s="14"/>
      <c r="S360" s="14" t="s">
        <v>1715</v>
      </c>
      <c r="T360" s="14" t="s">
        <v>36</v>
      </c>
      <c r="U360" s="17"/>
      <c r="V360" s="14"/>
      <c r="W360" s="14"/>
      <c r="X360" s="18"/>
      <c r="Y360" s="18"/>
      <c r="Z360" s="18"/>
      <c r="AA360" s="19">
        <f t="shared" si="1"/>
        <v>6</v>
      </c>
      <c r="AB360" s="19" t="str">
        <f t="shared" si="2"/>
        <v/>
      </c>
    </row>
    <row r="361" ht="15.75" customHeight="1">
      <c r="A361" s="12">
        <v>45109.0</v>
      </c>
      <c r="B361" s="24" t="s">
        <v>28</v>
      </c>
      <c r="C361" s="14"/>
      <c r="D361" s="14" t="s">
        <v>1716</v>
      </c>
      <c r="E361" s="14"/>
      <c r="F361" s="14"/>
      <c r="G361" s="14"/>
      <c r="H361" s="15" t="s">
        <v>1717</v>
      </c>
      <c r="I361" s="14"/>
      <c r="J361" s="14"/>
      <c r="K361" s="13" t="s">
        <v>1718</v>
      </c>
      <c r="L361" s="27" t="s">
        <v>111</v>
      </c>
      <c r="M361" s="14" t="s">
        <v>216</v>
      </c>
      <c r="N361" s="14" t="b">
        <v>0</v>
      </c>
      <c r="O361" s="14"/>
      <c r="P361" s="14"/>
      <c r="Q361" s="14"/>
      <c r="R361" s="14"/>
      <c r="S361" s="14"/>
      <c r="T361" s="14" t="s">
        <v>36</v>
      </c>
      <c r="U361" s="17"/>
      <c r="V361" s="14"/>
      <c r="W361" s="14"/>
      <c r="X361" s="18"/>
      <c r="Y361" s="18"/>
      <c r="Z361" s="18"/>
      <c r="AA361" s="19">
        <f t="shared" si="1"/>
        <v>7</v>
      </c>
      <c r="AB361" s="19" t="str">
        <f t="shared" si="2"/>
        <v/>
      </c>
    </row>
    <row r="362" ht="15.75" customHeight="1">
      <c r="A362" s="12">
        <v>45109.0</v>
      </c>
      <c r="B362" s="24" t="s">
        <v>28</v>
      </c>
      <c r="C362" s="14"/>
      <c r="D362" s="14" t="s">
        <v>1719</v>
      </c>
      <c r="E362" s="14"/>
      <c r="F362" s="14"/>
      <c r="G362" s="14"/>
      <c r="H362" s="15" t="s">
        <v>1720</v>
      </c>
      <c r="I362" s="14"/>
      <c r="J362" s="14"/>
      <c r="K362" s="14" t="s">
        <v>1721</v>
      </c>
      <c r="L362" s="27" t="s">
        <v>48</v>
      </c>
      <c r="M362" s="14" t="s">
        <v>1484</v>
      </c>
      <c r="N362" s="14" t="b">
        <v>0</v>
      </c>
      <c r="O362" s="14"/>
      <c r="P362" s="14"/>
      <c r="Q362" s="14"/>
      <c r="R362" s="14"/>
      <c r="S362" s="14" t="s">
        <v>1722</v>
      </c>
      <c r="T362" s="13" t="s">
        <v>129</v>
      </c>
      <c r="U362" s="17">
        <v>45117.0</v>
      </c>
      <c r="V362" s="14"/>
      <c r="W362" s="14"/>
      <c r="X362" s="18"/>
      <c r="Y362" s="18"/>
      <c r="Z362" s="18"/>
      <c r="AA362" s="19">
        <f t="shared" si="1"/>
        <v>7</v>
      </c>
      <c r="AB362" s="19" t="str">
        <f t="shared" si="2"/>
        <v/>
      </c>
    </row>
    <row r="363" ht="15.75" customHeight="1">
      <c r="A363" s="12">
        <v>45109.0</v>
      </c>
      <c r="B363" s="13" t="s">
        <v>28</v>
      </c>
      <c r="C363" s="14" t="s">
        <v>1723</v>
      </c>
      <c r="D363" s="13" t="s">
        <v>1724</v>
      </c>
      <c r="E363" s="13">
        <v>12.0</v>
      </c>
      <c r="F363" s="14"/>
      <c r="G363" s="14"/>
      <c r="H363" s="15" t="s">
        <v>1725</v>
      </c>
      <c r="I363" s="14"/>
      <c r="J363" s="14"/>
      <c r="K363" s="14" t="s">
        <v>1726</v>
      </c>
      <c r="L363" s="27" t="s">
        <v>111</v>
      </c>
      <c r="M363" s="14" t="s">
        <v>34</v>
      </c>
      <c r="N363" s="14" t="b">
        <v>0</v>
      </c>
      <c r="O363" s="14"/>
      <c r="P363" s="14"/>
      <c r="Q363" s="14"/>
      <c r="R363" s="14"/>
      <c r="S363" s="14" t="s">
        <v>1727</v>
      </c>
      <c r="T363" s="14" t="s">
        <v>36</v>
      </c>
      <c r="U363" s="17"/>
      <c r="V363" s="14"/>
      <c r="W363" s="14"/>
      <c r="X363" s="18"/>
      <c r="Y363" s="18"/>
      <c r="Z363" s="18"/>
      <c r="AA363" s="19">
        <f t="shared" si="1"/>
        <v>7</v>
      </c>
      <c r="AB363" s="19" t="str">
        <f t="shared" si="2"/>
        <v/>
      </c>
    </row>
    <row r="364" ht="15.75" customHeight="1">
      <c r="A364" s="12">
        <v>45109.0</v>
      </c>
      <c r="B364" s="14" t="s">
        <v>703</v>
      </c>
      <c r="C364" s="14" t="s">
        <v>1728</v>
      </c>
      <c r="D364" s="14"/>
      <c r="E364" s="14"/>
      <c r="F364" s="14"/>
      <c r="G364" s="14"/>
      <c r="H364" s="15" t="s">
        <v>1729</v>
      </c>
      <c r="I364" s="14"/>
      <c r="J364" s="14"/>
      <c r="K364" s="14"/>
      <c r="L364" s="27" t="s">
        <v>48</v>
      </c>
      <c r="M364" s="14" t="s">
        <v>34</v>
      </c>
      <c r="N364" s="14" t="b">
        <v>0</v>
      </c>
      <c r="O364" s="14"/>
      <c r="P364" s="14"/>
      <c r="Q364" s="14"/>
      <c r="R364" s="14"/>
      <c r="S364" s="14" t="s">
        <v>1730</v>
      </c>
      <c r="T364" s="14" t="s">
        <v>36</v>
      </c>
      <c r="U364" s="17"/>
      <c r="V364" s="14"/>
      <c r="W364" s="14"/>
      <c r="X364" s="18"/>
      <c r="Y364" s="18"/>
      <c r="Z364" s="18"/>
      <c r="AA364" s="19">
        <f t="shared" si="1"/>
        <v>7</v>
      </c>
      <c r="AB364" s="19" t="str">
        <f t="shared" si="2"/>
        <v/>
      </c>
    </row>
    <row r="365" ht="15.75" customHeight="1">
      <c r="A365" s="12">
        <v>45109.0</v>
      </c>
      <c r="B365" s="14" t="s">
        <v>703</v>
      </c>
      <c r="C365" s="14" t="s">
        <v>1731</v>
      </c>
      <c r="D365" s="14"/>
      <c r="E365" s="14"/>
      <c r="F365" s="14"/>
      <c r="G365" s="14"/>
      <c r="H365" s="15" t="s">
        <v>1732</v>
      </c>
      <c r="I365" s="14"/>
      <c r="J365" s="14"/>
      <c r="K365" s="14"/>
      <c r="L365" s="27" t="s">
        <v>111</v>
      </c>
      <c r="M365" s="14" t="s">
        <v>216</v>
      </c>
      <c r="N365" s="14" t="b">
        <v>0</v>
      </c>
      <c r="O365" s="14"/>
      <c r="P365" s="14"/>
      <c r="Q365" s="14"/>
      <c r="R365" s="14"/>
      <c r="S365" s="14" t="s">
        <v>1733</v>
      </c>
      <c r="T365" s="13" t="s">
        <v>129</v>
      </c>
      <c r="U365" s="17"/>
      <c r="V365" s="14"/>
      <c r="W365" s="14"/>
      <c r="X365" s="18"/>
      <c r="Y365" s="18"/>
      <c r="Z365" s="18"/>
      <c r="AA365" s="19">
        <f t="shared" si="1"/>
        <v>7</v>
      </c>
      <c r="AB365" s="19" t="str">
        <f t="shared" si="2"/>
        <v/>
      </c>
    </row>
    <row r="366" ht="15.75" customHeight="1">
      <c r="A366" s="12">
        <v>45110.0</v>
      </c>
      <c r="B366" s="13" t="s">
        <v>28</v>
      </c>
      <c r="C366" s="37" t="s">
        <v>1734</v>
      </c>
      <c r="D366" s="14" t="s">
        <v>1735</v>
      </c>
      <c r="E366" s="13">
        <v>8.0</v>
      </c>
      <c r="F366" s="14" t="s">
        <v>169</v>
      </c>
      <c r="G366" s="14"/>
      <c r="H366" s="15" t="s">
        <v>1736</v>
      </c>
      <c r="I366" s="14"/>
      <c r="J366" s="14" t="s">
        <v>289</v>
      </c>
      <c r="K366" s="14"/>
      <c r="L366" s="27" t="s">
        <v>48</v>
      </c>
      <c r="M366" s="14" t="s">
        <v>34</v>
      </c>
      <c r="N366" s="14" t="b">
        <v>1</v>
      </c>
      <c r="O366" s="100" t="s">
        <v>1737</v>
      </c>
      <c r="P366" s="13" t="s">
        <v>69</v>
      </c>
      <c r="Q366" s="14"/>
      <c r="R366" s="14"/>
      <c r="S366" s="14" t="s">
        <v>1738</v>
      </c>
      <c r="T366" s="14" t="s">
        <v>36</v>
      </c>
      <c r="U366" s="17"/>
      <c r="V366" s="14"/>
      <c r="W366" s="14"/>
      <c r="X366" s="18"/>
      <c r="Y366" s="18"/>
      <c r="Z366" s="18"/>
      <c r="AA366" s="19">
        <f t="shared" si="1"/>
        <v>7</v>
      </c>
      <c r="AB366" s="19" t="str">
        <f t="shared" si="2"/>
        <v/>
      </c>
    </row>
    <row r="367" ht="15.75" customHeight="1">
      <c r="A367" s="12">
        <v>45110.0</v>
      </c>
      <c r="B367" s="13" t="s">
        <v>28</v>
      </c>
      <c r="C367" s="37" t="s">
        <v>1734</v>
      </c>
      <c r="D367" s="14" t="s">
        <v>1739</v>
      </c>
      <c r="E367" s="13">
        <v>10.0</v>
      </c>
      <c r="F367" s="14" t="s">
        <v>115</v>
      </c>
      <c r="G367" s="14"/>
      <c r="H367" s="15" t="s">
        <v>1736</v>
      </c>
      <c r="I367" s="14"/>
      <c r="J367" s="14"/>
      <c r="K367" s="14" t="s">
        <v>1740</v>
      </c>
      <c r="L367" s="27" t="s">
        <v>48</v>
      </c>
      <c r="M367" s="14" t="s">
        <v>13</v>
      </c>
      <c r="N367" s="14" t="b">
        <v>1</v>
      </c>
      <c r="O367" s="13" t="s">
        <v>1741</v>
      </c>
      <c r="P367" s="13" t="s">
        <v>69</v>
      </c>
      <c r="Q367" s="14"/>
      <c r="R367" s="14"/>
      <c r="S367" s="14" t="s">
        <v>1742</v>
      </c>
      <c r="T367" s="13" t="s">
        <v>129</v>
      </c>
      <c r="U367" s="17">
        <v>45122.0</v>
      </c>
      <c r="V367" s="14"/>
      <c r="W367" s="14"/>
      <c r="X367" s="18"/>
      <c r="Y367" s="18"/>
      <c r="Z367" s="18"/>
      <c r="AA367" s="19">
        <f t="shared" si="1"/>
        <v>7</v>
      </c>
      <c r="AB367" s="19" t="str">
        <f t="shared" si="2"/>
        <v/>
      </c>
    </row>
    <row r="368" ht="15.75" customHeight="1">
      <c r="A368" s="12">
        <v>45110.0</v>
      </c>
      <c r="B368" s="13" t="s">
        <v>28</v>
      </c>
      <c r="C368" s="37" t="s">
        <v>1734</v>
      </c>
      <c r="D368" s="14" t="s">
        <v>1743</v>
      </c>
      <c r="E368" s="13">
        <v>38.0</v>
      </c>
      <c r="F368" s="14" t="s">
        <v>1744</v>
      </c>
      <c r="G368" s="14"/>
      <c r="H368" s="15" t="s">
        <v>1736</v>
      </c>
      <c r="I368" s="14"/>
      <c r="J368" s="14"/>
      <c r="K368" s="14" t="s">
        <v>1745</v>
      </c>
      <c r="L368" s="27" t="s">
        <v>48</v>
      </c>
      <c r="M368" s="14" t="s">
        <v>13</v>
      </c>
      <c r="N368" s="14" t="b">
        <v>1</v>
      </c>
      <c r="O368" s="14" t="s">
        <v>1746</v>
      </c>
      <c r="P368" s="13" t="s">
        <v>69</v>
      </c>
      <c r="Q368" s="14"/>
      <c r="R368" s="14"/>
      <c r="S368" s="14" t="s">
        <v>1747</v>
      </c>
      <c r="T368" s="13" t="s">
        <v>229</v>
      </c>
      <c r="U368" s="17">
        <v>45139.0</v>
      </c>
      <c r="V368" s="14"/>
      <c r="W368" s="14"/>
      <c r="X368" s="18"/>
      <c r="Y368" s="18"/>
      <c r="Z368" s="18"/>
      <c r="AA368" s="19">
        <f t="shared" si="1"/>
        <v>7</v>
      </c>
      <c r="AB368" s="19" t="str">
        <f t="shared" si="2"/>
        <v/>
      </c>
    </row>
    <row r="369" ht="15.75" customHeight="1">
      <c r="A369" s="12">
        <v>45101.0</v>
      </c>
      <c r="B369" s="14" t="s">
        <v>84</v>
      </c>
      <c r="C369" s="14" t="s">
        <v>1748</v>
      </c>
      <c r="D369" s="14" t="s">
        <v>1749</v>
      </c>
      <c r="E369" s="13">
        <v>12.0</v>
      </c>
      <c r="F369" s="14"/>
      <c r="G369" s="14"/>
      <c r="H369" s="15" t="s">
        <v>1750</v>
      </c>
      <c r="I369" s="14"/>
      <c r="J369" s="14"/>
      <c r="K369" s="14"/>
      <c r="L369" s="14" t="s">
        <v>48</v>
      </c>
      <c r="M369" s="14" t="s">
        <v>565</v>
      </c>
      <c r="N369" s="14" t="b">
        <v>0</v>
      </c>
      <c r="O369" s="14"/>
      <c r="P369" s="14"/>
      <c r="Q369" s="14"/>
      <c r="R369" s="14"/>
      <c r="S369" s="14"/>
      <c r="T369" s="13" t="s">
        <v>229</v>
      </c>
      <c r="U369" s="17"/>
      <c r="V369" s="14"/>
      <c r="W369" s="14"/>
      <c r="X369" s="18"/>
      <c r="Y369" s="18"/>
      <c r="Z369" s="18"/>
      <c r="AA369" s="19">
        <f t="shared" si="1"/>
        <v>6</v>
      </c>
      <c r="AB369" s="19" t="str">
        <f t="shared" si="2"/>
        <v/>
      </c>
    </row>
    <row r="370" ht="15.75" customHeight="1">
      <c r="A370" s="12">
        <v>45110.0</v>
      </c>
      <c r="B370" s="13" t="s">
        <v>28</v>
      </c>
      <c r="C370" s="13" t="s">
        <v>1751</v>
      </c>
      <c r="D370" s="14"/>
      <c r="E370" s="14"/>
      <c r="F370" s="14"/>
      <c r="G370" s="14"/>
      <c r="H370" s="15" t="s">
        <v>1752</v>
      </c>
      <c r="I370" s="14"/>
      <c r="J370" s="14"/>
      <c r="K370" s="14"/>
      <c r="L370" s="27" t="s">
        <v>111</v>
      </c>
      <c r="M370" s="14" t="s">
        <v>565</v>
      </c>
      <c r="N370" s="14" t="b">
        <v>0</v>
      </c>
      <c r="O370" s="14"/>
      <c r="P370" s="14"/>
      <c r="Q370" s="14"/>
      <c r="R370" s="14"/>
      <c r="S370" s="14" t="s">
        <v>1753</v>
      </c>
      <c r="T370" s="13" t="s">
        <v>129</v>
      </c>
      <c r="U370" s="17"/>
      <c r="V370" s="14"/>
      <c r="W370" s="14"/>
      <c r="X370" s="18"/>
      <c r="Y370" s="18"/>
      <c r="Z370" s="18"/>
      <c r="AA370" s="19">
        <f t="shared" si="1"/>
        <v>7</v>
      </c>
      <c r="AB370" s="19" t="str">
        <f t="shared" si="2"/>
        <v/>
      </c>
    </row>
    <row r="371" ht="15.75" customHeight="1">
      <c r="A371" s="12">
        <v>45110.0</v>
      </c>
      <c r="B371" s="13" t="s">
        <v>28</v>
      </c>
      <c r="C371" s="14" t="s">
        <v>1754</v>
      </c>
      <c r="D371" s="14"/>
      <c r="E371" s="14"/>
      <c r="F371" s="14"/>
      <c r="G371" s="14"/>
      <c r="H371" s="15" t="s">
        <v>1755</v>
      </c>
      <c r="I371" s="14"/>
      <c r="J371" s="14"/>
      <c r="K371" s="14"/>
      <c r="L371" s="27" t="s">
        <v>111</v>
      </c>
      <c r="M371" s="14" t="s">
        <v>216</v>
      </c>
      <c r="N371" s="14" t="b">
        <v>0</v>
      </c>
      <c r="O371" s="14"/>
      <c r="P371" s="14"/>
      <c r="Q371" s="14"/>
      <c r="R371" s="14"/>
      <c r="S371" s="14" t="s">
        <v>1756</v>
      </c>
      <c r="T371" s="13" t="s">
        <v>129</v>
      </c>
      <c r="U371" s="17"/>
      <c r="V371" s="32">
        <v>45111.0</v>
      </c>
      <c r="W371" s="24" t="s">
        <v>575</v>
      </c>
      <c r="X371" s="25">
        <v>3062000.0</v>
      </c>
      <c r="Y371" s="25">
        <f>X371-Z371</f>
        <v>153100</v>
      </c>
      <c r="Z371" s="25">
        <v>2908900.0</v>
      </c>
      <c r="AA371" s="19">
        <f t="shared" si="1"/>
        <v>7</v>
      </c>
      <c r="AB371" s="19" t="str">
        <f t="shared" si="2"/>
        <v/>
      </c>
    </row>
    <row r="372" ht="15.75" customHeight="1">
      <c r="A372" s="26">
        <v>45110.0</v>
      </c>
      <c r="B372" s="27" t="s">
        <v>201</v>
      </c>
      <c r="C372" s="24" t="s">
        <v>1757</v>
      </c>
      <c r="D372" s="27" t="s">
        <v>1758</v>
      </c>
      <c r="E372" s="24">
        <v>6.0</v>
      </c>
      <c r="F372" s="27"/>
      <c r="G372" s="27"/>
      <c r="H372" s="82" t="s">
        <v>1759</v>
      </c>
      <c r="I372" s="27"/>
      <c r="J372" s="27"/>
      <c r="K372" s="27"/>
      <c r="L372" s="27" t="s">
        <v>48</v>
      </c>
      <c r="M372" s="27" t="s">
        <v>67</v>
      </c>
      <c r="N372" s="14" t="b">
        <v>1</v>
      </c>
      <c r="O372" s="24" t="s">
        <v>1760</v>
      </c>
      <c r="P372" s="13" t="s">
        <v>69</v>
      </c>
      <c r="Q372" s="24" t="s">
        <v>91</v>
      </c>
      <c r="R372" s="27"/>
      <c r="S372" s="24" t="s">
        <v>1761</v>
      </c>
      <c r="T372" s="24" t="s">
        <v>72</v>
      </c>
      <c r="U372" s="26"/>
      <c r="V372" s="14"/>
      <c r="W372" s="14"/>
      <c r="X372" s="18"/>
      <c r="Y372" s="18"/>
      <c r="Z372" s="18"/>
      <c r="AA372" s="19">
        <f t="shared" si="1"/>
        <v>7</v>
      </c>
      <c r="AB372" s="19">
        <f t="shared" si="2"/>
        <v>7</v>
      </c>
    </row>
    <row r="373" ht="15.75" customHeight="1">
      <c r="A373" s="12">
        <v>45111.0</v>
      </c>
      <c r="B373" s="14" t="s">
        <v>201</v>
      </c>
      <c r="C373" s="13" t="s">
        <v>1762</v>
      </c>
      <c r="D373" s="14" t="s">
        <v>1763</v>
      </c>
      <c r="E373" s="13">
        <v>9.0</v>
      </c>
      <c r="F373" s="14" t="s">
        <v>839</v>
      </c>
      <c r="G373" s="14"/>
      <c r="H373" s="15" t="s">
        <v>1764</v>
      </c>
      <c r="I373" s="14"/>
      <c r="J373" s="14"/>
      <c r="K373" s="14"/>
      <c r="L373" s="27" t="s">
        <v>111</v>
      </c>
      <c r="M373" s="14" t="s">
        <v>34</v>
      </c>
      <c r="N373" s="14" t="b">
        <v>0</v>
      </c>
      <c r="O373" s="14"/>
      <c r="P373" s="14"/>
      <c r="Q373" s="14"/>
      <c r="R373" s="14"/>
      <c r="S373" s="14" t="s">
        <v>1765</v>
      </c>
      <c r="T373" s="14" t="s">
        <v>36</v>
      </c>
      <c r="U373" s="17"/>
      <c r="V373" s="14"/>
      <c r="W373" s="14"/>
      <c r="X373" s="18"/>
      <c r="Y373" s="18"/>
      <c r="Z373" s="18"/>
      <c r="AA373" s="19">
        <f t="shared" si="1"/>
        <v>7</v>
      </c>
      <c r="AB373" s="19" t="str">
        <f t="shared" si="2"/>
        <v/>
      </c>
    </row>
    <row r="374" ht="15.75" customHeight="1">
      <c r="A374" s="12">
        <v>45111.0</v>
      </c>
      <c r="B374" s="14" t="s">
        <v>84</v>
      </c>
      <c r="C374" s="14"/>
      <c r="D374" s="14" t="s">
        <v>1766</v>
      </c>
      <c r="E374" s="13">
        <v>36.0</v>
      </c>
      <c r="F374" s="14" t="s">
        <v>1767</v>
      </c>
      <c r="G374" s="14"/>
      <c r="H374" s="15" t="s">
        <v>1768</v>
      </c>
      <c r="I374" s="14"/>
      <c r="J374" s="14"/>
      <c r="K374" s="14" t="s">
        <v>1769</v>
      </c>
      <c r="L374" s="27" t="s">
        <v>48</v>
      </c>
      <c r="M374" s="14" t="s">
        <v>565</v>
      </c>
      <c r="N374" s="14" t="b">
        <v>0</v>
      </c>
      <c r="O374" s="14"/>
      <c r="P374" s="14"/>
      <c r="Q374" s="14"/>
      <c r="R374" s="14"/>
      <c r="S374" s="14" t="s">
        <v>1770</v>
      </c>
      <c r="T374" s="13" t="s">
        <v>129</v>
      </c>
      <c r="U374" s="17">
        <v>45112.0</v>
      </c>
      <c r="V374" s="14"/>
      <c r="W374" s="14"/>
      <c r="X374" s="18"/>
      <c r="Y374" s="18"/>
      <c r="Z374" s="18"/>
      <c r="AA374" s="19">
        <f t="shared" si="1"/>
        <v>7</v>
      </c>
      <c r="AB374" s="19" t="str">
        <f t="shared" si="2"/>
        <v/>
      </c>
    </row>
    <row r="375" ht="15.75" customHeight="1">
      <c r="A375" s="12">
        <v>45111.0</v>
      </c>
      <c r="B375" s="14" t="s">
        <v>703</v>
      </c>
      <c r="C375" s="14" t="s">
        <v>1771</v>
      </c>
      <c r="D375" s="14"/>
      <c r="E375" s="13">
        <v>12.0</v>
      </c>
      <c r="F375" s="14">
        <v>6.0</v>
      </c>
      <c r="G375" s="14"/>
      <c r="H375" s="15" t="s">
        <v>1772</v>
      </c>
      <c r="I375" s="14"/>
      <c r="J375" s="14"/>
      <c r="K375" s="14" t="s">
        <v>1773</v>
      </c>
      <c r="L375" s="27" t="s">
        <v>111</v>
      </c>
      <c r="M375" s="14" t="s">
        <v>34</v>
      </c>
      <c r="N375" s="14" t="b">
        <v>0</v>
      </c>
      <c r="O375" s="14"/>
      <c r="P375" s="14"/>
      <c r="Q375" s="14"/>
      <c r="R375" s="14"/>
      <c r="S375" s="14" t="s">
        <v>1774</v>
      </c>
      <c r="T375" s="14" t="s">
        <v>36</v>
      </c>
      <c r="U375" s="17"/>
      <c r="V375" s="32">
        <v>45111.0</v>
      </c>
      <c r="W375" s="24" t="s">
        <v>1230</v>
      </c>
      <c r="X375" s="25">
        <v>8750000.0</v>
      </c>
      <c r="Y375" s="25">
        <f>X375-Z375</f>
        <v>1312500</v>
      </c>
      <c r="Z375" s="25">
        <v>7437500.0</v>
      </c>
      <c r="AA375" s="19">
        <f t="shared" si="1"/>
        <v>7</v>
      </c>
      <c r="AB375" s="19" t="str">
        <f t="shared" si="2"/>
        <v/>
      </c>
    </row>
    <row r="376" ht="15.75" customHeight="1">
      <c r="A376" s="26">
        <v>45111.0</v>
      </c>
      <c r="B376" s="27" t="s">
        <v>84</v>
      </c>
      <c r="C376" s="24" t="s">
        <v>1775</v>
      </c>
      <c r="D376" s="27" t="s">
        <v>1776</v>
      </c>
      <c r="E376" s="24">
        <v>15.0</v>
      </c>
      <c r="F376" s="27"/>
      <c r="G376" s="27"/>
      <c r="H376" s="72" t="s">
        <v>1777</v>
      </c>
      <c r="I376" s="27"/>
      <c r="J376" s="27"/>
      <c r="K376" s="27" t="s">
        <v>1778</v>
      </c>
      <c r="L376" s="27" t="s">
        <v>48</v>
      </c>
      <c r="M376" s="27" t="s">
        <v>67</v>
      </c>
      <c r="N376" s="14" t="b">
        <v>1</v>
      </c>
      <c r="O376" s="27" t="s">
        <v>1779</v>
      </c>
      <c r="P376" s="13" t="s">
        <v>69</v>
      </c>
      <c r="Q376" s="24" t="s">
        <v>1230</v>
      </c>
      <c r="R376" s="27"/>
      <c r="S376" s="27" t="s">
        <v>1780</v>
      </c>
      <c r="T376" s="24" t="s">
        <v>72</v>
      </c>
      <c r="U376" s="26"/>
      <c r="V376" s="32">
        <v>45134.0</v>
      </c>
      <c r="W376" s="24" t="s">
        <v>575</v>
      </c>
      <c r="X376" s="25">
        <v>6124000.0</v>
      </c>
      <c r="Y376" s="25">
        <v>600000.0</v>
      </c>
      <c r="Z376" s="25">
        <v>5524000.0</v>
      </c>
      <c r="AA376" s="19">
        <f t="shared" si="1"/>
        <v>7</v>
      </c>
      <c r="AB376" s="19">
        <f t="shared" si="2"/>
        <v>7</v>
      </c>
    </row>
    <row r="377" ht="15.75" customHeight="1">
      <c r="A377" s="26">
        <v>45111.0</v>
      </c>
      <c r="B377" s="27" t="s">
        <v>201</v>
      </c>
      <c r="C377" s="24" t="s">
        <v>1781</v>
      </c>
      <c r="D377" s="24" t="s">
        <v>1782</v>
      </c>
      <c r="E377" s="24">
        <v>6.0</v>
      </c>
      <c r="F377" s="27"/>
      <c r="G377" s="27"/>
      <c r="H377" s="34" t="s">
        <v>1783</v>
      </c>
      <c r="I377" s="27"/>
      <c r="J377" s="27"/>
      <c r="K377" s="27"/>
      <c r="L377" s="27" t="s">
        <v>111</v>
      </c>
      <c r="M377" s="27" t="s">
        <v>67</v>
      </c>
      <c r="N377" s="14" t="b">
        <v>1</v>
      </c>
      <c r="O377" s="79" t="s">
        <v>1784</v>
      </c>
      <c r="P377" s="13" t="s">
        <v>69</v>
      </c>
      <c r="Q377" s="24" t="s">
        <v>91</v>
      </c>
      <c r="R377" s="27" t="s">
        <v>1785</v>
      </c>
      <c r="S377" s="27" t="s">
        <v>1786</v>
      </c>
      <c r="T377" s="24" t="s">
        <v>72</v>
      </c>
      <c r="U377" s="26"/>
      <c r="V377" s="14"/>
      <c r="W377" s="14"/>
      <c r="X377" s="18"/>
      <c r="Y377" s="18"/>
      <c r="Z377" s="18"/>
      <c r="AA377" s="19">
        <f t="shared" si="1"/>
        <v>7</v>
      </c>
      <c r="AB377" s="19">
        <f t="shared" si="2"/>
        <v>7</v>
      </c>
    </row>
    <row r="378" ht="15.75" customHeight="1">
      <c r="A378" s="12">
        <v>45112.0</v>
      </c>
      <c r="B378" s="14" t="s">
        <v>539</v>
      </c>
      <c r="C378" s="13" t="s">
        <v>1787</v>
      </c>
      <c r="D378" s="14" t="s">
        <v>1788</v>
      </c>
      <c r="E378" s="13">
        <v>6.0</v>
      </c>
      <c r="F378" s="14"/>
      <c r="G378" s="14"/>
      <c r="H378" s="14">
        <v>3.47056168E8</v>
      </c>
      <c r="I378" s="14"/>
      <c r="J378" s="14"/>
      <c r="K378" s="14" t="s">
        <v>1789</v>
      </c>
      <c r="L378" s="27" t="s">
        <v>111</v>
      </c>
      <c r="M378" s="14" t="s">
        <v>13</v>
      </c>
      <c r="N378" s="14" t="b">
        <v>1</v>
      </c>
      <c r="O378" s="13" t="s">
        <v>1790</v>
      </c>
      <c r="P378" s="13" t="s">
        <v>69</v>
      </c>
      <c r="Q378" s="14"/>
      <c r="R378" s="14"/>
      <c r="S378" s="14" t="s">
        <v>1791</v>
      </c>
      <c r="T378" s="13" t="s">
        <v>129</v>
      </c>
      <c r="U378" s="17">
        <v>45120.0</v>
      </c>
      <c r="V378" s="14"/>
      <c r="W378" s="14"/>
      <c r="X378" s="18"/>
      <c r="Y378" s="18"/>
      <c r="Z378" s="18"/>
      <c r="AA378" s="19">
        <f t="shared" si="1"/>
        <v>7</v>
      </c>
      <c r="AB378" s="19" t="str">
        <f t="shared" si="2"/>
        <v/>
      </c>
    </row>
    <row r="379" ht="15.75" customHeight="1">
      <c r="A379" s="12">
        <v>45112.0</v>
      </c>
      <c r="B379" s="14" t="s">
        <v>539</v>
      </c>
      <c r="C379" s="14" t="s">
        <v>1792</v>
      </c>
      <c r="D379" s="14" t="s">
        <v>1792</v>
      </c>
      <c r="E379" s="13">
        <v>18.0</v>
      </c>
      <c r="F379" s="14"/>
      <c r="G379" s="14"/>
      <c r="H379" s="14">
        <v>8.66266979E8</v>
      </c>
      <c r="I379" s="14"/>
      <c r="J379" s="14"/>
      <c r="K379" s="14" t="s">
        <v>1793</v>
      </c>
      <c r="L379" s="27" t="s">
        <v>111</v>
      </c>
      <c r="M379" s="14" t="s">
        <v>565</v>
      </c>
      <c r="N379" s="14" t="b">
        <v>0</v>
      </c>
      <c r="O379" s="14"/>
      <c r="P379" s="14"/>
      <c r="Q379" s="14"/>
      <c r="R379" s="14"/>
      <c r="S379" s="14" t="s">
        <v>1794</v>
      </c>
      <c r="T379" s="13" t="s">
        <v>229</v>
      </c>
      <c r="U379" s="17">
        <v>45139.0</v>
      </c>
      <c r="V379" s="14"/>
      <c r="W379" s="14"/>
      <c r="X379" s="18"/>
      <c r="Y379" s="18"/>
      <c r="Z379" s="18"/>
      <c r="AA379" s="19">
        <f t="shared" si="1"/>
        <v>7</v>
      </c>
      <c r="AB379" s="19" t="str">
        <f t="shared" si="2"/>
        <v/>
      </c>
    </row>
    <row r="380" ht="15.75" customHeight="1">
      <c r="A380" s="12">
        <v>45112.0</v>
      </c>
      <c r="B380" s="14" t="s">
        <v>539</v>
      </c>
      <c r="C380" s="14" t="s">
        <v>1795</v>
      </c>
      <c r="D380" s="14"/>
      <c r="E380" s="14"/>
      <c r="F380" s="14"/>
      <c r="G380" s="14"/>
      <c r="H380" s="14">
        <v>9.72466204E8</v>
      </c>
      <c r="I380" s="14"/>
      <c r="J380" s="14"/>
      <c r="K380" s="14" t="s">
        <v>1796</v>
      </c>
      <c r="L380" s="27" t="s">
        <v>111</v>
      </c>
      <c r="M380" s="14" t="s">
        <v>216</v>
      </c>
      <c r="N380" s="14" t="b">
        <v>0</v>
      </c>
      <c r="O380" s="14"/>
      <c r="P380" s="14"/>
      <c r="Q380" s="14"/>
      <c r="R380" s="14"/>
      <c r="S380" s="14" t="s">
        <v>1797</v>
      </c>
      <c r="T380" s="14" t="s">
        <v>36</v>
      </c>
      <c r="U380" s="17"/>
      <c r="V380" s="14"/>
      <c r="W380" s="14"/>
      <c r="X380" s="18"/>
      <c r="Y380" s="18"/>
      <c r="Z380" s="18"/>
      <c r="AA380" s="19">
        <f t="shared" si="1"/>
        <v>7</v>
      </c>
      <c r="AB380" s="19" t="str">
        <f t="shared" si="2"/>
        <v/>
      </c>
    </row>
    <row r="381" ht="15.75" customHeight="1">
      <c r="A381" s="12">
        <v>45112.0</v>
      </c>
      <c r="B381" s="14" t="s">
        <v>539</v>
      </c>
      <c r="C381" s="14" t="s">
        <v>1798</v>
      </c>
      <c r="D381" s="14" t="s">
        <v>1798</v>
      </c>
      <c r="E381" s="13">
        <v>13.0</v>
      </c>
      <c r="F381" s="14"/>
      <c r="G381" s="14"/>
      <c r="H381" s="14">
        <v>3.59639964E8</v>
      </c>
      <c r="I381" s="14"/>
      <c r="J381" s="14"/>
      <c r="K381" s="14" t="s">
        <v>358</v>
      </c>
      <c r="L381" s="27" t="s">
        <v>111</v>
      </c>
      <c r="M381" s="14" t="s">
        <v>565</v>
      </c>
      <c r="N381" s="14" t="b">
        <v>0</v>
      </c>
      <c r="O381" s="14"/>
      <c r="P381" s="14"/>
      <c r="Q381" s="14"/>
      <c r="R381" s="14"/>
      <c r="S381" s="14" t="s">
        <v>1799</v>
      </c>
      <c r="T381" s="14" t="s">
        <v>36</v>
      </c>
      <c r="U381" s="17"/>
      <c r="V381" s="14"/>
      <c r="W381" s="14"/>
      <c r="X381" s="18"/>
      <c r="Y381" s="18"/>
      <c r="Z381" s="18"/>
      <c r="AA381" s="19">
        <f t="shared" si="1"/>
        <v>7</v>
      </c>
      <c r="AB381" s="19" t="str">
        <f t="shared" si="2"/>
        <v/>
      </c>
    </row>
    <row r="382" ht="15.75" customHeight="1">
      <c r="A382" s="12">
        <v>45112.0</v>
      </c>
      <c r="B382" s="14" t="s">
        <v>539</v>
      </c>
      <c r="C382" s="14" t="s">
        <v>1800</v>
      </c>
      <c r="D382" s="14"/>
      <c r="E382" s="14"/>
      <c r="F382" s="14"/>
      <c r="G382" s="14"/>
      <c r="H382" s="14">
        <v>7.89724991E8</v>
      </c>
      <c r="I382" s="14"/>
      <c r="J382" s="14"/>
      <c r="K382" s="14" t="s">
        <v>1796</v>
      </c>
      <c r="L382" s="27" t="s">
        <v>111</v>
      </c>
      <c r="M382" s="14" t="s">
        <v>216</v>
      </c>
      <c r="N382" s="14" t="b">
        <v>0</v>
      </c>
      <c r="O382" s="14"/>
      <c r="P382" s="14"/>
      <c r="Q382" s="14"/>
      <c r="R382" s="14"/>
      <c r="S382" s="14" t="s">
        <v>1797</v>
      </c>
      <c r="T382" s="14" t="s">
        <v>36</v>
      </c>
      <c r="U382" s="17"/>
      <c r="V382" s="14"/>
      <c r="W382" s="14"/>
      <c r="X382" s="18"/>
      <c r="Y382" s="18"/>
      <c r="Z382" s="18"/>
      <c r="AA382" s="19">
        <f t="shared" si="1"/>
        <v>7</v>
      </c>
      <c r="AB382" s="19" t="str">
        <f t="shared" si="2"/>
        <v/>
      </c>
    </row>
    <row r="383" ht="15.75" customHeight="1">
      <c r="A383" s="12">
        <v>45112.0</v>
      </c>
      <c r="B383" s="14" t="s">
        <v>539</v>
      </c>
      <c r="C383" s="14"/>
      <c r="D383" s="13" t="s">
        <v>1801</v>
      </c>
      <c r="E383" s="14"/>
      <c r="F383" s="14"/>
      <c r="G383" s="14"/>
      <c r="H383" s="14">
        <v>9.83712446E8</v>
      </c>
      <c r="I383" s="14"/>
      <c r="J383" s="14"/>
      <c r="K383" s="14" t="s">
        <v>1796</v>
      </c>
      <c r="L383" s="27" t="s">
        <v>111</v>
      </c>
      <c r="M383" s="14" t="s">
        <v>216</v>
      </c>
      <c r="N383" s="14" t="b">
        <v>0</v>
      </c>
      <c r="O383" s="14"/>
      <c r="P383" s="14"/>
      <c r="Q383" s="14"/>
      <c r="R383" s="14"/>
      <c r="S383" s="14" t="s">
        <v>1797</v>
      </c>
      <c r="T383" s="14" t="s">
        <v>36</v>
      </c>
      <c r="U383" s="17"/>
      <c r="V383" s="14"/>
      <c r="W383" s="14"/>
      <c r="X383" s="18"/>
      <c r="Y383" s="18"/>
      <c r="Z383" s="18"/>
      <c r="AA383" s="19">
        <f t="shared" si="1"/>
        <v>7</v>
      </c>
      <c r="AB383" s="19" t="str">
        <f t="shared" si="2"/>
        <v/>
      </c>
    </row>
    <row r="384" ht="15.75" customHeight="1">
      <c r="A384" s="12">
        <v>45112.0</v>
      </c>
      <c r="B384" s="14" t="s">
        <v>539</v>
      </c>
      <c r="C384" s="14" t="s">
        <v>1802</v>
      </c>
      <c r="D384" s="14" t="s">
        <v>1803</v>
      </c>
      <c r="E384" s="13">
        <v>11.0</v>
      </c>
      <c r="F384" s="14"/>
      <c r="G384" s="14"/>
      <c r="H384" s="14">
        <v>9.84395356E8</v>
      </c>
      <c r="I384" s="14"/>
      <c r="J384" s="14"/>
      <c r="K384" s="14" t="s">
        <v>1804</v>
      </c>
      <c r="L384" s="27" t="s">
        <v>111</v>
      </c>
      <c r="M384" s="14" t="s">
        <v>34</v>
      </c>
      <c r="N384" s="14" t="b">
        <v>1</v>
      </c>
      <c r="O384" s="13" t="s">
        <v>1805</v>
      </c>
      <c r="P384" s="13" t="s">
        <v>69</v>
      </c>
      <c r="Q384" s="14"/>
      <c r="R384" s="14"/>
      <c r="S384" s="14" t="s">
        <v>1806</v>
      </c>
      <c r="T384" s="14" t="s">
        <v>36</v>
      </c>
      <c r="U384" s="17"/>
      <c r="V384" s="14"/>
      <c r="W384" s="14"/>
      <c r="X384" s="18"/>
      <c r="Y384" s="18"/>
      <c r="Z384" s="18"/>
      <c r="AA384" s="19">
        <f t="shared" si="1"/>
        <v>7</v>
      </c>
      <c r="AB384" s="19" t="str">
        <f t="shared" si="2"/>
        <v/>
      </c>
    </row>
    <row r="385" ht="15.75" customHeight="1">
      <c r="A385" s="12">
        <v>45112.0</v>
      </c>
      <c r="B385" s="14" t="s">
        <v>539</v>
      </c>
      <c r="C385" s="13" t="s">
        <v>1807</v>
      </c>
      <c r="D385" s="14" t="s">
        <v>1808</v>
      </c>
      <c r="E385" s="13">
        <v>6.0</v>
      </c>
      <c r="F385" s="14"/>
      <c r="G385" s="14"/>
      <c r="H385" s="14">
        <v>9.02274008E8</v>
      </c>
      <c r="I385" s="14"/>
      <c r="J385" s="14"/>
      <c r="K385" s="14" t="s">
        <v>1796</v>
      </c>
      <c r="L385" s="27" t="s">
        <v>111</v>
      </c>
      <c r="M385" s="14" t="s">
        <v>565</v>
      </c>
      <c r="N385" s="14" t="b">
        <v>0</v>
      </c>
      <c r="O385" s="14"/>
      <c r="P385" s="14"/>
      <c r="Q385" s="14"/>
      <c r="R385" s="14"/>
      <c r="S385" s="14" t="s">
        <v>1809</v>
      </c>
      <c r="T385" s="13" t="s">
        <v>129</v>
      </c>
      <c r="U385" s="17">
        <v>45120.0</v>
      </c>
      <c r="V385" s="32">
        <v>45114.0</v>
      </c>
      <c r="W385" s="24" t="s">
        <v>83</v>
      </c>
      <c r="X385" s="25">
        <v>6124000.0</v>
      </c>
      <c r="Y385" s="25">
        <v>918600.0</v>
      </c>
      <c r="Z385" s="25">
        <v>5205400.0</v>
      </c>
      <c r="AA385" s="19">
        <f t="shared" si="1"/>
        <v>7</v>
      </c>
      <c r="AB385" s="19" t="str">
        <f t="shared" si="2"/>
        <v/>
      </c>
    </row>
    <row r="386" ht="15.75" customHeight="1">
      <c r="A386" s="26">
        <v>45112.0</v>
      </c>
      <c r="B386" s="27" t="s">
        <v>539</v>
      </c>
      <c r="C386" s="131" t="s">
        <v>1810</v>
      </c>
      <c r="D386" s="131" t="s">
        <v>1811</v>
      </c>
      <c r="E386" s="24">
        <v>12.0</v>
      </c>
      <c r="F386" s="27"/>
      <c r="G386" s="27"/>
      <c r="H386" s="131">
        <v>9.71062099E8</v>
      </c>
      <c r="I386" s="27"/>
      <c r="J386" s="27"/>
      <c r="K386" s="27" t="s">
        <v>1812</v>
      </c>
      <c r="L386" s="27" t="s">
        <v>111</v>
      </c>
      <c r="M386" s="27" t="s">
        <v>67</v>
      </c>
      <c r="N386" s="14" t="b">
        <v>1</v>
      </c>
      <c r="O386" s="24" t="s">
        <v>1813</v>
      </c>
      <c r="P386" s="13" t="s">
        <v>42</v>
      </c>
      <c r="Q386" s="24" t="s">
        <v>91</v>
      </c>
      <c r="R386" s="27"/>
      <c r="S386" s="27" t="s">
        <v>1814</v>
      </c>
      <c r="T386" s="24" t="s">
        <v>72</v>
      </c>
      <c r="U386" s="26"/>
      <c r="V386" s="32">
        <v>45114.0</v>
      </c>
      <c r="W386" s="24" t="s">
        <v>83</v>
      </c>
      <c r="X386" s="25">
        <v>6124000.0</v>
      </c>
      <c r="Y386" s="25">
        <v>1102320.0</v>
      </c>
      <c r="Z386" s="25">
        <v>5021680.0</v>
      </c>
      <c r="AA386" s="19">
        <f t="shared" si="1"/>
        <v>7</v>
      </c>
      <c r="AB386" s="19">
        <f t="shared" si="2"/>
        <v>7</v>
      </c>
    </row>
    <row r="387" ht="15.75" customHeight="1">
      <c r="A387" s="26">
        <v>45112.0</v>
      </c>
      <c r="B387" s="27" t="s">
        <v>539</v>
      </c>
      <c r="C387" s="131" t="s">
        <v>1815</v>
      </c>
      <c r="D387" s="144" t="s">
        <v>1816</v>
      </c>
      <c r="E387" s="24">
        <v>11.0</v>
      </c>
      <c r="F387" s="27"/>
      <c r="G387" s="27"/>
      <c r="H387" s="131">
        <v>9.71062099E8</v>
      </c>
      <c r="I387" s="27"/>
      <c r="J387" s="27"/>
      <c r="K387" s="27"/>
      <c r="L387" s="27" t="s">
        <v>111</v>
      </c>
      <c r="M387" s="27" t="s">
        <v>67</v>
      </c>
      <c r="N387" s="14" t="b">
        <v>0</v>
      </c>
      <c r="O387" s="24" t="s">
        <v>1817</v>
      </c>
      <c r="P387" s="13" t="s">
        <v>42</v>
      </c>
      <c r="Q387" s="24" t="s">
        <v>91</v>
      </c>
      <c r="R387" s="27"/>
      <c r="S387" s="27" t="s">
        <v>1814</v>
      </c>
      <c r="T387" s="24" t="s">
        <v>72</v>
      </c>
      <c r="U387" s="26"/>
      <c r="V387" s="14"/>
      <c r="W387" s="14"/>
      <c r="X387" s="18"/>
      <c r="Y387" s="18"/>
      <c r="Z387" s="18"/>
      <c r="AA387" s="19">
        <f t="shared" si="1"/>
        <v>7</v>
      </c>
      <c r="AB387" s="19">
        <f t="shared" si="2"/>
        <v>7</v>
      </c>
    </row>
    <row r="388" ht="15.75" customHeight="1">
      <c r="A388" s="12">
        <v>45112.0</v>
      </c>
      <c r="B388" s="14" t="s">
        <v>539</v>
      </c>
      <c r="C388" s="14" t="s">
        <v>1818</v>
      </c>
      <c r="D388" s="14"/>
      <c r="E388" s="14"/>
      <c r="F388" s="14"/>
      <c r="G388" s="14"/>
      <c r="H388" s="14">
        <v>3.39583533E8</v>
      </c>
      <c r="I388" s="14"/>
      <c r="J388" s="14"/>
      <c r="K388" s="14" t="s">
        <v>1796</v>
      </c>
      <c r="L388" s="27" t="s">
        <v>48</v>
      </c>
      <c r="M388" s="14" t="s">
        <v>565</v>
      </c>
      <c r="N388" s="14" t="b">
        <v>0</v>
      </c>
      <c r="O388" s="14"/>
      <c r="P388" s="14"/>
      <c r="Q388" s="14"/>
      <c r="R388" s="14"/>
      <c r="S388" s="14" t="s">
        <v>1819</v>
      </c>
      <c r="T388" s="13" t="s">
        <v>129</v>
      </c>
      <c r="U388" s="17">
        <v>45114.0</v>
      </c>
      <c r="V388" s="14"/>
      <c r="W388" s="14"/>
      <c r="X388" s="18"/>
      <c r="Y388" s="18"/>
      <c r="Z388" s="18"/>
      <c r="AA388" s="19">
        <f t="shared" si="1"/>
        <v>7</v>
      </c>
      <c r="AB388" s="19" t="str">
        <f t="shared" si="2"/>
        <v/>
      </c>
    </row>
    <row r="389" ht="15.75" customHeight="1">
      <c r="A389" s="12">
        <v>45112.0</v>
      </c>
      <c r="B389" s="14" t="s">
        <v>539</v>
      </c>
      <c r="C389" s="14" t="s">
        <v>1820</v>
      </c>
      <c r="D389" s="14"/>
      <c r="E389" s="14"/>
      <c r="F389" s="14"/>
      <c r="G389" s="14"/>
      <c r="H389" s="14">
        <v>9.76875678E8</v>
      </c>
      <c r="I389" s="14"/>
      <c r="J389" s="14"/>
      <c r="K389" s="14" t="s">
        <v>1821</v>
      </c>
      <c r="L389" s="27" t="s">
        <v>48</v>
      </c>
      <c r="M389" s="14" t="s">
        <v>34</v>
      </c>
      <c r="N389" s="14" t="b">
        <v>0</v>
      </c>
      <c r="O389" s="14"/>
      <c r="P389" s="14"/>
      <c r="Q389" s="14"/>
      <c r="R389" s="14"/>
      <c r="S389" s="14" t="s">
        <v>1822</v>
      </c>
      <c r="T389" s="14" t="s">
        <v>36</v>
      </c>
      <c r="U389" s="17"/>
      <c r="V389" s="14"/>
      <c r="W389" s="14"/>
      <c r="X389" s="18"/>
      <c r="Y389" s="18"/>
      <c r="Z389" s="18"/>
      <c r="AA389" s="19">
        <f t="shared" si="1"/>
        <v>7</v>
      </c>
      <c r="AB389" s="19" t="str">
        <f t="shared" si="2"/>
        <v/>
      </c>
    </row>
    <row r="390" ht="15.75" customHeight="1">
      <c r="A390" s="12">
        <v>45112.0</v>
      </c>
      <c r="B390" s="14" t="s">
        <v>539</v>
      </c>
      <c r="C390" s="14" t="s">
        <v>1823</v>
      </c>
      <c r="D390" s="14"/>
      <c r="E390" s="13">
        <v>13.0</v>
      </c>
      <c r="F390" s="14">
        <v>7.0</v>
      </c>
      <c r="G390" s="14"/>
      <c r="H390" s="14">
        <v>9.82999979E8</v>
      </c>
      <c r="I390" s="14"/>
      <c r="J390" s="14"/>
      <c r="K390" s="136" t="s">
        <v>1824</v>
      </c>
      <c r="L390" s="27" t="s">
        <v>48</v>
      </c>
      <c r="M390" s="14" t="s">
        <v>565</v>
      </c>
      <c r="N390" s="14" t="b">
        <v>0</v>
      </c>
      <c r="O390" s="14"/>
      <c r="P390" s="14"/>
      <c r="Q390" s="14"/>
      <c r="R390" s="14"/>
      <c r="S390" s="14" t="s">
        <v>1825</v>
      </c>
      <c r="T390" s="13" t="s">
        <v>129</v>
      </c>
      <c r="U390" s="17">
        <v>45113.0</v>
      </c>
      <c r="V390" s="14"/>
      <c r="W390" s="14"/>
      <c r="X390" s="18"/>
      <c r="Y390" s="18"/>
      <c r="Z390" s="18"/>
      <c r="AA390" s="19">
        <f t="shared" si="1"/>
        <v>7</v>
      </c>
      <c r="AB390" s="19" t="str">
        <f t="shared" si="2"/>
        <v/>
      </c>
    </row>
    <row r="391" ht="15.75" customHeight="1">
      <c r="A391" s="12">
        <v>45112.0</v>
      </c>
      <c r="B391" s="14" t="s">
        <v>539</v>
      </c>
      <c r="C391" s="14" t="s">
        <v>1826</v>
      </c>
      <c r="D391" s="14"/>
      <c r="E391" s="13">
        <v>10.0</v>
      </c>
      <c r="F391" s="14">
        <v>5.0</v>
      </c>
      <c r="G391" s="14"/>
      <c r="H391" s="14">
        <v>9.75143942E8</v>
      </c>
      <c r="I391" s="14"/>
      <c r="J391" s="14"/>
      <c r="K391" s="14" t="s">
        <v>1827</v>
      </c>
      <c r="L391" s="27" t="s">
        <v>48</v>
      </c>
      <c r="M391" s="14" t="s">
        <v>565</v>
      </c>
      <c r="N391" s="14" t="b">
        <v>0</v>
      </c>
      <c r="O391" s="14"/>
      <c r="P391" s="14"/>
      <c r="Q391" s="14"/>
      <c r="R391" s="14"/>
      <c r="S391" s="14" t="s">
        <v>1828</v>
      </c>
      <c r="T391" s="13" t="s">
        <v>129</v>
      </c>
      <c r="U391" s="17">
        <v>45113.0</v>
      </c>
      <c r="V391" s="14"/>
      <c r="W391" s="14"/>
      <c r="X391" s="18"/>
      <c r="Y391" s="18"/>
      <c r="Z391" s="18"/>
      <c r="AA391" s="19">
        <f t="shared" si="1"/>
        <v>7</v>
      </c>
      <c r="AB391" s="19" t="str">
        <f t="shared" si="2"/>
        <v/>
      </c>
    </row>
    <row r="392" ht="15.75" customHeight="1">
      <c r="A392" s="12">
        <v>45112.0</v>
      </c>
      <c r="B392" s="14" t="s">
        <v>539</v>
      </c>
      <c r="C392" s="14" t="s">
        <v>1829</v>
      </c>
      <c r="D392" s="14"/>
      <c r="E392" s="13">
        <v>12.0</v>
      </c>
      <c r="F392" s="14">
        <v>6.0</v>
      </c>
      <c r="G392" s="14"/>
      <c r="H392" s="14">
        <v>9.78155995E8</v>
      </c>
      <c r="I392" s="14"/>
      <c r="J392" s="14"/>
      <c r="K392" s="14" t="s">
        <v>1796</v>
      </c>
      <c r="L392" s="27" t="s">
        <v>48</v>
      </c>
      <c r="M392" s="14" t="s">
        <v>565</v>
      </c>
      <c r="N392" s="14" t="b">
        <v>0</v>
      </c>
      <c r="O392" s="14"/>
      <c r="P392" s="14"/>
      <c r="Q392" s="14"/>
      <c r="R392" s="14"/>
      <c r="S392" s="14" t="s">
        <v>1830</v>
      </c>
      <c r="T392" s="13" t="s">
        <v>129</v>
      </c>
      <c r="U392" s="17">
        <v>45113.0</v>
      </c>
      <c r="V392" s="14"/>
      <c r="W392" s="14"/>
      <c r="X392" s="18"/>
      <c r="Y392" s="18"/>
      <c r="Z392" s="18"/>
      <c r="AA392" s="19">
        <f t="shared" si="1"/>
        <v>7</v>
      </c>
      <c r="AB392" s="19" t="str">
        <f t="shared" si="2"/>
        <v/>
      </c>
    </row>
    <row r="393" ht="15.75" customHeight="1">
      <c r="A393" s="12">
        <v>45112.0</v>
      </c>
      <c r="B393" s="14" t="s">
        <v>539</v>
      </c>
      <c r="C393" s="14" t="s">
        <v>1831</v>
      </c>
      <c r="D393" s="14"/>
      <c r="E393" s="13">
        <v>16.0</v>
      </c>
      <c r="F393" s="14">
        <v>16.0</v>
      </c>
      <c r="G393" s="14"/>
      <c r="H393" s="14">
        <v>3.88595525E8</v>
      </c>
      <c r="I393" s="14"/>
      <c r="J393" s="14"/>
      <c r="K393" s="14" t="s">
        <v>1832</v>
      </c>
      <c r="L393" s="27" t="s">
        <v>48</v>
      </c>
      <c r="M393" s="14" t="s">
        <v>216</v>
      </c>
      <c r="N393" s="14" t="b">
        <v>0</v>
      </c>
      <c r="O393" s="14"/>
      <c r="P393" s="14"/>
      <c r="Q393" s="14"/>
      <c r="R393" s="14"/>
      <c r="S393" s="14" t="s">
        <v>1833</v>
      </c>
      <c r="T393" s="14" t="s">
        <v>36</v>
      </c>
      <c r="U393" s="17"/>
      <c r="V393" s="14"/>
      <c r="W393" s="14"/>
      <c r="X393" s="18"/>
      <c r="Y393" s="18"/>
      <c r="Z393" s="18"/>
      <c r="AA393" s="19">
        <f t="shared" si="1"/>
        <v>7</v>
      </c>
      <c r="AB393" s="19" t="str">
        <f t="shared" si="2"/>
        <v/>
      </c>
    </row>
    <row r="394" ht="15.75" customHeight="1">
      <c r="A394" s="12">
        <v>45112.0</v>
      </c>
      <c r="B394" s="14" t="s">
        <v>539</v>
      </c>
      <c r="C394" s="14" t="s">
        <v>1834</v>
      </c>
      <c r="D394" s="14"/>
      <c r="E394" s="14"/>
      <c r="F394" s="14"/>
      <c r="G394" s="14"/>
      <c r="H394" s="14">
        <v>9.82807252E8</v>
      </c>
      <c r="I394" s="14"/>
      <c r="J394" s="14"/>
      <c r="K394" s="14" t="s">
        <v>1835</v>
      </c>
      <c r="L394" s="27" t="s">
        <v>48</v>
      </c>
      <c r="M394" s="14" t="s">
        <v>565</v>
      </c>
      <c r="N394" s="14" t="b">
        <v>0</v>
      </c>
      <c r="O394" s="14"/>
      <c r="P394" s="14"/>
      <c r="Q394" s="14"/>
      <c r="R394" s="14"/>
      <c r="S394" s="14" t="s">
        <v>1836</v>
      </c>
      <c r="T394" s="13" t="s">
        <v>129</v>
      </c>
      <c r="U394" s="17">
        <v>45113.0</v>
      </c>
      <c r="V394" s="14"/>
      <c r="W394" s="14"/>
      <c r="X394" s="18"/>
      <c r="Y394" s="18"/>
      <c r="Z394" s="18"/>
      <c r="AA394" s="19">
        <f t="shared" si="1"/>
        <v>7</v>
      </c>
      <c r="AB394" s="19" t="str">
        <f t="shared" si="2"/>
        <v/>
      </c>
    </row>
    <row r="395" ht="15.75" customHeight="1">
      <c r="A395" s="12">
        <v>45112.0</v>
      </c>
      <c r="B395" s="14" t="s">
        <v>539</v>
      </c>
      <c r="C395" s="62" t="s">
        <v>1837</v>
      </c>
      <c r="D395" s="14" t="s">
        <v>1838</v>
      </c>
      <c r="E395" s="13">
        <v>6.0</v>
      </c>
      <c r="F395" s="14"/>
      <c r="G395" s="14"/>
      <c r="H395" s="14">
        <v>3.62828124E8</v>
      </c>
      <c r="I395" s="14"/>
      <c r="J395" s="14"/>
      <c r="K395" s="14" t="s">
        <v>1796</v>
      </c>
      <c r="L395" s="27" t="s">
        <v>48</v>
      </c>
      <c r="M395" s="14" t="s">
        <v>158</v>
      </c>
      <c r="N395" s="14" t="b">
        <v>0</v>
      </c>
      <c r="O395" s="13" t="s">
        <v>1839</v>
      </c>
      <c r="P395" s="13" t="s">
        <v>69</v>
      </c>
      <c r="Q395" s="14"/>
      <c r="R395" s="14"/>
      <c r="S395" s="14" t="s">
        <v>1840</v>
      </c>
      <c r="T395" s="13" t="s">
        <v>229</v>
      </c>
      <c r="U395" s="17">
        <v>45148.0</v>
      </c>
      <c r="V395" s="14"/>
      <c r="W395" s="14"/>
      <c r="X395" s="18"/>
      <c r="Y395" s="18"/>
      <c r="Z395" s="18"/>
      <c r="AA395" s="19">
        <f t="shared" si="1"/>
        <v>7</v>
      </c>
      <c r="AB395" s="19" t="str">
        <f t="shared" si="2"/>
        <v/>
      </c>
    </row>
    <row r="396" ht="15.75" customHeight="1">
      <c r="A396" s="12">
        <v>45112.0</v>
      </c>
      <c r="B396" s="14" t="s">
        <v>539</v>
      </c>
      <c r="C396" s="14" t="s">
        <v>1841</v>
      </c>
      <c r="D396" s="14"/>
      <c r="E396" s="14"/>
      <c r="F396" s="14"/>
      <c r="G396" s="14"/>
      <c r="H396" s="14">
        <v>3.86165612E8</v>
      </c>
      <c r="I396" s="14"/>
      <c r="J396" s="14"/>
      <c r="K396" s="14" t="s">
        <v>1842</v>
      </c>
      <c r="L396" s="27" t="s">
        <v>48</v>
      </c>
      <c r="M396" s="14" t="s">
        <v>565</v>
      </c>
      <c r="N396" s="14" t="b">
        <v>0</v>
      </c>
      <c r="O396" s="14"/>
      <c r="P396" s="14"/>
      <c r="Q396" s="14"/>
      <c r="R396" s="14"/>
      <c r="S396" s="14" t="s">
        <v>1843</v>
      </c>
      <c r="T396" s="13" t="s">
        <v>129</v>
      </c>
      <c r="U396" s="17">
        <v>45122.0</v>
      </c>
      <c r="V396" s="14"/>
      <c r="W396" s="14"/>
      <c r="X396" s="18"/>
      <c r="Y396" s="18"/>
      <c r="Z396" s="18"/>
      <c r="AA396" s="19">
        <f t="shared" si="1"/>
        <v>7</v>
      </c>
      <c r="AB396" s="19" t="str">
        <f t="shared" si="2"/>
        <v/>
      </c>
    </row>
    <row r="397" ht="15.75" customHeight="1">
      <c r="A397" s="12">
        <v>45112.0</v>
      </c>
      <c r="B397" s="14" t="s">
        <v>539</v>
      </c>
      <c r="C397" s="14" t="s">
        <v>1844</v>
      </c>
      <c r="D397" s="14" t="s">
        <v>1845</v>
      </c>
      <c r="E397" s="13">
        <v>7.0</v>
      </c>
      <c r="F397" s="14"/>
      <c r="G397" s="14"/>
      <c r="H397" s="15" t="s">
        <v>1846</v>
      </c>
      <c r="I397" s="14"/>
      <c r="J397" s="14"/>
      <c r="K397" s="14"/>
      <c r="L397" s="27" t="s">
        <v>111</v>
      </c>
      <c r="M397" s="14" t="s">
        <v>34</v>
      </c>
      <c r="N397" s="14" t="b">
        <v>0</v>
      </c>
      <c r="O397" s="14"/>
      <c r="P397" s="14"/>
      <c r="Q397" s="14"/>
      <c r="R397" s="14"/>
      <c r="S397" s="14" t="s">
        <v>1847</v>
      </c>
      <c r="T397" s="14" t="s">
        <v>36</v>
      </c>
      <c r="U397" s="17"/>
      <c r="V397" s="14"/>
      <c r="W397" s="14"/>
      <c r="X397" s="18"/>
      <c r="Y397" s="18"/>
      <c r="Z397" s="18"/>
      <c r="AA397" s="19">
        <f t="shared" si="1"/>
        <v>7</v>
      </c>
      <c r="AB397" s="19" t="str">
        <f t="shared" si="2"/>
        <v/>
      </c>
    </row>
    <row r="398" ht="15.75" customHeight="1">
      <c r="A398" s="12">
        <v>45112.0</v>
      </c>
      <c r="B398" s="14" t="s">
        <v>539</v>
      </c>
      <c r="C398" s="14" t="s">
        <v>1848</v>
      </c>
      <c r="D398" s="14"/>
      <c r="E398" s="14"/>
      <c r="F398" s="14"/>
      <c r="G398" s="14"/>
      <c r="H398" s="15" t="s">
        <v>1849</v>
      </c>
      <c r="I398" s="14"/>
      <c r="J398" s="14"/>
      <c r="K398" s="14"/>
      <c r="L398" s="27" t="s">
        <v>111</v>
      </c>
      <c r="M398" s="14" t="s">
        <v>34</v>
      </c>
      <c r="N398" s="14" t="b">
        <v>0</v>
      </c>
      <c r="O398" s="14"/>
      <c r="P398" s="14"/>
      <c r="Q398" s="14"/>
      <c r="R398" s="14"/>
      <c r="S398" s="14" t="s">
        <v>1850</v>
      </c>
      <c r="T398" s="14" t="s">
        <v>36</v>
      </c>
      <c r="U398" s="17"/>
      <c r="V398" s="14"/>
      <c r="W398" s="14"/>
      <c r="X398" s="18"/>
      <c r="Y398" s="18"/>
      <c r="Z398" s="18"/>
      <c r="AA398" s="19">
        <f t="shared" si="1"/>
        <v>7</v>
      </c>
      <c r="AB398" s="19" t="str">
        <f t="shared" si="2"/>
        <v/>
      </c>
    </row>
    <row r="399" ht="15.75" customHeight="1">
      <c r="A399" s="12">
        <v>45112.0</v>
      </c>
      <c r="B399" s="14" t="s">
        <v>539</v>
      </c>
      <c r="C399" s="14" t="s">
        <v>1851</v>
      </c>
      <c r="D399" s="14" t="s">
        <v>1852</v>
      </c>
      <c r="E399" s="13">
        <v>13.0</v>
      </c>
      <c r="F399" s="14">
        <v>8.0</v>
      </c>
      <c r="G399" s="14"/>
      <c r="H399" s="15" t="s">
        <v>1853</v>
      </c>
      <c r="I399" s="14"/>
      <c r="J399" s="14"/>
      <c r="K399" s="14"/>
      <c r="L399" s="27" t="s">
        <v>111</v>
      </c>
      <c r="M399" s="14" t="s">
        <v>34</v>
      </c>
      <c r="N399" s="14" t="b">
        <v>0</v>
      </c>
      <c r="O399" s="14"/>
      <c r="P399" s="14"/>
      <c r="Q399" s="14"/>
      <c r="R399" s="14"/>
      <c r="S399" s="14" t="s">
        <v>1854</v>
      </c>
      <c r="T399" s="14" t="s">
        <v>36</v>
      </c>
      <c r="U399" s="17"/>
      <c r="V399" s="14"/>
      <c r="W399" s="14"/>
      <c r="X399" s="18"/>
      <c r="Y399" s="18"/>
      <c r="Z399" s="18"/>
      <c r="AA399" s="19">
        <f t="shared" si="1"/>
        <v>7</v>
      </c>
      <c r="AB399" s="19" t="str">
        <f t="shared" si="2"/>
        <v/>
      </c>
    </row>
    <row r="400" ht="15.75" customHeight="1">
      <c r="A400" s="12">
        <v>45112.0</v>
      </c>
      <c r="B400" s="14" t="s">
        <v>539</v>
      </c>
      <c r="C400" s="14" t="s">
        <v>1855</v>
      </c>
      <c r="D400" s="14"/>
      <c r="E400" s="14"/>
      <c r="F400" s="14"/>
      <c r="G400" s="14"/>
      <c r="H400" s="15" t="s">
        <v>1856</v>
      </c>
      <c r="I400" s="14"/>
      <c r="J400" s="14"/>
      <c r="K400" s="14"/>
      <c r="L400" s="27" t="s">
        <v>111</v>
      </c>
      <c r="M400" s="14" t="s">
        <v>216</v>
      </c>
      <c r="N400" s="14" t="b">
        <v>0</v>
      </c>
      <c r="O400" s="14"/>
      <c r="P400" s="14"/>
      <c r="Q400" s="14"/>
      <c r="R400" s="14"/>
      <c r="S400" s="14" t="s">
        <v>1857</v>
      </c>
      <c r="T400" s="14" t="s">
        <v>36</v>
      </c>
      <c r="U400" s="17"/>
      <c r="V400" s="14"/>
      <c r="W400" s="14"/>
      <c r="X400" s="18"/>
      <c r="Y400" s="18"/>
      <c r="Z400" s="18"/>
      <c r="AA400" s="19">
        <f t="shared" si="1"/>
        <v>7</v>
      </c>
      <c r="AB400" s="19" t="str">
        <f t="shared" si="2"/>
        <v/>
      </c>
    </row>
    <row r="401" ht="15.75" customHeight="1">
      <c r="A401" s="12">
        <v>45112.0</v>
      </c>
      <c r="B401" s="14" t="s">
        <v>539</v>
      </c>
      <c r="C401" s="37" t="s">
        <v>1858</v>
      </c>
      <c r="D401" s="14" t="s">
        <v>1859</v>
      </c>
      <c r="E401" s="13">
        <v>8.0</v>
      </c>
      <c r="F401" s="14">
        <v>3.0</v>
      </c>
      <c r="G401" s="14"/>
      <c r="H401" s="15" t="s">
        <v>1860</v>
      </c>
      <c r="I401" s="14"/>
      <c r="J401" s="14"/>
      <c r="K401" s="14" t="s">
        <v>1861</v>
      </c>
      <c r="L401" s="27" t="s">
        <v>48</v>
      </c>
      <c r="M401" s="14" t="s">
        <v>13</v>
      </c>
      <c r="N401" s="14" t="b">
        <v>1</v>
      </c>
      <c r="O401" s="55" t="s">
        <v>1862</v>
      </c>
      <c r="P401" s="13" t="s">
        <v>69</v>
      </c>
      <c r="Q401" s="14"/>
      <c r="R401" s="14"/>
      <c r="S401" s="37" t="s">
        <v>1863</v>
      </c>
      <c r="T401" s="13" t="s">
        <v>229</v>
      </c>
      <c r="U401" s="17"/>
      <c r="V401" s="14"/>
      <c r="W401" s="14"/>
      <c r="X401" s="18"/>
      <c r="Y401" s="18"/>
      <c r="Z401" s="18"/>
      <c r="AA401" s="19">
        <f t="shared" si="1"/>
        <v>7</v>
      </c>
      <c r="AB401" s="19" t="str">
        <f t="shared" si="2"/>
        <v/>
      </c>
    </row>
    <row r="402" ht="15.75" customHeight="1">
      <c r="A402" s="12">
        <v>45112.0</v>
      </c>
      <c r="B402" s="14" t="s">
        <v>539</v>
      </c>
      <c r="C402" s="37" t="s">
        <v>1858</v>
      </c>
      <c r="D402" s="14" t="s">
        <v>1864</v>
      </c>
      <c r="E402" s="13">
        <v>12.0</v>
      </c>
      <c r="F402" s="14">
        <v>6.0</v>
      </c>
      <c r="G402" s="14"/>
      <c r="H402" s="15" t="s">
        <v>1860</v>
      </c>
      <c r="I402" s="14"/>
      <c r="J402" s="14"/>
      <c r="K402" s="14" t="s">
        <v>1865</v>
      </c>
      <c r="L402" s="27" t="s">
        <v>48</v>
      </c>
      <c r="M402" s="14" t="s">
        <v>13</v>
      </c>
      <c r="N402" s="14" t="b">
        <v>1</v>
      </c>
      <c r="O402" s="13" t="s">
        <v>1866</v>
      </c>
      <c r="P402" s="13" t="s">
        <v>69</v>
      </c>
      <c r="Q402" s="14"/>
      <c r="R402" s="14"/>
      <c r="S402" s="37" t="s">
        <v>1867</v>
      </c>
      <c r="T402" s="13" t="s">
        <v>229</v>
      </c>
      <c r="U402" s="17"/>
      <c r="V402" s="14"/>
      <c r="W402" s="14"/>
      <c r="X402" s="18"/>
      <c r="Y402" s="18"/>
      <c r="Z402" s="18"/>
      <c r="AA402" s="19">
        <f t="shared" si="1"/>
        <v>7</v>
      </c>
      <c r="AB402" s="19" t="str">
        <f t="shared" si="2"/>
        <v/>
      </c>
    </row>
    <row r="403" ht="15.75" customHeight="1">
      <c r="A403" s="12">
        <v>45112.0</v>
      </c>
      <c r="B403" s="14" t="s">
        <v>539</v>
      </c>
      <c r="C403" s="14" t="s">
        <v>167</v>
      </c>
      <c r="D403" s="14"/>
      <c r="E403" s="14"/>
      <c r="F403" s="14"/>
      <c r="G403" s="14"/>
      <c r="H403" s="15" t="s">
        <v>1868</v>
      </c>
      <c r="I403" s="14"/>
      <c r="J403" s="14"/>
      <c r="K403" s="14"/>
      <c r="L403" s="27" t="s">
        <v>48</v>
      </c>
      <c r="M403" s="14" t="s">
        <v>565</v>
      </c>
      <c r="N403" s="14" t="b">
        <v>0</v>
      </c>
      <c r="O403" s="14"/>
      <c r="P403" s="14"/>
      <c r="Q403" s="14"/>
      <c r="R403" s="14"/>
      <c r="S403" s="37" t="s">
        <v>1869</v>
      </c>
      <c r="T403" s="13" t="s">
        <v>129</v>
      </c>
      <c r="U403" s="17">
        <v>45115.0</v>
      </c>
      <c r="V403" s="14"/>
      <c r="W403" s="14"/>
      <c r="X403" s="18"/>
      <c r="Y403" s="18"/>
      <c r="Z403" s="18"/>
      <c r="AA403" s="19">
        <f t="shared" si="1"/>
        <v>7</v>
      </c>
      <c r="AB403" s="19" t="str">
        <f t="shared" si="2"/>
        <v/>
      </c>
    </row>
    <row r="404" ht="15.75" customHeight="1">
      <c r="A404" s="12">
        <v>45112.0</v>
      </c>
      <c r="B404" s="14" t="s">
        <v>539</v>
      </c>
      <c r="C404" s="14" t="s">
        <v>1870</v>
      </c>
      <c r="D404" s="14" t="s">
        <v>1871</v>
      </c>
      <c r="E404" s="13">
        <v>12.0</v>
      </c>
      <c r="F404" s="14"/>
      <c r="G404" s="14"/>
      <c r="H404" s="15" t="s">
        <v>1872</v>
      </c>
      <c r="I404" s="14"/>
      <c r="J404" s="14"/>
      <c r="K404" s="14" t="s">
        <v>1873</v>
      </c>
      <c r="L404" s="27" t="s">
        <v>48</v>
      </c>
      <c r="M404" s="14" t="s">
        <v>34</v>
      </c>
      <c r="N404" s="14" t="b">
        <v>0</v>
      </c>
      <c r="O404" s="14"/>
      <c r="P404" s="14"/>
      <c r="Q404" s="14"/>
      <c r="R404" s="14"/>
      <c r="S404" s="14" t="s">
        <v>1874</v>
      </c>
      <c r="T404" s="14" t="s">
        <v>36</v>
      </c>
      <c r="U404" s="17"/>
      <c r="V404" s="14"/>
      <c r="W404" s="14"/>
      <c r="X404" s="18"/>
      <c r="Y404" s="18"/>
      <c r="Z404" s="18"/>
      <c r="AA404" s="19">
        <f t="shared" si="1"/>
        <v>7</v>
      </c>
      <c r="AB404" s="19" t="str">
        <f t="shared" si="2"/>
        <v/>
      </c>
    </row>
    <row r="405" ht="15.75" customHeight="1">
      <c r="A405" s="12">
        <v>45112.0</v>
      </c>
      <c r="B405" s="14" t="s">
        <v>539</v>
      </c>
      <c r="C405" s="14" t="s">
        <v>1875</v>
      </c>
      <c r="D405" s="14"/>
      <c r="E405" s="14"/>
      <c r="F405" s="14"/>
      <c r="G405" s="14"/>
      <c r="H405" s="15" t="s">
        <v>1876</v>
      </c>
      <c r="I405" s="14"/>
      <c r="J405" s="14"/>
      <c r="K405" s="14"/>
      <c r="L405" s="27" t="s">
        <v>48</v>
      </c>
      <c r="M405" s="14" t="s">
        <v>565</v>
      </c>
      <c r="N405" s="14" t="b">
        <v>0</v>
      </c>
      <c r="O405" s="14"/>
      <c r="P405" s="14"/>
      <c r="Q405" s="14"/>
      <c r="R405" s="14"/>
      <c r="S405" s="14" t="s">
        <v>1877</v>
      </c>
      <c r="T405" s="13" t="s">
        <v>129</v>
      </c>
      <c r="U405" s="17">
        <v>45116.0</v>
      </c>
      <c r="V405" s="14"/>
      <c r="W405" s="14"/>
      <c r="X405" s="18"/>
      <c r="Y405" s="18"/>
      <c r="Z405" s="18"/>
      <c r="AA405" s="19">
        <f t="shared" si="1"/>
        <v>7</v>
      </c>
      <c r="AB405" s="19" t="str">
        <f t="shared" si="2"/>
        <v/>
      </c>
    </row>
    <row r="406" ht="15.75" customHeight="1">
      <c r="A406" s="12">
        <v>45112.0</v>
      </c>
      <c r="B406" s="14" t="s">
        <v>201</v>
      </c>
      <c r="C406" s="14" t="s">
        <v>1878</v>
      </c>
      <c r="D406" s="14" t="s">
        <v>1879</v>
      </c>
      <c r="E406" s="13">
        <v>11.0</v>
      </c>
      <c r="F406" s="14"/>
      <c r="G406" s="14"/>
      <c r="H406" s="15" t="s">
        <v>1880</v>
      </c>
      <c r="I406" s="14"/>
      <c r="J406" s="14"/>
      <c r="K406" s="14"/>
      <c r="L406" s="27" t="s">
        <v>111</v>
      </c>
      <c r="M406" s="14" t="s">
        <v>13</v>
      </c>
      <c r="N406" s="14" t="b">
        <v>1</v>
      </c>
      <c r="O406" s="100" t="s">
        <v>1881</v>
      </c>
      <c r="P406" s="13" t="s">
        <v>69</v>
      </c>
      <c r="Q406" s="14"/>
      <c r="R406" s="14"/>
      <c r="S406" s="14" t="s">
        <v>1882</v>
      </c>
      <c r="T406" s="13" t="s">
        <v>129</v>
      </c>
      <c r="U406" s="17">
        <v>45174.0</v>
      </c>
      <c r="V406" s="14"/>
      <c r="W406" s="14"/>
      <c r="X406" s="18"/>
      <c r="Y406" s="18"/>
      <c r="Z406" s="18"/>
      <c r="AA406" s="19">
        <f t="shared" si="1"/>
        <v>7</v>
      </c>
      <c r="AB406" s="19" t="str">
        <f t="shared" si="2"/>
        <v/>
      </c>
    </row>
    <row r="407" ht="15.75" customHeight="1">
      <c r="A407" s="12">
        <v>45112.0</v>
      </c>
      <c r="B407" s="14" t="s">
        <v>539</v>
      </c>
      <c r="C407" s="13" t="s">
        <v>1883</v>
      </c>
      <c r="D407" s="14"/>
      <c r="E407" s="14"/>
      <c r="F407" s="14"/>
      <c r="G407" s="14"/>
      <c r="H407" s="15" t="s">
        <v>1884</v>
      </c>
      <c r="I407" s="14"/>
      <c r="J407" s="14"/>
      <c r="K407" s="14" t="s">
        <v>1885</v>
      </c>
      <c r="L407" s="27" t="s">
        <v>111</v>
      </c>
      <c r="M407" s="14" t="s">
        <v>216</v>
      </c>
      <c r="N407" s="14" t="b">
        <v>0</v>
      </c>
      <c r="O407" s="14"/>
      <c r="P407" s="14"/>
      <c r="Q407" s="14"/>
      <c r="R407" s="14"/>
      <c r="S407" s="14" t="s">
        <v>1886</v>
      </c>
      <c r="T407" s="14" t="s">
        <v>36</v>
      </c>
      <c r="U407" s="17"/>
      <c r="V407" s="14"/>
      <c r="W407" s="14"/>
      <c r="X407" s="18"/>
      <c r="Y407" s="18"/>
      <c r="Z407" s="18"/>
      <c r="AA407" s="19">
        <f t="shared" si="1"/>
        <v>7</v>
      </c>
      <c r="AB407" s="19" t="str">
        <f t="shared" si="2"/>
        <v/>
      </c>
    </row>
    <row r="408" ht="15.75" customHeight="1">
      <c r="A408" s="12">
        <v>45112.0</v>
      </c>
      <c r="B408" s="14" t="s">
        <v>539</v>
      </c>
      <c r="C408" s="14" t="s">
        <v>1887</v>
      </c>
      <c r="D408" s="14"/>
      <c r="E408" s="14"/>
      <c r="F408" s="14"/>
      <c r="G408" s="14"/>
      <c r="H408" s="15" t="s">
        <v>1888</v>
      </c>
      <c r="I408" s="14"/>
      <c r="J408" s="14"/>
      <c r="K408" s="14" t="s">
        <v>1889</v>
      </c>
      <c r="L408" s="27" t="s">
        <v>111</v>
      </c>
      <c r="M408" s="14" t="s">
        <v>34</v>
      </c>
      <c r="N408" s="14" t="b">
        <v>0</v>
      </c>
      <c r="O408" s="14"/>
      <c r="P408" s="14"/>
      <c r="Q408" s="14"/>
      <c r="R408" s="14"/>
      <c r="S408" s="14" t="s">
        <v>1890</v>
      </c>
      <c r="T408" s="14" t="s">
        <v>36</v>
      </c>
      <c r="U408" s="17"/>
      <c r="V408" s="14"/>
      <c r="W408" s="14"/>
      <c r="X408" s="18"/>
      <c r="Y408" s="18"/>
      <c r="Z408" s="18"/>
      <c r="AA408" s="19">
        <f t="shared" si="1"/>
        <v>7</v>
      </c>
      <c r="AB408" s="19" t="str">
        <f t="shared" si="2"/>
        <v/>
      </c>
    </row>
    <row r="409" ht="15.75" customHeight="1">
      <c r="A409" s="12">
        <v>45112.0</v>
      </c>
      <c r="B409" s="14" t="s">
        <v>539</v>
      </c>
      <c r="C409" s="14" t="s">
        <v>1891</v>
      </c>
      <c r="D409" s="13" t="s">
        <v>1892</v>
      </c>
      <c r="E409" s="13">
        <v>11.0</v>
      </c>
      <c r="F409" s="14">
        <v>6.0</v>
      </c>
      <c r="G409" s="14"/>
      <c r="H409" s="15" t="s">
        <v>1893</v>
      </c>
      <c r="I409" s="14"/>
      <c r="J409" s="14"/>
      <c r="K409" s="14" t="s">
        <v>1894</v>
      </c>
      <c r="L409" s="27" t="s">
        <v>111</v>
      </c>
      <c r="M409" s="14" t="s">
        <v>13</v>
      </c>
      <c r="N409" s="14" t="b">
        <v>1</v>
      </c>
      <c r="O409" s="13" t="s">
        <v>1895</v>
      </c>
      <c r="P409" s="13" t="s">
        <v>69</v>
      </c>
      <c r="Q409" s="14"/>
      <c r="R409" s="14"/>
      <c r="S409" s="14" t="s">
        <v>1896</v>
      </c>
      <c r="T409" s="13" t="s">
        <v>129</v>
      </c>
      <c r="U409" s="17">
        <v>45119.0</v>
      </c>
      <c r="V409" s="14"/>
      <c r="W409" s="14"/>
      <c r="X409" s="18"/>
      <c r="Y409" s="18"/>
      <c r="Z409" s="18"/>
      <c r="AA409" s="19">
        <f t="shared" si="1"/>
        <v>7</v>
      </c>
      <c r="AB409" s="19" t="str">
        <f t="shared" si="2"/>
        <v/>
      </c>
    </row>
    <row r="410" ht="15.75" customHeight="1">
      <c r="A410" s="12">
        <v>45112.0</v>
      </c>
      <c r="B410" s="14" t="s">
        <v>539</v>
      </c>
      <c r="C410" s="13" t="s">
        <v>1897</v>
      </c>
      <c r="D410" s="14"/>
      <c r="E410" s="14"/>
      <c r="F410" s="14"/>
      <c r="G410" s="14"/>
      <c r="H410" s="15" t="s">
        <v>1898</v>
      </c>
      <c r="I410" s="14"/>
      <c r="J410" s="14"/>
      <c r="K410" s="14" t="s">
        <v>1796</v>
      </c>
      <c r="L410" s="27" t="s">
        <v>111</v>
      </c>
      <c r="M410" s="14" t="s">
        <v>216</v>
      </c>
      <c r="N410" s="14" t="b">
        <v>0</v>
      </c>
      <c r="O410" s="14"/>
      <c r="P410" s="14"/>
      <c r="Q410" s="14"/>
      <c r="R410" s="14"/>
      <c r="S410" s="14" t="s">
        <v>1899</v>
      </c>
      <c r="T410" s="14" t="s">
        <v>36</v>
      </c>
      <c r="U410" s="17"/>
      <c r="V410" s="14"/>
      <c r="W410" s="14"/>
      <c r="X410" s="18"/>
      <c r="Y410" s="18"/>
      <c r="Z410" s="18"/>
      <c r="AA410" s="19">
        <f t="shared" si="1"/>
        <v>7</v>
      </c>
      <c r="AB410" s="19" t="str">
        <f t="shared" si="2"/>
        <v/>
      </c>
    </row>
    <row r="411" ht="15.75" customHeight="1">
      <c r="A411" s="12">
        <v>45112.0</v>
      </c>
      <c r="B411" s="14" t="s">
        <v>539</v>
      </c>
      <c r="C411" s="13" t="s">
        <v>1900</v>
      </c>
      <c r="D411" s="14"/>
      <c r="E411" s="14"/>
      <c r="F411" s="14"/>
      <c r="G411" s="14"/>
      <c r="H411" s="15" t="s">
        <v>1901</v>
      </c>
      <c r="I411" s="14"/>
      <c r="J411" s="14"/>
      <c r="K411" s="14" t="s">
        <v>1902</v>
      </c>
      <c r="L411" s="27" t="s">
        <v>111</v>
      </c>
      <c r="M411" s="14" t="s">
        <v>216</v>
      </c>
      <c r="N411" s="14" t="b">
        <v>0</v>
      </c>
      <c r="O411" s="14"/>
      <c r="P411" s="14"/>
      <c r="Q411" s="14"/>
      <c r="R411" s="14"/>
      <c r="S411" s="14" t="s">
        <v>1903</v>
      </c>
      <c r="T411" s="14" t="s">
        <v>36</v>
      </c>
      <c r="U411" s="17"/>
      <c r="V411" s="14"/>
      <c r="W411" s="14"/>
      <c r="X411" s="18"/>
      <c r="Y411" s="18"/>
      <c r="Z411" s="18"/>
      <c r="AA411" s="19">
        <f t="shared" si="1"/>
        <v>7</v>
      </c>
      <c r="AB411" s="19" t="str">
        <f t="shared" si="2"/>
        <v/>
      </c>
    </row>
    <row r="412" ht="15.75" customHeight="1">
      <c r="A412" s="12">
        <v>45112.0</v>
      </c>
      <c r="B412" s="14" t="s">
        <v>539</v>
      </c>
      <c r="C412" s="14" t="s">
        <v>1904</v>
      </c>
      <c r="D412" s="14"/>
      <c r="E412" s="14"/>
      <c r="F412" s="14"/>
      <c r="G412" s="14"/>
      <c r="H412" s="15" t="s">
        <v>1905</v>
      </c>
      <c r="I412" s="14"/>
      <c r="J412" s="14"/>
      <c r="K412" s="14" t="s">
        <v>1796</v>
      </c>
      <c r="L412" s="27" t="s">
        <v>48</v>
      </c>
      <c r="M412" s="14" t="s">
        <v>34</v>
      </c>
      <c r="N412" s="14" t="b">
        <v>0</v>
      </c>
      <c r="O412" s="14"/>
      <c r="P412" s="14"/>
      <c r="Q412" s="14"/>
      <c r="R412" s="14"/>
      <c r="S412" s="37" t="s">
        <v>1906</v>
      </c>
      <c r="T412" s="14" t="s">
        <v>36</v>
      </c>
      <c r="U412" s="17"/>
      <c r="V412" s="14"/>
      <c r="W412" s="14"/>
      <c r="X412" s="18"/>
      <c r="Y412" s="18"/>
      <c r="Z412" s="18"/>
      <c r="AA412" s="19">
        <f t="shared" si="1"/>
        <v>7</v>
      </c>
      <c r="AB412" s="19" t="str">
        <f t="shared" si="2"/>
        <v/>
      </c>
    </row>
    <row r="413" ht="15.75" customHeight="1">
      <c r="A413" s="12">
        <v>45112.0</v>
      </c>
      <c r="B413" s="14" t="s">
        <v>539</v>
      </c>
      <c r="C413" s="14" t="s">
        <v>1907</v>
      </c>
      <c r="D413" s="14" t="s">
        <v>1908</v>
      </c>
      <c r="E413" s="14"/>
      <c r="F413" s="14"/>
      <c r="G413" s="14"/>
      <c r="H413" s="15" t="s">
        <v>1909</v>
      </c>
      <c r="I413" s="14"/>
      <c r="J413" s="14"/>
      <c r="K413" s="14" t="s">
        <v>1910</v>
      </c>
      <c r="L413" s="27" t="s">
        <v>48</v>
      </c>
      <c r="M413" s="14" t="s">
        <v>565</v>
      </c>
      <c r="N413" s="14" t="b">
        <v>0</v>
      </c>
      <c r="O413" s="14"/>
      <c r="P413" s="14"/>
      <c r="Q413" s="14"/>
      <c r="R413" s="14"/>
      <c r="S413" s="14" t="s">
        <v>1911</v>
      </c>
      <c r="T413" s="13" t="s">
        <v>129</v>
      </c>
      <c r="U413" s="17">
        <v>45127.0</v>
      </c>
      <c r="V413" s="14"/>
      <c r="W413" s="14"/>
      <c r="X413" s="18"/>
      <c r="Y413" s="18"/>
      <c r="Z413" s="18"/>
      <c r="AA413" s="19">
        <f t="shared" si="1"/>
        <v>7</v>
      </c>
      <c r="AB413" s="19" t="str">
        <f t="shared" si="2"/>
        <v/>
      </c>
    </row>
    <row r="414" ht="15.75" customHeight="1">
      <c r="A414" s="12">
        <v>45112.0</v>
      </c>
      <c r="B414" s="14" t="s">
        <v>539</v>
      </c>
      <c r="C414" s="14" t="s">
        <v>1912</v>
      </c>
      <c r="D414" s="14"/>
      <c r="E414" s="14"/>
      <c r="F414" s="14"/>
      <c r="G414" s="14"/>
      <c r="H414" s="15" t="s">
        <v>1913</v>
      </c>
      <c r="I414" s="14"/>
      <c r="J414" s="14"/>
      <c r="K414" s="14" t="s">
        <v>1914</v>
      </c>
      <c r="L414" s="27" t="s">
        <v>48</v>
      </c>
      <c r="M414" s="14" t="s">
        <v>565</v>
      </c>
      <c r="N414" s="14" t="b">
        <v>0</v>
      </c>
      <c r="O414" s="14"/>
      <c r="P414" s="14"/>
      <c r="Q414" s="14"/>
      <c r="R414" s="14"/>
      <c r="S414" s="14" t="s">
        <v>1915</v>
      </c>
      <c r="T414" s="13" t="s">
        <v>129</v>
      </c>
      <c r="U414" s="17">
        <v>45115.0</v>
      </c>
      <c r="V414" s="14"/>
      <c r="W414" s="14"/>
      <c r="X414" s="18"/>
      <c r="Y414" s="18"/>
      <c r="Z414" s="18"/>
      <c r="AA414" s="19">
        <f t="shared" si="1"/>
        <v>7</v>
      </c>
      <c r="AB414" s="19" t="str">
        <f t="shared" si="2"/>
        <v/>
      </c>
    </row>
    <row r="415" ht="15.75" customHeight="1">
      <c r="A415" s="12">
        <v>45112.0</v>
      </c>
      <c r="B415" s="14" t="s">
        <v>539</v>
      </c>
      <c r="C415" s="37" t="s">
        <v>1916</v>
      </c>
      <c r="D415" s="14" t="s">
        <v>1917</v>
      </c>
      <c r="E415" s="14"/>
      <c r="F415" s="14"/>
      <c r="G415" s="14"/>
      <c r="H415" s="15" t="s">
        <v>1918</v>
      </c>
      <c r="I415" s="14"/>
      <c r="J415" s="14"/>
      <c r="K415" s="14" t="s">
        <v>1796</v>
      </c>
      <c r="L415" s="27" t="s">
        <v>48</v>
      </c>
      <c r="M415" s="14" t="s">
        <v>34</v>
      </c>
      <c r="N415" s="14" t="b">
        <v>0</v>
      </c>
      <c r="O415" s="14"/>
      <c r="P415" s="14"/>
      <c r="Q415" s="14"/>
      <c r="R415" s="14"/>
      <c r="S415" s="37" t="s">
        <v>1919</v>
      </c>
      <c r="T415" s="14" t="s">
        <v>36</v>
      </c>
      <c r="U415" s="17"/>
      <c r="V415" s="14"/>
      <c r="W415" s="14"/>
      <c r="X415" s="18"/>
      <c r="Y415" s="18"/>
      <c r="Z415" s="18"/>
      <c r="AA415" s="19">
        <f t="shared" si="1"/>
        <v>7</v>
      </c>
      <c r="AB415" s="19" t="str">
        <f t="shared" si="2"/>
        <v/>
      </c>
    </row>
    <row r="416" ht="15.75" customHeight="1">
      <c r="A416" s="12">
        <v>45076.0</v>
      </c>
      <c r="B416" s="13" t="s">
        <v>28</v>
      </c>
      <c r="C416" s="14" t="s">
        <v>1920</v>
      </c>
      <c r="D416" s="13" t="s">
        <v>1921</v>
      </c>
      <c r="E416" s="13">
        <v>6.0</v>
      </c>
      <c r="F416" s="14"/>
      <c r="G416" s="14"/>
      <c r="H416" s="15" t="s">
        <v>1922</v>
      </c>
      <c r="I416" s="14"/>
      <c r="J416" s="14"/>
      <c r="K416" s="13" t="s">
        <v>524</v>
      </c>
      <c r="L416" s="14" t="s">
        <v>111</v>
      </c>
      <c r="M416" s="14" t="s">
        <v>13</v>
      </c>
      <c r="N416" s="13" t="b">
        <v>1</v>
      </c>
      <c r="O416" s="13" t="s">
        <v>1923</v>
      </c>
      <c r="P416" s="13" t="s">
        <v>69</v>
      </c>
      <c r="Q416" s="14"/>
      <c r="R416" s="14"/>
      <c r="S416" s="14" t="s">
        <v>1924</v>
      </c>
      <c r="T416" s="13" t="s">
        <v>129</v>
      </c>
      <c r="U416" s="17">
        <v>45119.0</v>
      </c>
      <c r="V416" s="14"/>
      <c r="W416" s="14"/>
      <c r="X416" s="18"/>
      <c r="Y416" s="18"/>
      <c r="Z416" s="18"/>
      <c r="AA416" s="19">
        <f t="shared" si="1"/>
        <v>5</v>
      </c>
      <c r="AB416" s="19" t="str">
        <f t="shared" si="2"/>
        <v/>
      </c>
    </row>
    <row r="417" ht="15.75" customHeight="1">
      <c r="A417" s="12">
        <v>45113.0</v>
      </c>
      <c r="B417" s="14" t="s">
        <v>539</v>
      </c>
      <c r="C417" s="14" t="s">
        <v>1925</v>
      </c>
      <c r="D417" s="14"/>
      <c r="E417" s="14"/>
      <c r="F417" s="14"/>
      <c r="G417" s="14"/>
      <c r="H417" s="15" t="s">
        <v>1926</v>
      </c>
      <c r="I417" s="14"/>
      <c r="J417" s="14"/>
      <c r="K417" s="14" t="s">
        <v>1927</v>
      </c>
      <c r="L417" s="27" t="s">
        <v>111</v>
      </c>
      <c r="M417" s="14" t="s">
        <v>34</v>
      </c>
      <c r="N417" s="14" t="b">
        <v>0</v>
      </c>
      <c r="O417" s="14"/>
      <c r="P417" s="14"/>
      <c r="Q417" s="14"/>
      <c r="R417" s="14"/>
      <c r="S417" s="14" t="s">
        <v>1928</v>
      </c>
      <c r="T417" s="14" t="s">
        <v>36</v>
      </c>
      <c r="U417" s="17"/>
      <c r="V417" s="14"/>
      <c r="W417" s="14"/>
      <c r="X417" s="18"/>
      <c r="Y417" s="18"/>
      <c r="Z417" s="18"/>
      <c r="AA417" s="19">
        <f t="shared" si="1"/>
        <v>7</v>
      </c>
      <c r="AB417" s="19" t="str">
        <f t="shared" si="2"/>
        <v/>
      </c>
    </row>
    <row r="418" ht="15.75" customHeight="1">
      <c r="A418" s="12">
        <v>45113.0</v>
      </c>
      <c r="B418" s="14" t="s">
        <v>539</v>
      </c>
      <c r="C418" s="14"/>
      <c r="D418" s="13" t="s">
        <v>1929</v>
      </c>
      <c r="E418" s="14"/>
      <c r="F418" s="14"/>
      <c r="G418" s="14"/>
      <c r="H418" s="15" t="s">
        <v>1930</v>
      </c>
      <c r="I418" s="14"/>
      <c r="J418" s="14"/>
      <c r="K418" s="14"/>
      <c r="L418" s="27" t="s">
        <v>111</v>
      </c>
      <c r="M418" s="14" t="s">
        <v>34</v>
      </c>
      <c r="N418" s="14" t="b">
        <v>0</v>
      </c>
      <c r="O418" s="14"/>
      <c r="P418" s="14"/>
      <c r="Q418" s="14"/>
      <c r="R418" s="14"/>
      <c r="S418" s="14" t="s">
        <v>1931</v>
      </c>
      <c r="T418" s="14" t="s">
        <v>36</v>
      </c>
      <c r="U418" s="17"/>
      <c r="V418" s="14"/>
      <c r="W418" s="14"/>
      <c r="X418" s="18"/>
      <c r="Y418" s="18"/>
      <c r="Z418" s="18"/>
      <c r="AA418" s="19">
        <f t="shared" si="1"/>
        <v>7</v>
      </c>
      <c r="AB418" s="19" t="str">
        <f t="shared" si="2"/>
        <v/>
      </c>
    </row>
    <row r="419" ht="15.75" customHeight="1">
      <c r="A419" s="12">
        <v>45113.0</v>
      </c>
      <c r="B419" s="14" t="s">
        <v>539</v>
      </c>
      <c r="C419" s="13" t="s">
        <v>1932</v>
      </c>
      <c r="D419" s="14"/>
      <c r="E419" s="14"/>
      <c r="F419" s="14"/>
      <c r="G419" s="14"/>
      <c r="H419" s="15" t="s">
        <v>1933</v>
      </c>
      <c r="I419" s="14"/>
      <c r="J419" s="14"/>
      <c r="K419" s="14" t="s">
        <v>1934</v>
      </c>
      <c r="L419" s="27" t="s">
        <v>111</v>
      </c>
      <c r="M419" s="14" t="s">
        <v>34</v>
      </c>
      <c r="N419" s="14" t="b">
        <v>0</v>
      </c>
      <c r="O419" s="14"/>
      <c r="P419" s="14"/>
      <c r="Q419" s="14"/>
      <c r="R419" s="14"/>
      <c r="S419" s="14" t="s">
        <v>1931</v>
      </c>
      <c r="T419" s="14" t="s">
        <v>36</v>
      </c>
      <c r="U419" s="17"/>
      <c r="V419" s="14"/>
      <c r="W419" s="14"/>
      <c r="X419" s="18"/>
      <c r="Y419" s="18"/>
      <c r="Z419" s="18"/>
      <c r="AA419" s="19">
        <f t="shared" si="1"/>
        <v>7</v>
      </c>
      <c r="AB419" s="19" t="str">
        <f t="shared" si="2"/>
        <v/>
      </c>
    </row>
    <row r="420" ht="15.75" customHeight="1">
      <c r="A420" s="12">
        <v>45113.0</v>
      </c>
      <c r="B420" s="14" t="s">
        <v>539</v>
      </c>
      <c r="C420" s="14" t="s">
        <v>1935</v>
      </c>
      <c r="D420" s="14" t="s">
        <v>1936</v>
      </c>
      <c r="E420" s="13">
        <v>7.0</v>
      </c>
      <c r="F420" s="14"/>
      <c r="G420" s="14"/>
      <c r="H420" s="15" t="s">
        <v>1937</v>
      </c>
      <c r="I420" s="14"/>
      <c r="J420" s="14"/>
      <c r="K420" s="14" t="s">
        <v>1796</v>
      </c>
      <c r="L420" s="27" t="s">
        <v>111</v>
      </c>
      <c r="M420" s="14" t="s">
        <v>34</v>
      </c>
      <c r="N420" s="14" t="b">
        <v>0</v>
      </c>
      <c r="O420" s="14"/>
      <c r="P420" s="14"/>
      <c r="Q420" s="14"/>
      <c r="R420" s="14"/>
      <c r="S420" s="14" t="s">
        <v>1938</v>
      </c>
      <c r="T420" s="14" t="s">
        <v>36</v>
      </c>
      <c r="U420" s="17"/>
      <c r="V420" s="14"/>
      <c r="W420" s="14"/>
      <c r="X420" s="18"/>
      <c r="Y420" s="18"/>
      <c r="Z420" s="18"/>
      <c r="AA420" s="19">
        <f t="shared" si="1"/>
        <v>7</v>
      </c>
      <c r="AB420" s="19" t="str">
        <f t="shared" si="2"/>
        <v/>
      </c>
    </row>
    <row r="421" ht="15.75" customHeight="1">
      <c r="A421" s="12">
        <v>45113.0</v>
      </c>
      <c r="B421" s="14" t="s">
        <v>539</v>
      </c>
      <c r="C421" s="14" t="s">
        <v>1939</v>
      </c>
      <c r="D421" s="14" t="s">
        <v>1940</v>
      </c>
      <c r="E421" s="13">
        <v>7.0</v>
      </c>
      <c r="F421" s="14"/>
      <c r="G421" s="14"/>
      <c r="H421" s="15" t="s">
        <v>1941</v>
      </c>
      <c r="I421" s="14"/>
      <c r="J421" s="14"/>
      <c r="K421" s="14" t="s">
        <v>1796</v>
      </c>
      <c r="L421" s="27" t="s">
        <v>111</v>
      </c>
      <c r="M421" s="14" t="s">
        <v>13</v>
      </c>
      <c r="N421" s="13" t="b">
        <v>1</v>
      </c>
      <c r="O421" s="13" t="s">
        <v>1942</v>
      </c>
      <c r="P421" s="13" t="s">
        <v>69</v>
      </c>
      <c r="Q421" s="14"/>
      <c r="R421" s="14"/>
      <c r="S421" s="14" t="s">
        <v>1943</v>
      </c>
      <c r="T421" s="14" t="s">
        <v>36</v>
      </c>
      <c r="U421" s="17"/>
      <c r="V421" s="14"/>
      <c r="W421" s="14"/>
      <c r="X421" s="18"/>
      <c r="Y421" s="18"/>
      <c r="Z421" s="18"/>
      <c r="AA421" s="19">
        <f t="shared" si="1"/>
        <v>7</v>
      </c>
      <c r="AB421" s="19" t="str">
        <f t="shared" si="2"/>
        <v/>
      </c>
    </row>
    <row r="422" ht="15.75" customHeight="1">
      <c r="A422" s="12">
        <v>45113.0</v>
      </c>
      <c r="B422" s="14" t="s">
        <v>539</v>
      </c>
      <c r="C422" s="14"/>
      <c r="D422" s="13" t="s">
        <v>1944</v>
      </c>
      <c r="E422" s="14"/>
      <c r="F422" s="14"/>
      <c r="G422" s="14"/>
      <c r="H422" s="15" t="s">
        <v>1945</v>
      </c>
      <c r="I422" s="14"/>
      <c r="J422" s="14"/>
      <c r="K422" s="14" t="s">
        <v>1796</v>
      </c>
      <c r="L422" s="27" t="s">
        <v>111</v>
      </c>
      <c r="M422" s="14" t="s">
        <v>216</v>
      </c>
      <c r="N422" s="14" t="b">
        <v>0</v>
      </c>
      <c r="O422" s="14"/>
      <c r="P422" s="14"/>
      <c r="Q422" s="14"/>
      <c r="R422" s="14"/>
      <c r="S422" s="14" t="s">
        <v>1946</v>
      </c>
      <c r="T422" s="13" t="s">
        <v>129</v>
      </c>
      <c r="U422" s="17"/>
      <c r="V422" s="14"/>
      <c r="W422" s="14"/>
      <c r="X422" s="18"/>
      <c r="Y422" s="18"/>
      <c r="Z422" s="18"/>
      <c r="AA422" s="19">
        <f t="shared" si="1"/>
        <v>7</v>
      </c>
      <c r="AB422" s="19" t="str">
        <f t="shared" si="2"/>
        <v/>
      </c>
    </row>
    <row r="423" ht="15.75" customHeight="1">
      <c r="A423" s="12">
        <v>45113.0</v>
      </c>
      <c r="B423" s="14" t="s">
        <v>539</v>
      </c>
      <c r="C423" s="14"/>
      <c r="D423" s="13" t="s">
        <v>1947</v>
      </c>
      <c r="E423" s="14"/>
      <c r="F423" s="14"/>
      <c r="G423" s="14"/>
      <c r="H423" s="15" t="s">
        <v>1948</v>
      </c>
      <c r="I423" s="14"/>
      <c r="J423" s="14"/>
      <c r="K423" s="14" t="s">
        <v>1796</v>
      </c>
      <c r="L423" s="27" t="s">
        <v>111</v>
      </c>
      <c r="M423" s="14" t="s">
        <v>216</v>
      </c>
      <c r="N423" s="14" t="b">
        <v>0</v>
      </c>
      <c r="O423" s="14"/>
      <c r="P423" s="14"/>
      <c r="Q423" s="14"/>
      <c r="R423" s="14"/>
      <c r="S423" s="14" t="s">
        <v>1946</v>
      </c>
      <c r="T423" s="13" t="s">
        <v>129</v>
      </c>
      <c r="U423" s="17"/>
      <c r="V423" s="14"/>
      <c r="W423" s="14"/>
      <c r="X423" s="18"/>
      <c r="Y423" s="18"/>
      <c r="Z423" s="18"/>
      <c r="AA423" s="19">
        <f t="shared" si="1"/>
        <v>7</v>
      </c>
      <c r="AB423" s="19" t="str">
        <f t="shared" si="2"/>
        <v/>
      </c>
    </row>
    <row r="424" ht="15.75" customHeight="1">
      <c r="A424" s="12">
        <v>45113.0</v>
      </c>
      <c r="B424" s="14" t="s">
        <v>539</v>
      </c>
      <c r="C424" s="14" t="s">
        <v>1949</v>
      </c>
      <c r="D424" s="14"/>
      <c r="E424" s="14"/>
      <c r="F424" s="14"/>
      <c r="G424" s="14"/>
      <c r="H424" s="15" t="s">
        <v>1950</v>
      </c>
      <c r="I424" s="14"/>
      <c r="J424" s="14"/>
      <c r="K424" s="14" t="s">
        <v>1832</v>
      </c>
      <c r="L424" s="27" t="s">
        <v>48</v>
      </c>
      <c r="M424" s="14" t="s">
        <v>1484</v>
      </c>
      <c r="N424" s="14" t="b">
        <v>0</v>
      </c>
      <c r="O424" s="14"/>
      <c r="P424" s="14"/>
      <c r="Q424" s="14"/>
      <c r="R424" s="14"/>
      <c r="S424" s="14" t="s">
        <v>1951</v>
      </c>
      <c r="T424" s="13" t="s">
        <v>129</v>
      </c>
      <c r="U424" s="17">
        <v>45115.0</v>
      </c>
      <c r="V424" s="14"/>
      <c r="W424" s="14"/>
      <c r="X424" s="18"/>
      <c r="Y424" s="18"/>
      <c r="Z424" s="18"/>
      <c r="AA424" s="19">
        <f t="shared" si="1"/>
        <v>7</v>
      </c>
      <c r="AB424" s="19" t="str">
        <f t="shared" si="2"/>
        <v/>
      </c>
    </row>
    <row r="425" ht="15.75" customHeight="1">
      <c r="A425" s="12">
        <v>45113.0</v>
      </c>
      <c r="B425" s="14" t="s">
        <v>539</v>
      </c>
      <c r="C425" s="14" t="s">
        <v>1952</v>
      </c>
      <c r="D425" s="14" t="s">
        <v>1953</v>
      </c>
      <c r="E425" s="14"/>
      <c r="F425" s="14"/>
      <c r="G425" s="14"/>
      <c r="H425" s="15" t="s">
        <v>1954</v>
      </c>
      <c r="I425" s="14"/>
      <c r="J425" s="14"/>
      <c r="K425" s="14"/>
      <c r="L425" s="27" t="s">
        <v>48</v>
      </c>
      <c r="M425" s="14" t="s">
        <v>565</v>
      </c>
      <c r="N425" s="14" t="b">
        <v>0</v>
      </c>
      <c r="O425" s="14"/>
      <c r="P425" s="14"/>
      <c r="Q425" s="14"/>
      <c r="R425" s="14"/>
      <c r="S425" s="14" t="s">
        <v>1955</v>
      </c>
      <c r="T425" s="14" t="s">
        <v>36</v>
      </c>
      <c r="U425" s="17">
        <v>45117.0</v>
      </c>
      <c r="V425" s="14"/>
      <c r="W425" s="14"/>
      <c r="X425" s="18"/>
      <c r="Y425" s="18"/>
      <c r="Z425" s="18"/>
      <c r="AA425" s="19">
        <f t="shared" si="1"/>
        <v>7</v>
      </c>
      <c r="AB425" s="19" t="str">
        <f t="shared" si="2"/>
        <v/>
      </c>
    </row>
    <row r="426" ht="15.75" customHeight="1">
      <c r="A426" s="12">
        <v>45113.0</v>
      </c>
      <c r="B426" s="14" t="s">
        <v>539</v>
      </c>
      <c r="C426" s="14" t="s">
        <v>1956</v>
      </c>
      <c r="D426" s="14"/>
      <c r="E426" s="14"/>
      <c r="F426" s="14"/>
      <c r="G426" s="14"/>
      <c r="H426" s="15" t="s">
        <v>1957</v>
      </c>
      <c r="I426" s="14"/>
      <c r="J426" s="14"/>
      <c r="K426" s="14" t="s">
        <v>1796</v>
      </c>
      <c r="L426" s="27" t="s">
        <v>48</v>
      </c>
      <c r="M426" s="14" t="s">
        <v>34</v>
      </c>
      <c r="N426" s="14" t="b">
        <v>0</v>
      </c>
      <c r="O426" s="14"/>
      <c r="P426" s="14"/>
      <c r="Q426" s="14"/>
      <c r="R426" s="14"/>
      <c r="S426" s="14" t="s">
        <v>1958</v>
      </c>
      <c r="T426" s="14" t="s">
        <v>36</v>
      </c>
      <c r="U426" s="17"/>
      <c r="V426" s="14"/>
      <c r="W426" s="14"/>
      <c r="X426" s="18"/>
      <c r="Y426" s="18"/>
      <c r="Z426" s="18"/>
      <c r="AA426" s="19">
        <f t="shared" si="1"/>
        <v>7</v>
      </c>
      <c r="AB426" s="19" t="str">
        <f t="shared" si="2"/>
        <v/>
      </c>
    </row>
    <row r="427" ht="15.75" customHeight="1">
      <c r="A427" s="12">
        <v>45113.0</v>
      </c>
      <c r="B427" s="14" t="s">
        <v>539</v>
      </c>
      <c r="C427" s="14" t="s">
        <v>1959</v>
      </c>
      <c r="D427" s="14"/>
      <c r="E427" s="14"/>
      <c r="F427" s="14"/>
      <c r="G427" s="14"/>
      <c r="H427" s="15" t="s">
        <v>1960</v>
      </c>
      <c r="I427" s="14"/>
      <c r="J427" s="14"/>
      <c r="K427" s="14" t="s">
        <v>1796</v>
      </c>
      <c r="L427" s="27" t="s">
        <v>48</v>
      </c>
      <c r="M427" s="14" t="s">
        <v>565</v>
      </c>
      <c r="N427" s="14" t="b">
        <v>0</v>
      </c>
      <c r="O427" s="14"/>
      <c r="P427" s="14"/>
      <c r="Q427" s="14"/>
      <c r="R427" s="14"/>
      <c r="S427" s="14" t="s">
        <v>1961</v>
      </c>
      <c r="T427" s="14" t="s">
        <v>36</v>
      </c>
      <c r="U427" s="17"/>
      <c r="V427" s="14"/>
      <c r="W427" s="14"/>
      <c r="X427" s="18"/>
      <c r="Y427" s="18"/>
      <c r="Z427" s="18"/>
      <c r="AA427" s="19">
        <f t="shared" si="1"/>
        <v>7</v>
      </c>
      <c r="AB427" s="19" t="str">
        <f t="shared" si="2"/>
        <v/>
      </c>
    </row>
    <row r="428" ht="15.75" customHeight="1">
      <c r="A428" s="12">
        <v>45113.0</v>
      </c>
      <c r="B428" s="14" t="s">
        <v>539</v>
      </c>
      <c r="C428" s="14" t="s">
        <v>1962</v>
      </c>
      <c r="D428" s="14" t="s">
        <v>1963</v>
      </c>
      <c r="E428" s="14"/>
      <c r="F428" s="14"/>
      <c r="G428" s="14"/>
      <c r="H428" s="15" t="s">
        <v>1964</v>
      </c>
      <c r="I428" s="14"/>
      <c r="J428" s="14"/>
      <c r="K428" s="14" t="s">
        <v>1796</v>
      </c>
      <c r="L428" s="27" t="s">
        <v>48</v>
      </c>
      <c r="M428" s="14" t="s">
        <v>158</v>
      </c>
      <c r="N428" s="14" t="b">
        <v>0</v>
      </c>
      <c r="O428" s="14"/>
      <c r="P428" s="14"/>
      <c r="Q428" s="14"/>
      <c r="R428" s="14"/>
      <c r="S428" s="14" t="s">
        <v>1965</v>
      </c>
      <c r="T428" s="13" t="s">
        <v>229</v>
      </c>
      <c r="U428" s="17">
        <v>45127.0</v>
      </c>
      <c r="V428" s="14"/>
      <c r="W428" s="14"/>
      <c r="X428" s="18"/>
      <c r="Y428" s="18"/>
      <c r="Z428" s="18"/>
      <c r="AA428" s="19">
        <f t="shared" si="1"/>
        <v>7</v>
      </c>
      <c r="AB428" s="19" t="str">
        <f t="shared" si="2"/>
        <v/>
      </c>
    </row>
    <row r="429" ht="15.75" customHeight="1">
      <c r="A429" s="12">
        <v>45113.0</v>
      </c>
      <c r="B429" s="14" t="s">
        <v>539</v>
      </c>
      <c r="C429" s="14"/>
      <c r="D429" s="14" t="s">
        <v>1966</v>
      </c>
      <c r="E429" s="14"/>
      <c r="F429" s="14"/>
      <c r="G429" s="14"/>
      <c r="H429" s="15" t="s">
        <v>1967</v>
      </c>
      <c r="I429" s="14"/>
      <c r="J429" s="14"/>
      <c r="K429" s="14" t="s">
        <v>1968</v>
      </c>
      <c r="L429" s="27" t="s">
        <v>48</v>
      </c>
      <c r="M429" s="14" t="s">
        <v>34</v>
      </c>
      <c r="N429" s="14" t="b">
        <v>0</v>
      </c>
      <c r="O429" s="14"/>
      <c r="P429" s="14"/>
      <c r="Q429" s="14"/>
      <c r="R429" s="14"/>
      <c r="S429" s="14" t="s">
        <v>1969</v>
      </c>
      <c r="T429" s="14" t="s">
        <v>36</v>
      </c>
      <c r="U429" s="17"/>
      <c r="V429" s="14"/>
      <c r="W429" s="14"/>
      <c r="X429" s="18"/>
      <c r="Y429" s="18"/>
      <c r="Z429" s="18"/>
      <c r="AA429" s="19">
        <f t="shared" si="1"/>
        <v>7</v>
      </c>
      <c r="AB429" s="19" t="str">
        <f t="shared" si="2"/>
        <v/>
      </c>
    </row>
    <row r="430" ht="15.75" customHeight="1">
      <c r="A430" s="12">
        <v>45113.0</v>
      </c>
      <c r="B430" s="14" t="s">
        <v>539</v>
      </c>
      <c r="C430" s="14" t="s">
        <v>1970</v>
      </c>
      <c r="D430" s="14" t="s">
        <v>1971</v>
      </c>
      <c r="E430" s="14"/>
      <c r="F430" s="14"/>
      <c r="G430" s="14"/>
      <c r="H430" s="15" t="s">
        <v>1972</v>
      </c>
      <c r="I430" s="14"/>
      <c r="J430" s="14"/>
      <c r="K430" s="14" t="s">
        <v>1973</v>
      </c>
      <c r="L430" s="27" t="s">
        <v>48</v>
      </c>
      <c r="M430" s="14" t="s">
        <v>216</v>
      </c>
      <c r="N430" s="14" t="b">
        <v>0</v>
      </c>
      <c r="O430" s="14"/>
      <c r="P430" s="14"/>
      <c r="Q430" s="14"/>
      <c r="R430" s="14"/>
      <c r="S430" s="14" t="s">
        <v>1974</v>
      </c>
      <c r="T430" s="13" t="s">
        <v>129</v>
      </c>
      <c r="U430" s="17"/>
      <c r="V430" s="14"/>
      <c r="W430" s="14"/>
      <c r="X430" s="18"/>
      <c r="Y430" s="18"/>
      <c r="Z430" s="18"/>
      <c r="AA430" s="19">
        <f t="shared" si="1"/>
        <v>7</v>
      </c>
      <c r="AB430" s="19" t="str">
        <f t="shared" si="2"/>
        <v/>
      </c>
    </row>
    <row r="431" ht="15.75" customHeight="1">
      <c r="A431" s="12">
        <v>45113.0</v>
      </c>
      <c r="B431" s="13" t="s">
        <v>28</v>
      </c>
      <c r="C431" s="14" t="s">
        <v>1975</v>
      </c>
      <c r="D431" s="14"/>
      <c r="E431" s="14"/>
      <c r="F431" s="14"/>
      <c r="G431" s="14"/>
      <c r="H431" s="60" t="s">
        <v>1976</v>
      </c>
      <c r="I431" s="14"/>
      <c r="J431" s="14"/>
      <c r="K431" s="14"/>
      <c r="L431" s="14" t="s">
        <v>48</v>
      </c>
      <c r="M431" s="14" t="s">
        <v>565</v>
      </c>
      <c r="N431" s="14" t="b">
        <v>0</v>
      </c>
      <c r="O431" s="14"/>
      <c r="P431" s="14"/>
      <c r="Q431" s="14"/>
      <c r="R431" s="14"/>
      <c r="S431" s="14" t="s">
        <v>1955</v>
      </c>
      <c r="T431" s="14" t="s">
        <v>36</v>
      </c>
      <c r="U431" s="17"/>
      <c r="V431" s="14"/>
      <c r="W431" s="14"/>
      <c r="X431" s="18"/>
      <c r="Y431" s="18"/>
      <c r="Z431" s="18"/>
      <c r="AA431" s="19">
        <f t="shared" si="1"/>
        <v>7</v>
      </c>
      <c r="AB431" s="19" t="str">
        <f t="shared" si="2"/>
        <v/>
      </c>
    </row>
    <row r="432" ht="15.75" customHeight="1">
      <c r="A432" s="12">
        <v>45066.0</v>
      </c>
      <c r="B432" s="13" t="s">
        <v>28</v>
      </c>
      <c r="C432" s="14" t="s">
        <v>1977</v>
      </c>
      <c r="D432" s="14"/>
      <c r="E432" s="13">
        <v>10.0</v>
      </c>
      <c r="F432" s="14"/>
      <c r="G432" s="14"/>
      <c r="H432" s="60" t="s">
        <v>1978</v>
      </c>
      <c r="I432" s="14"/>
      <c r="J432" s="14"/>
      <c r="K432" s="13" t="s">
        <v>1979</v>
      </c>
      <c r="L432" s="14" t="s">
        <v>111</v>
      </c>
      <c r="M432" s="14" t="s">
        <v>13</v>
      </c>
      <c r="N432" s="14" t="b">
        <v>1</v>
      </c>
      <c r="O432" s="13" t="s">
        <v>1980</v>
      </c>
      <c r="P432" s="13" t="s">
        <v>42</v>
      </c>
      <c r="Q432" s="14"/>
      <c r="R432" s="14"/>
      <c r="S432" s="136" t="s">
        <v>1981</v>
      </c>
      <c r="T432" s="13" t="s">
        <v>129</v>
      </c>
      <c r="U432" s="17">
        <v>45124.0</v>
      </c>
      <c r="V432" s="14"/>
      <c r="W432" s="14"/>
      <c r="X432" s="18"/>
      <c r="Y432" s="18"/>
      <c r="Z432" s="18"/>
      <c r="AA432" s="19">
        <f t="shared" si="1"/>
        <v>5</v>
      </c>
      <c r="AB432" s="19" t="str">
        <f t="shared" si="2"/>
        <v/>
      </c>
    </row>
    <row r="433" ht="15.75" customHeight="1">
      <c r="A433" s="12">
        <v>45093.0</v>
      </c>
      <c r="B433" s="14" t="s">
        <v>84</v>
      </c>
      <c r="C433" s="14" t="s">
        <v>1982</v>
      </c>
      <c r="D433" s="14" t="s">
        <v>1983</v>
      </c>
      <c r="E433" s="13">
        <v>14.0</v>
      </c>
      <c r="F433" s="14"/>
      <c r="G433" s="14"/>
      <c r="H433" s="15" t="s">
        <v>1984</v>
      </c>
      <c r="I433" s="14"/>
      <c r="J433" s="14"/>
      <c r="K433" s="14" t="s">
        <v>1985</v>
      </c>
      <c r="L433" s="14" t="s">
        <v>111</v>
      </c>
      <c r="M433" s="14" t="s">
        <v>13</v>
      </c>
      <c r="N433" s="14" t="b">
        <v>1</v>
      </c>
      <c r="O433" s="13" t="s">
        <v>1986</v>
      </c>
      <c r="P433" s="13" t="s">
        <v>42</v>
      </c>
      <c r="Q433" s="14"/>
      <c r="R433" s="14"/>
      <c r="S433" s="14" t="s">
        <v>1987</v>
      </c>
      <c r="T433" s="13" t="s">
        <v>129</v>
      </c>
      <c r="U433" s="17">
        <v>45169.0</v>
      </c>
      <c r="V433" s="14"/>
      <c r="W433" s="14"/>
      <c r="X433" s="18"/>
      <c r="Y433" s="18"/>
      <c r="Z433" s="18"/>
      <c r="AA433" s="19">
        <f t="shared" si="1"/>
        <v>6</v>
      </c>
      <c r="AB433" s="19" t="str">
        <f t="shared" si="2"/>
        <v/>
      </c>
    </row>
    <row r="434" ht="15.75" customHeight="1">
      <c r="A434" s="12">
        <v>45113.0</v>
      </c>
      <c r="B434" s="13" t="s">
        <v>28</v>
      </c>
      <c r="C434" s="14" t="s">
        <v>1988</v>
      </c>
      <c r="D434" s="14" t="s">
        <v>1989</v>
      </c>
      <c r="E434" s="13">
        <v>12.0</v>
      </c>
      <c r="F434" s="14"/>
      <c r="G434" s="14"/>
      <c r="H434" s="57" t="s">
        <v>1990</v>
      </c>
      <c r="I434" s="14"/>
      <c r="J434" s="14"/>
      <c r="K434" s="14" t="s">
        <v>1991</v>
      </c>
      <c r="L434" s="14" t="s">
        <v>111</v>
      </c>
      <c r="M434" s="14" t="s">
        <v>565</v>
      </c>
      <c r="N434" s="14" t="b">
        <v>0</v>
      </c>
      <c r="O434" s="14"/>
      <c r="P434" s="14"/>
      <c r="Q434" s="14"/>
      <c r="R434" s="14"/>
      <c r="S434" s="14" t="s">
        <v>1992</v>
      </c>
      <c r="T434" s="13" t="s">
        <v>129</v>
      </c>
      <c r="U434" s="17"/>
      <c r="V434" s="14"/>
      <c r="W434" s="14"/>
      <c r="X434" s="18"/>
      <c r="Y434" s="18"/>
      <c r="Z434" s="18"/>
      <c r="AA434" s="19">
        <f t="shared" si="1"/>
        <v>7</v>
      </c>
      <c r="AB434" s="19" t="str">
        <f t="shared" si="2"/>
        <v/>
      </c>
    </row>
    <row r="435" ht="15.75" customHeight="1">
      <c r="A435" s="12">
        <v>45113.0</v>
      </c>
      <c r="B435" s="13" t="s">
        <v>28</v>
      </c>
      <c r="C435" s="14" t="s">
        <v>1993</v>
      </c>
      <c r="D435" s="14"/>
      <c r="E435" s="13">
        <v>9.0</v>
      </c>
      <c r="F435" s="14">
        <v>4.0</v>
      </c>
      <c r="G435" s="14"/>
      <c r="H435" s="15" t="s">
        <v>1994</v>
      </c>
      <c r="I435" s="14"/>
      <c r="J435" s="14"/>
      <c r="K435" s="14" t="s">
        <v>289</v>
      </c>
      <c r="L435" s="14" t="s">
        <v>48</v>
      </c>
      <c r="M435" s="14" t="s">
        <v>565</v>
      </c>
      <c r="N435" s="14" t="b">
        <v>0</v>
      </c>
      <c r="O435" s="14"/>
      <c r="P435" s="14"/>
      <c r="Q435" s="14"/>
      <c r="R435" s="14"/>
      <c r="S435" s="14" t="s">
        <v>1995</v>
      </c>
      <c r="T435" s="13" t="s">
        <v>129</v>
      </c>
      <c r="U435" s="17">
        <v>45122.0</v>
      </c>
      <c r="V435" s="14"/>
      <c r="W435" s="14"/>
      <c r="X435" s="18"/>
      <c r="Y435" s="18"/>
      <c r="Z435" s="18"/>
      <c r="AA435" s="19">
        <f t="shared" si="1"/>
        <v>7</v>
      </c>
      <c r="AB435" s="19" t="str">
        <f t="shared" si="2"/>
        <v/>
      </c>
    </row>
    <row r="436" ht="15.75" customHeight="1">
      <c r="A436" s="12">
        <v>45114.0</v>
      </c>
      <c r="B436" s="14" t="s">
        <v>1996</v>
      </c>
      <c r="C436" s="14"/>
      <c r="D436" s="14" t="s">
        <v>1284</v>
      </c>
      <c r="E436" s="13">
        <v>12.0</v>
      </c>
      <c r="F436" s="14"/>
      <c r="G436" s="14"/>
      <c r="H436" s="15" t="s">
        <v>1997</v>
      </c>
      <c r="I436" s="14"/>
      <c r="J436" s="14"/>
      <c r="K436" s="14"/>
      <c r="L436" s="14" t="s">
        <v>48</v>
      </c>
      <c r="M436" s="14" t="s">
        <v>565</v>
      </c>
      <c r="N436" s="14" t="b">
        <v>0</v>
      </c>
      <c r="O436" s="14"/>
      <c r="P436" s="14"/>
      <c r="Q436" s="14"/>
      <c r="R436" s="14"/>
      <c r="S436" s="14" t="s">
        <v>1998</v>
      </c>
      <c r="T436" s="13" t="s">
        <v>229</v>
      </c>
      <c r="U436" s="17">
        <v>45122.0</v>
      </c>
      <c r="V436" s="145">
        <v>45117.0</v>
      </c>
      <c r="W436" s="24" t="s">
        <v>575</v>
      </c>
      <c r="X436" s="146">
        <v>8750000.0</v>
      </c>
      <c r="Y436" s="146">
        <f>X436-Z436</f>
        <v>800000</v>
      </c>
      <c r="Z436" s="146">
        <v>7950000.0</v>
      </c>
      <c r="AA436" s="19">
        <f t="shared" si="1"/>
        <v>7</v>
      </c>
      <c r="AB436" s="19" t="str">
        <f t="shared" si="2"/>
        <v/>
      </c>
    </row>
    <row r="437" ht="15.75" customHeight="1">
      <c r="A437" s="147">
        <v>45114.0</v>
      </c>
      <c r="B437" s="13" t="s">
        <v>28</v>
      </c>
      <c r="C437" s="58" t="s">
        <v>1999</v>
      </c>
      <c r="D437" s="58" t="s">
        <v>2000</v>
      </c>
      <c r="E437" s="77">
        <v>6.0</v>
      </c>
      <c r="F437" s="58" t="s">
        <v>419</v>
      </c>
      <c r="G437" s="58"/>
      <c r="H437" s="148" t="s">
        <v>2001</v>
      </c>
      <c r="I437" s="58"/>
      <c r="J437" s="58"/>
      <c r="K437" s="58" t="s">
        <v>2002</v>
      </c>
      <c r="L437" s="58" t="s">
        <v>48</v>
      </c>
      <c r="M437" s="58" t="s">
        <v>67</v>
      </c>
      <c r="N437" s="14" t="b">
        <v>1</v>
      </c>
      <c r="O437" s="77" t="s">
        <v>2003</v>
      </c>
      <c r="P437" s="13" t="s">
        <v>69</v>
      </c>
      <c r="Q437" s="24" t="s">
        <v>91</v>
      </c>
      <c r="R437" s="58"/>
      <c r="S437" s="77" t="s">
        <v>2004</v>
      </c>
      <c r="T437" s="24" t="s">
        <v>72</v>
      </c>
      <c r="U437" s="145"/>
      <c r="V437" s="14"/>
      <c r="W437" s="14"/>
      <c r="X437" s="18"/>
      <c r="Y437" s="18"/>
      <c r="Z437" s="18"/>
      <c r="AA437" s="19">
        <f t="shared" si="1"/>
        <v>7</v>
      </c>
      <c r="AB437" s="19">
        <f t="shared" si="2"/>
        <v>7</v>
      </c>
    </row>
    <row r="438" ht="15.75" customHeight="1">
      <c r="A438" s="12">
        <v>45095.0</v>
      </c>
      <c r="B438" s="13" t="s">
        <v>28</v>
      </c>
      <c r="C438" s="14" t="s">
        <v>2005</v>
      </c>
      <c r="D438" s="14" t="s">
        <v>2006</v>
      </c>
      <c r="E438" s="13">
        <v>10.0</v>
      </c>
      <c r="F438" s="14" t="s">
        <v>115</v>
      </c>
      <c r="G438" s="14"/>
      <c r="H438" s="42" t="s">
        <v>2007</v>
      </c>
      <c r="I438" s="14"/>
      <c r="J438" s="14"/>
      <c r="K438" s="13" t="s">
        <v>2008</v>
      </c>
      <c r="L438" s="14" t="s">
        <v>111</v>
      </c>
      <c r="M438" s="14" t="s">
        <v>34</v>
      </c>
      <c r="N438" s="14" t="b">
        <v>0</v>
      </c>
      <c r="O438" s="14"/>
      <c r="P438" s="14"/>
      <c r="Q438" s="14"/>
      <c r="R438" s="14"/>
      <c r="S438" s="14" t="s">
        <v>2009</v>
      </c>
      <c r="T438" s="13" t="s">
        <v>229</v>
      </c>
      <c r="U438" s="17"/>
      <c r="V438" s="32">
        <v>45123.0</v>
      </c>
      <c r="W438" s="24" t="s">
        <v>230</v>
      </c>
      <c r="X438" s="25">
        <v>2558000.0</v>
      </c>
      <c r="Y438" s="25">
        <f>X438-Z438</f>
        <v>0</v>
      </c>
      <c r="Z438" s="25">
        <v>2558000.0</v>
      </c>
      <c r="AA438" s="19">
        <f t="shared" si="1"/>
        <v>6</v>
      </c>
      <c r="AB438" s="19" t="str">
        <f t="shared" si="2"/>
        <v/>
      </c>
    </row>
    <row r="439" ht="15.75" customHeight="1">
      <c r="A439" s="26">
        <v>45114.0</v>
      </c>
      <c r="B439" s="13" t="s">
        <v>28</v>
      </c>
      <c r="C439" s="27" t="s">
        <v>2010</v>
      </c>
      <c r="D439" s="27" t="s">
        <v>2011</v>
      </c>
      <c r="E439" s="24">
        <v>11.0</v>
      </c>
      <c r="F439" s="27">
        <v>6.0</v>
      </c>
      <c r="G439" s="27"/>
      <c r="H439" s="34" t="s">
        <v>2012</v>
      </c>
      <c r="I439" s="27"/>
      <c r="J439" s="27"/>
      <c r="K439" s="27"/>
      <c r="L439" s="27" t="s">
        <v>48</v>
      </c>
      <c r="M439" s="27" t="s">
        <v>67</v>
      </c>
      <c r="N439" s="14" t="b">
        <v>1</v>
      </c>
      <c r="O439" s="24" t="s">
        <v>2013</v>
      </c>
      <c r="P439" s="13" t="s">
        <v>42</v>
      </c>
      <c r="Q439" s="24" t="s">
        <v>238</v>
      </c>
      <c r="R439" s="27"/>
      <c r="S439" s="27" t="s">
        <v>2014</v>
      </c>
      <c r="T439" s="24" t="s">
        <v>72</v>
      </c>
      <c r="U439" s="26"/>
      <c r="V439" s="14"/>
      <c r="W439" s="14"/>
      <c r="X439" s="18"/>
      <c r="Y439" s="18"/>
      <c r="Z439" s="18"/>
      <c r="AA439" s="19">
        <f t="shared" si="1"/>
        <v>7</v>
      </c>
      <c r="AB439" s="19">
        <f t="shared" si="2"/>
        <v>7</v>
      </c>
    </row>
    <row r="440" ht="15.75" customHeight="1">
      <c r="A440" s="12">
        <v>45114.0</v>
      </c>
      <c r="B440" s="13" t="s">
        <v>28</v>
      </c>
      <c r="C440" s="13" t="s">
        <v>2015</v>
      </c>
      <c r="D440" s="14"/>
      <c r="E440" s="13">
        <v>9.0</v>
      </c>
      <c r="F440" s="14">
        <v>3.0</v>
      </c>
      <c r="G440" s="14"/>
      <c r="H440" s="15" t="s">
        <v>2016</v>
      </c>
      <c r="I440" s="14"/>
      <c r="J440" s="14"/>
      <c r="K440" s="14"/>
      <c r="L440" s="14" t="s">
        <v>48</v>
      </c>
      <c r="M440" s="14" t="s">
        <v>34</v>
      </c>
      <c r="N440" s="14" t="b">
        <v>0</v>
      </c>
      <c r="O440" s="14"/>
      <c r="P440" s="14"/>
      <c r="Q440" s="14"/>
      <c r="R440" s="14"/>
      <c r="S440" s="14" t="s">
        <v>2017</v>
      </c>
      <c r="T440" s="14" t="s">
        <v>36</v>
      </c>
      <c r="U440" s="17"/>
      <c r="V440" s="14"/>
      <c r="W440" s="14"/>
      <c r="X440" s="18"/>
      <c r="Y440" s="18"/>
      <c r="Z440" s="18"/>
      <c r="AA440" s="19">
        <f t="shared" si="1"/>
        <v>7</v>
      </c>
      <c r="AB440" s="19" t="str">
        <f t="shared" si="2"/>
        <v/>
      </c>
    </row>
    <row r="441" ht="15.75" customHeight="1">
      <c r="A441" s="12">
        <v>45114.0</v>
      </c>
      <c r="B441" s="14" t="s">
        <v>703</v>
      </c>
      <c r="C441" s="14" t="s">
        <v>2018</v>
      </c>
      <c r="D441" s="14"/>
      <c r="E441" s="14"/>
      <c r="F441" s="14"/>
      <c r="G441" s="14"/>
      <c r="H441" s="15" t="s">
        <v>2019</v>
      </c>
      <c r="I441" s="14"/>
      <c r="J441" s="14"/>
      <c r="K441" s="14"/>
      <c r="L441" s="14" t="s">
        <v>111</v>
      </c>
      <c r="M441" s="14" t="s">
        <v>216</v>
      </c>
      <c r="N441" s="14" t="b">
        <v>0</v>
      </c>
      <c r="O441" s="14"/>
      <c r="P441" s="14"/>
      <c r="Q441" s="14"/>
      <c r="R441" s="14"/>
      <c r="S441" s="14" t="s">
        <v>2020</v>
      </c>
      <c r="T441" s="14" t="s">
        <v>36</v>
      </c>
      <c r="U441" s="17"/>
      <c r="V441" s="32">
        <v>45119.0</v>
      </c>
      <c r="W441" s="24" t="s">
        <v>130</v>
      </c>
      <c r="X441" s="25">
        <v>3062000.0</v>
      </c>
      <c r="Y441" s="25">
        <v>0.0</v>
      </c>
      <c r="Z441" s="25">
        <v>3062000.0</v>
      </c>
      <c r="AA441" s="19">
        <f t="shared" si="1"/>
        <v>7</v>
      </c>
      <c r="AB441" s="19" t="str">
        <f t="shared" si="2"/>
        <v/>
      </c>
    </row>
    <row r="442" ht="15.75" customHeight="1">
      <c r="A442" s="26">
        <v>45114.0</v>
      </c>
      <c r="B442" s="27" t="s">
        <v>84</v>
      </c>
      <c r="C442" s="24" t="s">
        <v>2021</v>
      </c>
      <c r="D442" s="27" t="s">
        <v>2022</v>
      </c>
      <c r="E442" s="24">
        <v>8.0</v>
      </c>
      <c r="F442" s="27"/>
      <c r="G442" s="27"/>
      <c r="H442" s="34" t="s">
        <v>2023</v>
      </c>
      <c r="I442" s="27"/>
      <c r="J442" s="27"/>
      <c r="K442" s="27" t="s">
        <v>2024</v>
      </c>
      <c r="L442" s="27" t="s">
        <v>111</v>
      </c>
      <c r="M442" s="27" t="s">
        <v>67</v>
      </c>
      <c r="N442" s="14" t="b">
        <v>1</v>
      </c>
      <c r="O442" s="24" t="s">
        <v>2025</v>
      </c>
      <c r="P442" s="13" t="s">
        <v>69</v>
      </c>
      <c r="Q442" s="24" t="s">
        <v>91</v>
      </c>
      <c r="R442" s="27" t="s">
        <v>2026</v>
      </c>
      <c r="S442" s="27" t="s">
        <v>2027</v>
      </c>
      <c r="T442" s="24" t="s">
        <v>72</v>
      </c>
      <c r="U442" s="26">
        <v>45132.0</v>
      </c>
      <c r="V442" s="32">
        <v>45119.0</v>
      </c>
      <c r="W442" s="24" t="s">
        <v>407</v>
      </c>
      <c r="X442" s="25">
        <v>3062000.0</v>
      </c>
      <c r="Y442" s="25">
        <f>X442-Z442</f>
        <v>0</v>
      </c>
      <c r="Z442" s="25">
        <v>3062000.0</v>
      </c>
      <c r="AA442" s="19">
        <f t="shared" si="1"/>
        <v>7</v>
      </c>
      <c r="AB442" s="19">
        <f t="shared" si="2"/>
        <v>7</v>
      </c>
    </row>
    <row r="443" ht="15.75" customHeight="1">
      <c r="A443" s="26">
        <v>45114.0</v>
      </c>
      <c r="B443" s="27" t="s">
        <v>84</v>
      </c>
      <c r="C443" s="79" t="s">
        <v>2028</v>
      </c>
      <c r="D443" s="27" t="s">
        <v>2029</v>
      </c>
      <c r="E443" s="24">
        <v>10.0</v>
      </c>
      <c r="F443" s="27">
        <v>5.0</v>
      </c>
      <c r="G443" s="27"/>
      <c r="H443" s="27">
        <v>9.14288348E8</v>
      </c>
      <c r="I443" s="27"/>
      <c r="J443" s="27"/>
      <c r="K443" s="27" t="s">
        <v>2030</v>
      </c>
      <c r="L443" s="27" t="s">
        <v>48</v>
      </c>
      <c r="M443" s="27" t="s">
        <v>67</v>
      </c>
      <c r="N443" s="14" t="b">
        <v>1</v>
      </c>
      <c r="O443" s="24" t="s">
        <v>2031</v>
      </c>
      <c r="P443" s="13" t="s">
        <v>69</v>
      </c>
      <c r="Q443" s="24" t="s">
        <v>91</v>
      </c>
      <c r="R443" s="27"/>
      <c r="S443" s="79" t="s">
        <v>2032</v>
      </c>
      <c r="T443" s="24" t="s">
        <v>72</v>
      </c>
      <c r="U443" s="26"/>
      <c r="V443" s="14"/>
      <c r="W443" s="14"/>
      <c r="X443" s="18"/>
      <c r="Y443" s="18"/>
      <c r="Z443" s="18"/>
      <c r="AA443" s="19">
        <f t="shared" si="1"/>
        <v>7</v>
      </c>
      <c r="AB443" s="19">
        <f t="shared" si="2"/>
        <v>7</v>
      </c>
    </row>
    <row r="444" ht="15.75" customHeight="1">
      <c r="A444" s="12">
        <v>45114.0</v>
      </c>
      <c r="B444" s="14" t="s">
        <v>703</v>
      </c>
      <c r="C444" s="14" t="s">
        <v>2033</v>
      </c>
      <c r="D444" s="14"/>
      <c r="E444" s="14"/>
      <c r="F444" s="14"/>
      <c r="G444" s="14"/>
      <c r="H444" s="15" t="s">
        <v>2034</v>
      </c>
      <c r="I444" s="14"/>
      <c r="J444" s="14"/>
      <c r="K444" s="14" t="s">
        <v>2035</v>
      </c>
      <c r="L444" s="14" t="s">
        <v>48</v>
      </c>
      <c r="M444" s="14" t="s">
        <v>34</v>
      </c>
      <c r="N444" s="14" t="b">
        <v>0</v>
      </c>
      <c r="O444" s="14"/>
      <c r="P444" s="14"/>
      <c r="Q444" s="14"/>
      <c r="R444" s="14"/>
      <c r="S444" s="14" t="s">
        <v>2036</v>
      </c>
      <c r="T444" s="14" t="s">
        <v>36</v>
      </c>
      <c r="U444" s="17"/>
      <c r="V444" s="14"/>
      <c r="W444" s="14"/>
      <c r="X444" s="18"/>
      <c r="Y444" s="18"/>
      <c r="Z444" s="18"/>
      <c r="AA444" s="19">
        <f t="shared" si="1"/>
        <v>7</v>
      </c>
      <c r="AB444" s="19" t="str">
        <f t="shared" si="2"/>
        <v/>
      </c>
    </row>
    <row r="445" ht="15.75" customHeight="1">
      <c r="A445" s="12">
        <v>45114.0</v>
      </c>
      <c r="B445" s="14" t="s">
        <v>703</v>
      </c>
      <c r="C445" s="14" t="s">
        <v>2037</v>
      </c>
      <c r="D445" s="14"/>
      <c r="E445" s="14"/>
      <c r="F445" s="14"/>
      <c r="G445" s="14"/>
      <c r="H445" s="15" t="s">
        <v>2038</v>
      </c>
      <c r="I445" s="14"/>
      <c r="J445" s="14"/>
      <c r="K445" s="14"/>
      <c r="L445" s="14" t="s">
        <v>111</v>
      </c>
      <c r="M445" s="14" t="s">
        <v>565</v>
      </c>
      <c r="N445" s="14" t="b">
        <v>0</v>
      </c>
      <c r="O445" s="14"/>
      <c r="P445" s="14"/>
      <c r="Q445" s="14"/>
      <c r="R445" s="14"/>
      <c r="S445" s="14" t="s">
        <v>2039</v>
      </c>
      <c r="T445" s="13" t="s">
        <v>229</v>
      </c>
      <c r="U445" s="17">
        <v>45119.0</v>
      </c>
      <c r="V445" s="14"/>
      <c r="W445" s="14"/>
      <c r="X445" s="18"/>
      <c r="Y445" s="18"/>
      <c r="Z445" s="18"/>
      <c r="AA445" s="19">
        <f t="shared" si="1"/>
        <v>7</v>
      </c>
      <c r="AB445" s="19" t="str">
        <f t="shared" si="2"/>
        <v/>
      </c>
    </row>
    <row r="446" ht="15.75" customHeight="1">
      <c r="A446" s="12">
        <v>45114.0</v>
      </c>
      <c r="B446" s="14" t="s">
        <v>703</v>
      </c>
      <c r="C446" s="14" t="s">
        <v>2040</v>
      </c>
      <c r="D446" s="14"/>
      <c r="E446" s="14"/>
      <c r="F446" s="14"/>
      <c r="G446" s="14"/>
      <c r="H446" s="15" t="s">
        <v>2041</v>
      </c>
      <c r="I446" s="14"/>
      <c r="J446" s="14"/>
      <c r="K446" s="14"/>
      <c r="L446" s="14" t="s">
        <v>111</v>
      </c>
      <c r="M446" s="14" t="s">
        <v>216</v>
      </c>
      <c r="N446" s="14" t="b">
        <v>0</v>
      </c>
      <c r="O446" s="14"/>
      <c r="P446" s="14"/>
      <c r="Q446" s="14"/>
      <c r="R446" s="14"/>
      <c r="S446" s="14" t="s">
        <v>2042</v>
      </c>
      <c r="T446" s="13" t="s">
        <v>229</v>
      </c>
      <c r="U446" s="17"/>
      <c r="V446" s="14"/>
      <c r="W446" s="14"/>
      <c r="X446" s="18"/>
      <c r="Y446" s="18"/>
      <c r="Z446" s="18"/>
      <c r="AA446" s="19">
        <f t="shared" si="1"/>
        <v>7</v>
      </c>
      <c r="AB446" s="19" t="str">
        <f t="shared" si="2"/>
        <v/>
      </c>
    </row>
    <row r="447" ht="15.75" customHeight="1">
      <c r="A447" s="12">
        <v>45115.0</v>
      </c>
      <c r="B447" s="13" t="s">
        <v>28</v>
      </c>
      <c r="C447" s="37" t="s">
        <v>2043</v>
      </c>
      <c r="D447" s="37" t="s">
        <v>2044</v>
      </c>
      <c r="E447" s="13">
        <v>6.0</v>
      </c>
      <c r="F447" s="14">
        <v>1.0</v>
      </c>
      <c r="G447" s="14"/>
      <c r="H447" s="15" t="s">
        <v>2045</v>
      </c>
      <c r="I447" s="14"/>
      <c r="J447" s="14"/>
      <c r="K447" s="14"/>
      <c r="L447" s="14" t="s">
        <v>48</v>
      </c>
      <c r="M447" s="14" t="s">
        <v>34</v>
      </c>
      <c r="N447" s="14" t="b">
        <v>1</v>
      </c>
      <c r="O447" s="13" t="s">
        <v>2046</v>
      </c>
      <c r="P447" s="13" t="s">
        <v>69</v>
      </c>
      <c r="Q447" s="14"/>
      <c r="R447" s="14"/>
      <c r="S447" s="37" t="s">
        <v>2047</v>
      </c>
      <c r="T447" s="14" t="s">
        <v>36</v>
      </c>
      <c r="U447" s="17"/>
      <c r="V447" s="14"/>
      <c r="W447" s="14"/>
      <c r="X447" s="18"/>
      <c r="Y447" s="18"/>
      <c r="Z447" s="18"/>
      <c r="AA447" s="19">
        <f t="shared" si="1"/>
        <v>7</v>
      </c>
      <c r="AB447" s="19" t="str">
        <f t="shared" si="2"/>
        <v/>
      </c>
    </row>
    <row r="448" ht="15.75" customHeight="1">
      <c r="A448" s="12">
        <v>45116.0</v>
      </c>
      <c r="B448" s="13" t="s">
        <v>28</v>
      </c>
      <c r="C448" s="14" t="s">
        <v>2048</v>
      </c>
      <c r="D448" s="14" t="s">
        <v>2049</v>
      </c>
      <c r="E448" s="14"/>
      <c r="F448" s="14"/>
      <c r="G448" s="14"/>
      <c r="H448" s="15" t="s">
        <v>2050</v>
      </c>
      <c r="I448" s="14"/>
      <c r="J448" s="14"/>
      <c r="K448" s="14"/>
      <c r="L448" s="14" t="s">
        <v>111</v>
      </c>
      <c r="M448" s="14" t="s">
        <v>565</v>
      </c>
      <c r="N448" s="14" t="b">
        <v>0</v>
      </c>
      <c r="O448" s="14"/>
      <c r="P448" s="14"/>
      <c r="Q448" s="14"/>
      <c r="R448" s="14"/>
      <c r="S448" s="15" t="s">
        <v>2051</v>
      </c>
      <c r="T448" s="13" t="s">
        <v>129</v>
      </c>
      <c r="U448" s="17"/>
      <c r="V448" s="14"/>
      <c r="W448" s="14"/>
      <c r="X448" s="18"/>
      <c r="Y448" s="18"/>
      <c r="Z448" s="18"/>
      <c r="AA448" s="19">
        <f t="shared" si="1"/>
        <v>7</v>
      </c>
      <c r="AB448" s="19" t="str">
        <f t="shared" si="2"/>
        <v/>
      </c>
    </row>
    <row r="449" ht="15.75" customHeight="1">
      <c r="A449" s="12">
        <v>45116.0</v>
      </c>
      <c r="B449" s="13" t="s">
        <v>28</v>
      </c>
      <c r="C449" s="14" t="s">
        <v>2052</v>
      </c>
      <c r="D449" s="14" t="s">
        <v>2053</v>
      </c>
      <c r="E449" s="13">
        <v>9.0</v>
      </c>
      <c r="F449" s="14">
        <v>4.0</v>
      </c>
      <c r="G449" s="14"/>
      <c r="H449" s="149" t="s">
        <v>2054</v>
      </c>
      <c r="I449" s="14"/>
      <c r="J449" s="14"/>
      <c r="K449" s="14"/>
      <c r="L449" s="14" t="s">
        <v>48</v>
      </c>
      <c r="M449" s="14" t="s">
        <v>13</v>
      </c>
      <c r="N449" s="14" t="b">
        <v>1</v>
      </c>
      <c r="O449" s="13" t="s">
        <v>2055</v>
      </c>
      <c r="P449" s="13" t="s">
        <v>42</v>
      </c>
      <c r="Q449" s="14"/>
      <c r="R449" s="14"/>
      <c r="S449" s="37" t="s">
        <v>2056</v>
      </c>
      <c r="T449" s="14" t="s">
        <v>36</v>
      </c>
      <c r="U449" s="41"/>
      <c r="V449" s="14"/>
      <c r="W449" s="14"/>
      <c r="X449" s="18"/>
      <c r="Y449" s="18"/>
      <c r="Z449" s="18"/>
      <c r="AA449" s="19">
        <f t="shared" si="1"/>
        <v>7</v>
      </c>
      <c r="AB449" s="19" t="str">
        <f t="shared" si="2"/>
        <v/>
      </c>
    </row>
    <row r="450" ht="15.75" customHeight="1">
      <c r="A450" s="12">
        <v>45116.0</v>
      </c>
      <c r="B450" s="13" t="s">
        <v>28</v>
      </c>
      <c r="C450" s="14" t="s">
        <v>2057</v>
      </c>
      <c r="D450" s="14"/>
      <c r="E450" s="14"/>
      <c r="F450" s="14"/>
      <c r="G450" s="14"/>
      <c r="H450" s="14">
        <v>3.88992212E8</v>
      </c>
      <c r="I450" s="14"/>
      <c r="J450" s="14"/>
      <c r="K450" s="14"/>
      <c r="L450" s="14" t="s">
        <v>48</v>
      </c>
      <c r="M450" s="14" t="s">
        <v>565</v>
      </c>
      <c r="N450" s="14" t="b">
        <v>0</v>
      </c>
      <c r="O450" s="14"/>
      <c r="P450" s="14"/>
      <c r="Q450" s="14"/>
      <c r="R450" s="14"/>
      <c r="S450" s="14" t="s">
        <v>2058</v>
      </c>
      <c r="T450" s="14" t="s">
        <v>36</v>
      </c>
      <c r="U450" s="17">
        <v>45122.0</v>
      </c>
      <c r="V450" s="14"/>
      <c r="W450" s="14"/>
      <c r="X450" s="18"/>
      <c r="Y450" s="18"/>
      <c r="Z450" s="18"/>
      <c r="AA450" s="19">
        <f t="shared" si="1"/>
        <v>7</v>
      </c>
      <c r="AB450" s="19" t="str">
        <f t="shared" si="2"/>
        <v/>
      </c>
    </row>
    <row r="451" ht="15.75" customHeight="1">
      <c r="A451" s="12">
        <v>45117.0</v>
      </c>
      <c r="B451" s="14" t="s">
        <v>539</v>
      </c>
      <c r="C451" s="14" t="s">
        <v>2059</v>
      </c>
      <c r="D451" s="14"/>
      <c r="E451" s="13">
        <v>18.0</v>
      </c>
      <c r="F451" s="14">
        <v>12.0</v>
      </c>
      <c r="G451" s="14"/>
      <c r="H451" s="15" t="s">
        <v>2060</v>
      </c>
      <c r="I451" s="14"/>
      <c r="J451" s="14"/>
      <c r="K451" s="14" t="s">
        <v>2061</v>
      </c>
      <c r="L451" s="14" t="s">
        <v>48</v>
      </c>
      <c r="M451" s="14" t="s">
        <v>565</v>
      </c>
      <c r="N451" s="14" t="b">
        <v>0</v>
      </c>
      <c r="O451" s="14"/>
      <c r="P451" s="14"/>
      <c r="Q451" s="14"/>
      <c r="R451" s="14"/>
      <c r="S451" s="14" t="s">
        <v>2062</v>
      </c>
      <c r="T451" s="14" t="s">
        <v>36</v>
      </c>
      <c r="U451" s="17"/>
      <c r="V451" s="14"/>
      <c r="W451" s="14"/>
      <c r="X451" s="18"/>
      <c r="Y451" s="18"/>
      <c r="Z451" s="18"/>
      <c r="AA451" s="19">
        <f t="shared" si="1"/>
        <v>7</v>
      </c>
      <c r="AB451" s="19" t="str">
        <f t="shared" si="2"/>
        <v/>
      </c>
    </row>
    <row r="452" ht="15.75" customHeight="1">
      <c r="A452" s="12">
        <v>45117.0</v>
      </c>
      <c r="B452" s="14" t="s">
        <v>539</v>
      </c>
      <c r="C452" s="37" t="s">
        <v>2063</v>
      </c>
      <c r="D452" s="37" t="s">
        <v>2064</v>
      </c>
      <c r="E452" s="13">
        <v>11.0</v>
      </c>
      <c r="F452" s="14">
        <v>5.0</v>
      </c>
      <c r="G452" s="14"/>
      <c r="H452" s="15" t="s">
        <v>2065</v>
      </c>
      <c r="I452" s="14"/>
      <c r="J452" s="14"/>
      <c r="K452" s="14" t="s">
        <v>2066</v>
      </c>
      <c r="L452" s="14" t="s">
        <v>48</v>
      </c>
      <c r="M452" s="14" t="s">
        <v>34</v>
      </c>
      <c r="N452" s="14" t="b">
        <v>1</v>
      </c>
      <c r="O452" s="100" t="s">
        <v>2067</v>
      </c>
      <c r="P452" s="13" t="s">
        <v>69</v>
      </c>
      <c r="Q452" s="14"/>
      <c r="R452" s="14"/>
      <c r="S452" s="37" t="s">
        <v>2068</v>
      </c>
      <c r="T452" s="14" t="s">
        <v>36</v>
      </c>
      <c r="U452" s="17"/>
      <c r="V452" s="14"/>
      <c r="W452" s="14"/>
      <c r="X452" s="18"/>
      <c r="Y452" s="18"/>
      <c r="Z452" s="18"/>
      <c r="AA452" s="19">
        <f t="shared" si="1"/>
        <v>7</v>
      </c>
      <c r="AB452" s="19" t="str">
        <f t="shared" si="2"/>
        <v/>
      </c>
    </row>
    <row r="453" ht="15.75" customHeight="1">
      <c r="A453" s="12">
        <v>45117.0</v>
      </c>
      <c r="B453" s="14" t="s">
        <v>539</v>
      </c>
      <c r="C453" s="37" t="s">
        <v>2063</v>
      </c>
      <c r="D453" s="37" t="s">
        <v>2069</v>
      </c>
      <c r="E453" s="13">
        <v>13.0</v>
      </c>
      <c r="F453" s="14">
        <v>7.0</v>
      </c>
      <c r="G453" s="14"/>
      <c r="H453" s="15" t="s">
        <v>2070</v>
      </c>
      <c r="I453" s="14"/>
      <c r="J453" s="14"/>
      <c r="K453" s="14" t="s">
        <v>2071</v>
      </c>
      <c r="L453" s="14" t="s">
        <v>48</v>
      </c>
      <c r="M453" s="14" t="s">
        <v>34</v>
      </c>
      <c r="N453" s="14" t="b">
        <v>1</v>
      </c>
      <c r="O453" s="13" t="s">
        <v>2072</v>
      </c>
      <c r="P453" s="13" t="s">
        <v>69</v>
      </c>
      <c r="Q453" s="14"/>
      <c r="R453" s="14"/>
      <c r="S453" s="37" t="s">
        <v>2073</v>
      </c>
      <c r="T453" s="14" t="s">
        <v>36</v>
      </c>
      <c r="U453" s="17"/>
      <c r="V453" s="14"/>
      <c r="W453" s="14"/>
      <c r="X453" s="18"/>
      <c r="Y453" s="18"/>
      <c r="Z453" s="18"/>
      <c r="AA453" s="19">
        <f t="shared" si="1"/>
        <v>7</v>
      </c>
      <c r="AB453" s="19" t="str">
        <f t="shared" si="2"/>
        <v/>
      </c>
    </row>
    <row r="454" ht="15.75" customHeight="1">
      <c r="A454" s="12">
        <v>45117.0</v>
      </c>
      <c r="B454" s="14" t="s">
        <v>539</v>
      </c>
      <c r="C454" s="14" t="s">
        <v>2074</v>
      </c>
      <c r="D454" s="14"/>
      <c r="E454" s="14"/>
      <c r="F454" s="14"/>
      <c r="G454" s="14"/>
      <c r="H454" s="15" t="s">
        <v>2075</v>
      </c>
      <c r="I454" s="14"/>
      <c r="J454" s="14"/>
      <c r="K454" s="14" t="s">
        <v>2076</v>
      </c>
      <c r="L454" s="14" t="s">
        <v>48</v>
      </c>
      <c r="M454" s="14" t="s">
        <v>216</v>
      </c>
      <c r="N454" s="14" t="b">
        <v>0</v>
      </c>
      <c r="O454" s="14"/>
      <c r="P454" s="14"/>
      <c r="Q454" s="14"/>
      <c r="R454" s="14"/>
      <c r="S454" s="14" t="s">
        <v>2077</v>
      </c>
      <c r="T454" s="14" t="s">
        <v>36</v>
      </c>
      <c r="U454" s="17"/>
      <c r="V454" s="32">
        <v>45121.0</v>
      </c>
      <c r="W454" s="24" t="s">
        <v>407</v>
      </c>
      <c r="X454" s="25">
        <v>6124000.0</v>
      </c>
      <c r="Y454" s="25">
        <f>X454-Z454</f>
        <v>600000</v>
      </c>
      <c r="Z454" s="25">
        <v>5524000.0</v>
      </c>
      <c r="AA454" s="19">
        <f t="shared" si="1"/>
        <v>7</v>
      </c>
      <c r="AB454" s="19" t="str">
        <f t="shared" si="2"/>
        <v/>
      </c>
    </row>
    <row r="455" ht="15.75" customHeight="1">
      <c r="A455" s="26">
        <v>45117.0</v>
      </c>
      <c r="B455" s="27" t="s">
        <v>539</v>
      </c>
      <c r="C455" s="33" t="s">
        <v>2078</v>
      </c>
      <c r="D455" s="27" t="s">
        <v>2079</v>
      </c>
      <c r="E455" s="24">
        <v>12.0</v>
      </c>
      <c r="F455" s="27">
        <v>7.0</v>
      </c>
      <c r="G455" s="27"/>
      <c r="H455" s="34" t="s">
        <v>2080</v>
      </c>
      <c r="I455" s="27"/>
      <c r="J455" s="27"/>
      <c r="K455" s="27"/>
      <c r="L455" s="27" t="s">
        <v>48</v>
      </c>
      <c r="M455" s="27" t="s">
        <v>67</v>
      </c>
      <c r="N455" s="14" t="b">
        <v>1</v>
      </c>
      <c r="O455" s="24" t="s">
        <v>2081</v>
      </c>
      <c r="P455" s="13" t="s">
        <v>42</v>
      </c>
      <c r="Q455" s="24" t="s">
        <v>91</v>
      </c>
      <c r="R455" s="27"/>
      <c r="S455" s="79" t="s">
        <v>2082</v>
      </c>
      <c r="T455" s="24" t="s">
        <v>72</v>
      </c>
      <c r="U455" s="26"/>
      <c r="V455" s="14"/>
      <c r="W455" s="14"/>
      <c r="X455" s="18"/>
      <c r="Y455" s="18"/>
      <c r="Z455" s="18"/>
      <c r="AA455" s="19">
        <f t="shared" si="1"/>
        <v>7</v>
      </c>
      <c r="AB455" s="19">
        <f t="shared" si="2"/>
        <v>7</v>
      </c>
    </row>
    <row r="456" ht="15.75" customHeight="1">
      <c r="A456" s="12">
        <v>45117.0</v>
      </c>
      <c r="B456" s="14" t="s">
        <v>539</v>
      </c>
      <c r="C456" s="14" t="s">
        <v>2083</v>
      </c>
      <c r="D456" s="14"/>
      <c r="E456" s="14"/>
      <c r="F456" s="14"/>
      <c r="G456" s="14"/>
      <c r="H456" s="15" t="s">
        <v>2084</v>
      </c>
      <c r="I456" s="14"/>
      <c r="J456" s="14"/>
      <c r="K456" s="14"/>
      <c r="L456" s="14" t="s">
        <v>48</v>
      </c>
      <c r="M456" s="14" t="s">
        <v>216</v>
      </c>
      <c r="N456" s="14" t="b">
        <v>0</v>
      </c>
      <c r="O456" s="14"/>
      <c r="P456" s="14"/>
      <c r="Q456" s="14"/>
      <c r="R456" s="14"/>
      <c r="S456" s="14" t="s">
        <v>2077</v>
      </c>
      <c r="T456" s="14" t="s">
        <v>36</v>
      </c>
      <c r="U456" s="17"/>
      <c r="V456" s="14"/>
      <c r="W456" s="14"/>
      <c r="X456" s="18"/>
      <c r="Y456" s="18"/>
      <c r="Z456" s="18"/>
      <c r="AA456" s="19">
        <f t="shared" si="1"/>
        <v>7</v>
      </c>
      <c r="AB456" s="19" t="str">
        <f t="shared" si="2"/>
        <v/>
      </c>
    </row>
    <row r="457" ht="15.75" customHeight="1">
      <c r="A457" s="12">
        <v>45117.0</v>
      </c>
      <c r="B457" s="14" t="s">
        <v>539</v>
      </c>
      <c r="C457" s="37" t="s">
        <v>2085</v>
      </c>
      <c r="D457" s="14"/>
      <c r="E457" s="13">
        <v>11.0</v>
      </c>
      <c r="F457" s="14">
        <v>5.0</v>
      </c>
      <c r="G457" s="14"/>
      <c r="H457" s="15" t="s">
        <v>2086</v>
      </c>
      <c r="I457" s="14"/>
      <c r="J457" s="14"/>
      <c r="K457" s="14" t="s">
        <v>2087</v>
      </c>
      <c r="L457" s="14" t="s">
        <v>48</v>
      </c>
      <c r="M457" s="14" t="s">
        <v>565</v>
      </c>
      <c r="N457" s="14" t="b">
        <v>0</v>
      </c>
      <c r="O457" s="14"/>
      <c r="P457" s="14"/>
      <c r="Q457" s="14"/>
      <c r="R457" s="14"/>
      <c r="S457" s="14" t="s">
        <v>2088</v>
      </c>
      <c r="T457" s="13" t="s">
        <v>129</v>
      </c>
      <c r="U457" s="17"/>
      <c r="V457" s="14"/>
      <c r="W457" s="14"/>
      <c r="X457" s="18"/>
      <c r="Y457" s="18"/>
      <c r="Z457" s="18"/>
      <c r="AA457" s="19">
        <f t="shared" si="1"/>
        <v>7</v>
      </c>
      <c r="AB457" s="19" t="str">
        <f t="shared" si="2"/>
        <v/>
      </c>
    </row>
    <row r="458" ht="15.75" customHeight="1">
      <c r="A458" s="12">
        <v>45117.0</v>
      </c>
      <c r="B458" s="14" t="s">
        <v>539</v>
      </c>
      <c r="C458" s="14" t="s">
        <v>2089</v>
      </c>
      <c r="D458" s="14"/>
      <c r="E458" s="14"/>
      <c r="F458" s="14"/>
      <c r="G458" s="14"/>
      <c r="H458" s="15" t="s">
        <v>2090</v>
      </c>
      <c r="I458" s="14"/>
      <c r="J458" s="14"/>
      <c r="K458" s="14" t="s">
        <v>2091</v>
      </c>
      <c r="L458" s="14" t="s">
        <v>48</v>
      </c>
      <c r="M458" s="14" t="s">
        <v>565</v>
      </c>
      <c r="N458" s="14" t="b">
        <v>0</v>
      </c>
      <c r="O458" s="14"/>
      <c r="P458" s="14"/>
      <c r="Q458" s="14"/>
      <c r="R458" s="14"/>
      <c r="S458" s="37" t="s">
        <v>2092</v>
      </c>
      <c r="T458" s="14" t="s">
        <v>36</v>
      </c>
      <c r="U458" s="17"/>
      <c r="V458" s="14"/>
      <c r="W458" s="14"/>
      <c r="X458" s="18"/>
      <c r="Y458" s="18"/>
      <c r="Z458" s="18"/>
      <c r="AA458" s="19">
        <f t="shared" si="1"/>
        <v>7</v>
      </c>
      <c r="AB458" s="19" t="str">
        <f t="shared" si="2"/>
        <v/>
      </c>
    </row>
    <row r="459" ht="15.75" customHeight="1">
      <c r="A459" s="12">
        <v>45117.0</v>
      </c>
      <c r="B459" s="14" t="s">
        <v>539</v>
      </c>
      <c r="C459" s="14" t="s">
        <v>2093</v>
      </c>
      <c r="D459" s="14"/>
      <c r="E459" s="14"/>
      <c r="F459" s="14"/>
      <c r="G459" s="14"/>
      <c r="H459" s="15" t="s">
        <v>2094</v>
      </c>
      <c r="I459" s="14"/>
      <c r="J459" s="14"/>
      <c r="K459" s="14" t="s">
        <v>2095</v>
      </c>
      <c r="L459" s="14" t="s">
        <v>48</v>
      </c>
      <c r="M459" s="14" t="s">
        <v>565</v>
      </c>
      <c r="N459" s="14" t="b">
        <v>0</v>
      </c>
      <c r="O459" s="14"/>
      <c r="P459" s="14"/>
      <c r="Q459" s="14"/>
      <c r="R459" s="14"/>
      <c r="S459" s="14" t="s">
        <v>2096</v>
      </c>
      <c r="T459" s="14" t="s">
        <v>36</v>
      </c>
      <c r="U459" s="17"/>
      <c r="V459" s="14"/>
      <c r="W459" s="14"/>
      <c r="X459" s="18"/>
      <c r="Y459" s="18"/>
      <c r="Z459" s="18"/>
      <c r="AA459" s="19">
        <f t="shared" si="1"/>
        <v>7</v>
      </c>
      <c r="AB459" s="19" t="str">
        <f t="shared" si="2"/>
        <v/>
      </c>
    </row>
    <row r="460" ht="15.75" customHeight="1">
      <c r="A460" s="12">
        <v>45117.0</v>
      </c>
      <c r="B460" s="14" t="s">
        <v>539</v>
      </c>
      <c r="C460" s="14" t="s">
        <v>2097</v>
      </c>
      <c r="D460" s="14"/>
      <c r="E460" s="14"/>
      <c r="F460" s="14"/>
      <c r="G460" s="14"/>
      <c r="H460" s="15" t="s">
        <v>2098</v>
      </c>
      <c r="I460" s="14"/>
      <c r="J460" s="14"/>
      <c r="K460" s="14" t="s">
        <v>425</v>
      </c>
      <c r="L460" s="14" t="s">
        <v>48</v>
      </c>
      <c r="M460" s="14" t="s">
        <v>34</v>
      </c>
      <c r="N460" s="14" t="b">
        <v>0</v>
      </c>
      <c r="O460" s="14"/>
      <c r="P460" s="14"/>
      <c r="Q460" s="14"/>
      <c r="R460" s="14"/>
      <c r="S460" s="14" t="s">
        <v>2099</v>
      </c>
      <c r="T460" s="14" t="s">
        <v>36</v>
      </c>
      <c r="U460" s="17"/>
      <c r="V460" s="14"/>
      <c r="W460" s="14"/>
      <c r="X460" s="18"/>
      <c r="Y460" s="18"/>
      <c r="Z460" s="18"/>
      <c r="AA460" s="19">
        <f t="shared" si="1"/>
        <v>7</v>
      </c>
      <c r="AB460" s="19" t="str">
        <f t="shared" si="2"/>
        <v/>
      </c>
    </row>
    <row r="461" ht="15.75" customHeight="1">
      <c r="A461" s="12">
        <v>45117.0</v>
      </c>
      <c r="B461" s="14" t="s">
        <v>539</v>
      </c>
      <c r="C461" s="14" t="s">
        <v>2100</v>
      </c>
      <c r="D461" s="14"/>
      <c r="E461" s="14"/>
      <c r="F461" s="14"/>
      <c r="G461" s="14"/>
      <c r="H461" s="15" t="s">
        <v>2101</v>
      </c>
      <c r="I461" s="14"/>
      <c r="J461" s="14"/>
      <c r="K461" s="14" t="s">
        <v>2102</v>
      </c>
      <c r="L461" s="14" t="s">
        <v>48</v>
      </c>
      <c r="M461" s="14" t="s">
        <v>565</v>
      </c>
      <c r="N461" s="14" t="b">
        <v>0</v>
      </c>
      <c r="O461" s="14"/>
      <c r="P461" s="14"/>
      <c r="Q461" s="14"/>
      <c r="R461" s="14"/>
      <c r="S461" s="37" t="s">
        <v>2103</v>
      </c>
      <c r="T461" s="13" t="s">
        <v>229</v>
      </c>
      <c r="U461" s="17"/>
      <c r="V461" s="14"/>
      <c r="W461" s="14"/>
      <c r="X461" s="18"/>
      <c r="Y461" s="18"/>
      <c r="Z461" s="18"/>
      <c r="AA461" s="19">
        <f t="shared" si="1"/>
        <v>7</v>
      </c>
      <c r="AB461" s="19" t="str">
        <f t="shared" si="2"/>
        <v/>
      </c>
    </row>
    <row r="462" ht="15.75" customHeight="1">
      <c r="A462" s="12">
        <v>45117.0</v>
      </c>
      <c r="B462" s="14" t="s">
        <v>539</v>
      </c>
      <c r="C462" s="14" t="s">
        <v>2104</v>
      </c>
      <c r="D462" s="14"/>
      <c r="E462" s="14"/>
      <c r="F462" s="14"/>
      <c r="G462" s="14"/>
      <c r="H462" s="15" t="s">
        <v>2105</v>
      </c>
      <c r="I462" s="14"/>
      <c r="J462" s="14"/>
      <c r="K462" s="14" t="s">
        <v>2106</v>
      </c>
      <c r="L462" s="14" t="s">
        <v>48</v>
      </c>
      <c r="M462" s="14" t="s">
        <v>565</v>
      </c>
      <c r="N462" s="14" t="b">
        <v>0</v>
      </c>
      <c r="O462" s="14"/>
      <c r="P462" s="14"/>
      <c r="Q462" s="14"/>
      <c r="R462" s="14"/>
      <c r="S462" s="37" t="s">
        <v>2107</v>
      </c>
      <c r="T462" s="14" t="s">
        <v>36</v>
      </c>
      <c r="U462" s="17"/>
      <c r="V462" s="14"/>
      <c r="W462" s="14"/>
      <c r="X462" s="18"/>
      <c r="Y462" s="18"/>
      <c r="Z462" s="18"/>
      <c r="AA462" s="19">
        <f t="shared" si="1"/>
        <v>7</v>
      </c>
      <c r="AB462" s="19" t="str">
        <f t="shared" si="2"/>
        <v/>
      </c>
    </row>
    <row r="463" ht="15.75" customHeight="1">
      <c r="A463" s="12">
        <v>45117.0</v>
      </c>
      <c r="B463" s="14" t="s">
        <v>539</v>
      </c>
      <c r="C463" s="14" t="s">
        <v>2108</v>
      </c>
      <c r="D463" s="14"/>
      <c r="E463" s="14"/>
      <c r="F463" s="14"/>
      <c r="G463" s="14"/>
      <c r="H463" s="15" t="s">
        <v>2109</v>
      </c>
      <c r="I463" s="14"/>
      <c r="J463" s="14"/>
      <c r="K463" s="14" t="s">
        <v>1796</v>
      </c>
      <c r="L463" s="14" t="s">
        <v>48</v>
      </c>
      <c r="M463" s="14" t="s">
        <v>216</v>
      </c>
      <c r="N463" s="14" t="b">
        <v>0</v>
      </c>
      <c r="O463" s="14"/>
      <c r="P463" s="14"/>
      <c r="Q463" s="14"/>
      <c r="R463" s="14"/>
      <c r="S463" s="14" t="s">
        <v>2077</v>
      </c>
      <c r="T463" s="14" t="s">
        <v>36</v>
      </c>
      <c r="U463" s="17"/>
      <c r="V463" s="14"/>
      <c r="W463" s="14"/>
      <c r="X463" s="18"/>
      <c r="Y463" s="18"/>
      <c r="Z463" s="18"/>
      <c r="AA463" s="19">
        <f t="shared" si="1"/>
        <v>7</v>
      </c>
      <c r="AB463" s="19" t="str">
        <f t="shared" si="2"/>
        <v/>
      </c>
    </row>
    <row r="464" ht="15.75" customHeight="1">
      <c r="A464" s="12">
        <v>45117.0</v>
      </c>
      <c r="B464" s="14" t="s">
        <v>539</v>
      </c>
      <c r="C464" s="13" t="s">
        <v>2110</v>
      </c>
      <c r="D464" s="14"/>
      <c r="E464" s="14"/>
      <c r="F464" s="14"/>
      <c r="G464" s="14"/>
      <c r="H464" s="15" t="s">
        <v>2111</v>
      </c>
      <c r="I464" s="14"/>
      <c r="J464" s="14"/>
      <c r="K464" s="14" t="s">
        <v>1796</v>
      </c>
      <c r="L464" s="14" t="s">
        <v>48</v>
      </c>
      <c r="M464" s="14" t="s">
        <v>216</v>
      </c>
      <c r="N464" s="14" t="b">
        <v>0</v>
      </c>
      <c r="O464" s="14"/>
      <c r="P464" s="14"/>
      <c r="Q464" s="14"/>
      <c r="R464" s="14"/>
      <c r="S464" s="14" t="s">
        <v>2077</v>
      </c>
      <c r="T464" s="14" t="s">
        <v>36</v>
      </c>
      <c r="U464" s="17"/>
      <c r="V464" s="14"/>
      <c r="W464" s="14"/>
      <c r="X464" s="18"/>
      <c r="Y464" s="18"/>
      <c r="Z464" s="18"/>
      <c r="AA464" s="19">
        <f t="shared" si="1"/>
        <v>7</v>
      </c>
      <c r="AB464" s="19" t="str">
        <f t="shared" si="2"/>
        <v/>
      </c>
    </row>
    <row r="465" ht="15.75" customHeight="1">
      <c r="A465" s="12">
        <v>45117.0</v>
      </c>
      <c r="B465" s="14" t="s">
        <v>539</v>
      </c>
      <c r="C465" s="13" t="s">
        <v>2112</v>
      </c>
      <c r="D465" s="150"/>
      <c r="E465" s="14"/>
      <c r="F465" s="14"/>
      <c r="G465" s="14"/>
      <c r="H465" s="15" t="s">
        <v>2113</v>
      </c>
      <c r="I465" s="14"/>
      <c r="J465" s="14"/>
      <c r="K465" s="14" t="s">
        <v>1796</v>
      </c>
      <c r="L465" s="14" t="s">
        <v>111</v>
      </c>
      <c r="M465" s="14" t="s">
        <v>216</v>
      </c>
      <c r="N465" s="14" t="b">
        <v>0</v>
      </c>
      <c r="O465" s="14"/>
      <c r="P465" s="14"/>
      <c r="Q465" s="14"/>
      <c r="R465" s="14"/>
      <c r="S465" s="14" t="s">
        <v>2114</v>
      </c>
      <c r="T465" s="14" t="s">
        <v>36</v>
      </c>
      <c r="U465" s="17"/>
      <c r="V465" s="14"/>
      <c r="W465" s="14"/>
      <c r="X465" s="18"/>
      <c r="Y465" s="18"/>
      <c r="Z465" s="18"/>
      <c r="AA465" s="19">
        <f t="shared" si="1"/>
        <v>7</v>
      </c>
      <c r="AB465" s="19" t="str">
        <f t="shared" si="2"/>
        <v/>
      </c>
    </row>
    <row r="466" ht="15.75" customHeight="1">
      <c r="A466" s="12">
        <v>45117.0</v>
      </c>
      <c r="B466" s="14" t="s">
        <v>539</v>
      </c>
      <c r="C466" s="13" t="s">
        <v>2115</v>
      </c>
      <c r="D466" s="151"/>
      <c r="E466" s="14"/>
      <c r="F466" s="14"/>
      <c r="G466" s="14"/>
      <c r="H466" s="15" t="s">
        <v>2116</v>
      </c>
      <c r="I466" s="14"/>
      <c r="J466" s="14"/>
      <c r="K466" s="14" t="s">
        <v>1796</v>
      </c>
      <c r="L466" s="14" t="s">
        <v>111</v>
      </c>
      <c r="M466" s="14" t="s">
        <v>34</v>
      </c>
      <c r="N466" s="14" t="b">
        <v>0</v>
      </c>
      <c r="O466" s="14"/>
      <c r="P466" s="14"/>
      <c r="Q466" s="14"/>
      <c r="R466" s="14"/>
      <c r="S466" s="14" t="s">
        <v>2117</v>
      </c>
      <c r="T466" s="14" t="s">
        <v>36</v>
      </c>
      <c r="U466" s="17"/>
      <c r="V466" s="14"/>
      <c r="W466" s="14"/>
      <c r="X466" s="18"/>
      <c r="Y466" s="18"/>
      <c r="Z466" s="18"/>
      <c r="AA466" s="19">
        <f t="shared" si="1"/>
        <v>7</v>
      </c>
      <c r="AB466" s="19" t="str">
        <f t="shared" si="2"/>
        <v/>
      </c>
    </row>
    <row r="467" ht="15.75" customHeight="1">
      <c r="A467" s="12">
        <v>45117.0</v>
      </c>
      <c r="B467" s="14" t="s">
        <v>539</v>
      </c>
      <c r="C467" s="14"/>
      <c r="D467" s="13" t="s">
        <v>605</v>
      </c>
      <c r="E467" s="14"/>
      <c r="F467" s="14"/>
      <c r="G467" s="14"/>
      <c r="H467" s="15" t="s">
        <v>2118</v>
      </c>
      <c r="I467" s="14"/>
      <c r="J467" s="14"/>
      <c r="K467" s="14" t="s">
        <v>1796</v>
      </c>
      <c r="L467" s="14" t="s">
        <v>111</v>
      </c>
      <c r="M467" s="14" t="s">
        <v>34</v>
      </c>
      <c r="N467" s="14" t="b">
        <v>0</v>
      </c>
      <c r="O467" s="14"/>
      <c r="P467" s="14"/>
      <c r="Q467" s="14"/>
      <c r="R467" s="14"/>
      <c r="S467" s="14" t="s">
        <v>2119</v>
      </c>
      <c r="T467" s="14" t="s">
        <v>36</v>
      </c>
      <c r="U467" s="17"/>
      <c r="V467" s="14"/>
      <c r="W467" s="14"/>
      <c r="X467" s="18"/>
      <c r="Y467" s="18"/>
      <c r="Z467" s="18"/>
      <c r="AA467" s="19">
        <f t="shared" si="1"/>
        <v>7</v>
      </c>
      <c r="AB467" s="19" t="str">
        <f t="shared" si="2"/>
        <v/>
      </c>
    </row>
    <row r="468" ht="15.75" customHeight="1">
      <c r="A468" s="12">
        <v>45117.0</v>
      </c>
      <c r="B468" s="14" t="s">
        <v>539</v>
      </c>
      <c r="C468" s="13" t="s">
        <v>2120</v>
      </c>
      <c r="D468" s="14"/>
      <c r="E468" s="14"/>
      <c r="F468" s="14"/>
      <c r="G468" s="14"/>
      <c r="H468" s="15" t="s">
        <v>2121</v>
      </c>
      <c r="I468" s="14"/>
      <c r="J468" s="14"/>
      <c r="K468" s="14" t="s">
        <v>1796</v>
      </c>
      <c r="L468" s="14" t="s">
        <v>111</v>
      </c>
      <c r="M468" s="14" t="s">
        <v>216</v>
      </c>
      <c r="N468" s="14" t="b">
        <v>0</v>
      </c>
      <c r="O468" s="14"/>
      <c r="P468" s="14"/>
      <c r="Q468" s="14"/>
      <c r="R468" s="14"/>
      <c r="S468" s="14" t="s">
        <v>2122</v>
      </c>
      <c r="T468" s="13" t="s">
        <v>129</v>
      </c>
      <c r="U468" s="17"/>
      <c r="V468" s="14"/>
      <c r="W468" s="14"/>
      <c r="X468" s="18"/>
      <c r="Y468" s="18"/>
      <c r="Z468" s="18"/>
      <c r="AA468" s="19">
        <f t="shared" si="1"/>
        <v>7</v>
      </c>
      <c r="AB468" s="19" t="str">
        <f t="shared" si="2"/>
        <v/>
      </c>
    </row>
    <row r="469" ht="15.75" customHeight="1">
      <c r="A469" s="12">
        <v>45117.0</v>
      </c>
      <c r="B469" s="14" t="s">
        <v>539</v>
      </c>
      <c r="C469" s="13" t="s">
        <v>2123</v>
      </c>
      <c r="D469" s="14"/>
      <c r="E469" s="14"/>
      <c r="F469" s="14"/>
      <c r="G469" s="14"/>
      <c r="H469" s="15" t="s">
        <v>2124</v>
      </c>
      <c r="I469" s="14"/>
      <c r="J469" s="14"/>
      <c r="K469" s="14" t="s">
        <v>1796</v>
      </c>
      <c r="L469" s="14" t="s">
        <v>111</v>
      </c>
      <c r="M469" s="14" t="s">
        <v>216</v>
      </c>
      <c r="N469" s="14" t="b">
        <v>0</v>
      </c>
      <c r="O469" s="14"/>
      <c r="P469" s="14"/>
      <c r="Q469" s="14"/>
      <c r="R469" s="14"/>
      <c r="S469" s="14" t="s">
        <v>2125</v>
      </c>
      <c r="T469" s="13" t="s">
        <v>129</v>
      </c>
      <c r="U469" s="17"/>
      <c r="V469" s="14"/>
      <c r="W469" s="14"/>
      <c r="X469" s="18"/>
      <c r="Y469" s="18"/>
      <c r="Z469" s="18"/>
      <c r="AA469" s="19">
        <f t="shared" si="1"/>
        <v>7</v>
      </c>
      <c r="AB469" s="19" t="str">
        <f t="shared" si="2"/>
        <v/>
      </c>
    </row>
    <row r="470" ht="15.75" customHeight="1">
      <c r="A470" s="12">
        <v>45117.0</v>
      </c>
      <c r="B470" s="14" t="s">
        <v>539</v>
      </c>
      <c r="C470" s="14" t="s">
        <v>2126</v>
      </c>
      <c r="D470" s="14"/>
      <c r="E470" s="14"/>
      <c r="F470" s="14"/>
      <c r="G470" s="14"/>
      <c r="H470" s="15" t="s">
        <v>2127</v>
      </c>
      <c r="I470" s="14"/>
      <c r="J470" s="14"/>
      <c r="K470" s="14" t="s">
        <v>1796</v>
      </c>
      <c r="L470" s="14" t="s">
        <v>111</v>
      </c>
      <c r="M470" s="14" t="s">
        <v>216</v>
      </c>
      <c r="N470" s="14" t="b">
        <v>0</v>
      </c>
      <c r="O470" s="14"/>
      <c r="P470" s="14"/>
      <c r="Q470" s="14"/>
      <c r="R470" s="14"/>
      <c r="S470" s="14" t="s">
        <v>2128</v>
      </c>
      <c r="T470" s="13" t="s">
        <v>129</v>
      </c>
      <c r="U470" s="17"/>
      <c r="V470" s="14"/>
      <c r="W470" s="14"/>
      <c r="X470" s="18"/>
      <c r="Y470" s="18"/>
      <c r="Z470" s="18"/>
      <c r="AA470" s="19">
        <f t="shared" si="1"/>
        <v>7</v>
      </c>
      <c r="AB470" s="19" t="str">
        <f t="shared" si="2"/>
        <v/>
      </c>
    </row>
    <row r="471" ht="15.75" customHeight="1">
      <c r="A471" s="12">
        <v>45117.0</v>
      </c>
      <c r="B471" s="14" t="s">
        <v>539</v>
      </c>
      <c r="C471" s="13" t="s">
        <v>2129</v>
      </c>
      <c r="D471" s="14"/>
      <c r="E471" s="14"/>
      <c r="F471" s="14"/>
      <c r="G471" s="14"/>
      <c r="H471" s="15" t="s">
        <v>2130</v>
      </c>
      <c r="I471" s="14"/>
      <c r="J471" s="14"/>
      <c r="K471" s="14" t="s">
        <v>1968</v>
      </c>
      <c r="L471" s="14" t="s">
        <v>111</v>
      </c>
      <c r="M471" s="14" t="s">
        <v>216</v>
      </c>
      <c r="N471" s="14" t="b">
        <v>0</v>
      </c>
      <c r="O471" s="14"/>
      <c r="P471" s="14"/>
      <c r="Q471" s="14"/>
      <c r="R471" s="14"/>
      <c r="S471" s="14" t="s">
        <v>2131</v>
      </c>
      <c r="T471" s="13" t="s">
        <v>129</v>
      </c>
      <c r="U471" s="17"/>
      <c r="V471" s="14"/>
      <c r="W471" s="14"/>
      <c r="X471" s="18"/>
      <c r="Y471" s="18"/>
      <c r="Z471" s="18"/>
      <c r="AA471" s="19">
        <f t="shared" si="1"/>
        <v>7</v>
      </c>
      <c r="AB471" s="19" t="str">
        <f t="shared" si="2"/>
        <v/>
      </c>
    </row>
    <row r="472" ht="15.75" customHeight="1">
      <c r="A472" s="12">
        <v>45117.0</v>
      </c>
      <c r="B472" s="14" t="s">
        <v>539</v>
      </c>
      <c r="C472" s="13" t="s">
        <v>2132</v>
      </c>
      <c r="D472" s="14"/>
      <c r="E472" s="14"/>
      <c r="F472" s="14"/>
      <c r="G472" s="14"/>
      <c r="H472" s="15" t="s">
        <v>2133</v>
      </c>
      <c r="I472" s="14"/>
      <c r="J472" s="14"/>
      <c r="K472" s="14" t="s">
        <v>1796</v>
      </c>
      <c r="L472" s="14" t="s">
        <v>111</v>
      </c>
      <c r="M472" s="14" t="s">
        <v>34</v>
      </c>
      <c r="N472" s="14" t="b">
        <v>0</v>
      </c>
      <c r="O472" s="14"/>
      <c r="P472" s="14"/>
      <c r="Q472" s="14"/>
      <c r="R472" s="14"/>
      <c r="S472" s="14" t="s">
        <v>2134</v>
      </c>
      <c r="T472" s="14" t="s">
        <v>36</v>
      </c>
      <c r="U472" s="17"/>
      <c r="V472" s="14"/>
      <c r="W472" s="14"/>
      <c r="X472" s="18"/>
      <c r="Y472" s="18"/>
      <c r="Z472" s="18"/>
      <c r="AA472" s="19">
        <f t="shared" si="1"/>
        <v>7</v>
      </c>
      <c r="AB472" s="19" t="str">
        <f t="shared" si="2"/>
        <v/>
      </c>
    </row>
    <row r="473" ht="15.75" customHeight="1">
      <c r="A473" s="12">
        <v>45117.0</v>
      </c>
      <c r="B473" s="14" t="s">
        <v>539</v>
      </c>
      <c r="C473" s="13" t="s">
        <v>2135</v>
      </c>
      <c r="D473" s="14"/>
      <c r="E473" s="14"/>
      <c r="F473" s="14"/>
      <c r="G473" s="14"/>
      <c r="H473" s="15" t="s">
        <v>2136</v>
      </c>
      <c r="I473" s="14"/>
      <c r="J473" s="14"/>
      <c r="K473" s="14" t="s">
        <v>1796</v>
      </c>
      <c r="L473" s="14" t="s">
        <v>111</v>
      </c>
      <c r="M473" s="14" t="s">
        <v>34</v>
      </c>
      <c r="N473" s="14" t="b">
        <v>0</v>
      </c>
      <c r="O473" s="14"/>
      <c r="P473" s="14"/>
      <c r="Q473" s="14"/>
      <c r="R473" s="14"/>
      <c r="S473" s="14" t="s">
        <v>2137</v>
      </c>
      <c r="T473" s="14" t="s">
        <v>36</v>
      </c>
      <c r="U473" s="17"/>
      <c r="V473" s="14"/>
      <c r="W473" s="14"/>
      <c r="X473" s="18"/>
      <c r="Y473" s="18"/>
      <c r="Z473" s="18"/>
      <c r="AA473" s="19">
        <f t="shared" si="1"/>
        <v>7</v>
      </c>
      <c r="AB473" s="19" t="str">
        <f t="shared" si="2"/>
        <v/>
      </c>
    </row>
    <row r="474" ht="15.75" customHeight="1">
      <c r="A474" s="12">
        <v>45117.0</v>
      </c>
      <c r="B474" s="14" t="s">
        <v>539</v>
      </c>
      <c r="C474" s="14"/>
      <c r="D474" s="13" t="s">
        <v>2138</v>
      </c>
      <c r="E474" s="14"/>
      <c r="F474" s="14"/>
      <c r="G474" s="14"/>
      <c r="H474" s="15" t="s">
        <v>2139</v>
      </c>
      <c r="I474" s="14"/>
      <c r="J474" s="14"/>
      <c r="K474" s="14" t="s">
        <v>1796</v>
      </c>
      <c r="L474" s="14" t="s">
        <v>111</v>
      </c>
      <c r="M474" s="14" t="s">
        <v>34</v>
      </c>
      <c r="N474" s="14" t="b">
        <v>0</v>
      </c>
      <c r="O474" s="14"/>
      <c r="P474" s="14"/>
      <c r="Q474" s="14"/>
      <c r="R474" s="14"/>
      <c r="S474" s="14" t="s">
        <v>2140</v>
      </c>
      <c r="T474" s="14" t="s">
        <v>36</v>
      </c>
      <c r="U474" s="17"/>
      <c r="V474" s="14"/>
      <c r="W474" s="14"/>
      <c r="X474" s="18"/>
      <c r="Y474" s="18"/>
      <c r="Z474" s="18"/>
      <c r="AA474" s="19">
        <f t="shared" si="1"/>
        <v>7</v>
      </c>
      <c r="AB474" s="19" t="str">
        <f t="shared" si="2"/>
        <v/>
      </c>
    </row>
    <row r="475" ht="15.75" customHeight="1">
      <c r="A475" s="12">
        <v>45117.0</v>
      </c>
      <c r="B475" s="14" t="s">
        <v>539</v>
      </c>
      <c r="C475" s="14"/>
      <c r="D475" s="13" t="s">
        <v>2141</v>
      </c>
      <c r="E475" s="14"/>
      <c r="F475" s="14"/>
      <c r="G475" s="14"/>
      <c r="H475" s="15" t="s">
        <v>2142</v>
      </c>
      <c r="I475" s="14"/>
      <c r="J475" s="14"/>
      <c r="K475" s="14" t="s">
        <v>1968</v>
      </c>
      <c r="L475" s="14" t="s">
        <v>111</v>
      </c>
      <c r="M475" s="14" t="s">
        <v>216</v>
      </c>
      <c r="N475" s="14" t="b">
        <v>0</v>
      </c>
      <c r="O475" s="14"/>
      <c r="P475" s="14"/>
      <c r="Q475" s="14"/>
      <c r="R475" s="14"/>
      <c r="S475" s="14" t="s">
        <v>2143</v>
      </c>
      <c r="T475" s="14" t="s">
        <v>36</v>
      </c>
      <c r="U475" s="17"/>
      <c r="V475" s="14"/>
      <c r="W475" s="14"/>
      <c r="X475" s="18"/>
      <c r="Y475" s="18"/>
      <c r="Z475" s="18"/>
      <c r="AA475" s="19">
        <f t="shared" si="1"/>
        <v>7</v>
      </c>
      <c r="AB475" s="19" t="str">
        <f t="shared" si="2"/>
        <v/>
      </c>
    </row>
    <row r="476" ht="15.75" customHeight="1">
      <c r="A476" s="12">
        <v>45117.0</v>
      </c>
      <c r="B476" s="14" t="s">
        <v>539</v>
      </c>
      <c r="C476" s="14"/>
      <c r="D476" s="13" t="s">
        <v>2144</v>
      </c>
      <c r="E476" s="14"/>
      <c r="F476" s="14"/>
      <c r="G476" s="14"/>
      <c r="H476" s="15" t="s">
        <v>2145</v>
      </c>
      <c r="I476" s="14"/>
      <c r="J476" s="14"/>
      <c r="K476" s="14" t="s">
        <v>1796</v>
      </c>
      <c r="L476" s="14" t="s">
        <v>111</v>
      </c>
      <c r="M476" s="14" t="s">
        <v>34</v>
      </c>
      <c r="N476" s="14" t="b">
        <v>0</v>
      </c>
      <c r="O476" s="14"/>
      <c r="P476" s="14"/>
      <c r="Q476" s="14"/>
      <c r="R476" s="14"/>
      <c r="S476" s="14" t="s">
        <v>2146</v>
      </c>
      <c r="T476" s="14" t="s">
        <v>36</v>
      </c>
      <c r="U476" s="17"/>
      <c r="V476" s="14"/>
      <c r="W476" s="14"/>
      <c r="X476" s="18"/>
      <c r="Y476" s="18"/>
      <c r="Z476" s="18"/>
      <c r="AA476" s="19">
        <f t="shared" si="1"/>
        <v>7</v>
      </c>
      <c r="AB476" s="19" t="str">
        <f t="shared" si="2"/>
        <v/>
      </c>
    </row>
    <row r="477" ht="15.75" customHeight="1">
      <c r="A477" s="12">
        <v>45117.0</v>
      </c>
      <c r="B477" s="14" t="s">
        <v>539</v>
      </c>
      <c r="C477" s="14" t="s">
        <v>2147</v>
      </c>
      <c r="D477" s="14"/>
      <c r="E477" s="14"/>
      <c r="F477" s="14"/>
      <c r="G477" s="14"/>
      <c r="H477" s="15" t="s">
        <v>2148</v>
      </c>
      <c r="I477" s="14"/>
      <c r="J477" s="14"/>
      <c r="K477" s="14" t="s">
        <v>2149</v>
      </c>
      <c r="L477" s="14" t="s">
        <v>111</v>
      </c>
      <c r="M477" s="14" t="s">
        <v>34</v>
      </c>
      <c r="N477" s="14" t="b">
        <v>0</v>
      </c>
      <c r="O477" s="14"/>
      <c r="P477" s="14"/>
      <c r="Q477" s="14"/>
      <c r="R477" s="14"/>
      <c r="S477" s="14" t="s">
        <v>2150</v>
      </c>
      <c r="T477" s="14" t="s">
        <v>36</v>
      </c>
      <c r="U477" s="17"/>
      <c r="V477" s="14"/>
      <c r="W477" s="14"/>
      <c r="X477" s="18"/>
      <c r="Y477" s="18"/>
      <c r="Z477" s="18"/>
      <c r="AA477" s="19">
        <f t="shared" si="1"/>
        <v>7</v>
      </c>
      <c r="AB477" s="19" t="str">
        <f t="shared" si="2"/>
        <v/>
      </c>
    </row>
    <row r="478" ht="15.75" customHeight="1">
      <c r="A478" s="12">
        <v>45117.0</v>
      </c>
      <c r="B478" s="13" t="s">
        <v>28</v>
      </c>
      <c r="C478" s="14" t="s">
        <v>2151</v>
      </c>
      <c r="D478" s="14" t="s">
        <v>2152</v>
      </c>
      <c r="E478" s="14"/>
      <c r="F478" s="14"/>
      <c r="G478" s="14"/>
      <c r="H478" s="15" t="s">
        <v>2153</v>
      </c>
      <c r="I478" s="14"/>
      <c r="J478" s="14"/>
      <c r="K478" s="14" t="s">
        <v>2154</v>
      </c>
      <c r="L478" s="14" t="s">
        <v>111</v>
      </c>
      <c r="M478" s="14" t="s">
        <v>34</v>
      </c>
      <c r="N478" s="14" t="b">
        <v>0</v>
      </c>
      <c r="O478" s="14"/>
      <c r="P478" s="14"/>
      <c r="Q478" s="14"/>
      <c r="R478" s="14"/>
      <c r="S478" s="14" t="s">
        <v>2155</v>
      </c>
      <c r="T478" s="13" t="s">
        <v>229</v>
      </c>
      <c r="U478" s="17"/>
      <c r="V478" s="14"/>
      <c r="W478" s="14"/>
      <c r="X478" s="18"/>
      <c r="Y478" s="18"/>
      <c r="Z478" s="18"/>
      <c r="AA478" s="19">
        <f t="shared" si="1"/>
        <v>7</v>
      </c>
      <c r="AB478" s="19" t="str">
        <f t="shared" si="2"/>
        <v/>
      </c>
    </row>
    <row r="479" ht="15.75" customHeight="1">
      <c r="A479" s="12">
        <v>45117.0</v>
      </c>
      <c r="B479" s="14" t="s">
        <v>539</v>
      </c>
      <c r="C479" s="14" t="s">
        <v>2156</v>
      </c>
      <c r="D479" s="14" t="s">
        <v>2157</v>
      </c>
      <c r="E479" s="13">
        <v>8.0</v>
      </c>
      <c r="F479" s="14"/>
      <c r="G479" s="14"/>
      <c r="H479" s="15" t="s">
        <v>2158</v>
      </c>
      <c r="I479" s="14"/>
      <c r="J479" s="14"/>
      <c r="K479" s="14"/>
      <c r="L479" s="14" t="s">
        <v>111</v>
      </c>
      <c r="M479" s="14" t="s">
        <v>13</v>
      </c>
      <c r="N479" s="14" t="b">
        <v>1</v>
      </c>
      <c r="O479" s="13" t="s">
        <v>2159</v>
      </c>
      <c r="P479" s="13" t="s">
        <v>69</v>
      </c>
      <c r="Q479" s="14"/>
      <c r="R479" s="14"/>
      <c r="S479" s="14" t="s">
        <v>2160</v>
      </c>
      <c r="T479" s="13" t="s">
        <v>129</v>
      </c>
      <c r="U479" s="17"/>
      <c r="V479" s="14"/>
      <c r="W479" s="14"/>
      <c r="X479" s="18"/>
      <c r="Y479" s="18"/>
      <c r="Z479" s="18"/>
      <c r="AA479" s="19">
        <f t="shared" si="1"/>
        <v>7</v>
      </c>
      <c r="AB479" s="19" t="str">
        <f t="shared" si="2"/>
        <v/>
      </c>
    </row>
    <row r="480" ht="15.75" customHeight="1">
      <c r="A480" s="12">
        <v>45117.0</v>
      </c>
      <c r="B480" s="14" t="s">
        <v>539</v>
      </c>
      <c r="C480" s="14" t="s">
        <v>2161</v>
      </c>
      <c r="D480" s="14"/>
      <c r="E480" s="14"/>
      <c r="F480" s="14"/>
      <c r="G480" s="14"/>
      <c r="H480" s="15" t="s">
        <v>2162</v>
      </c>
      <c r="I480" s="14"/>
      <c r="J480" s="14"/>
      <c r="K480" s="14" t="s">
        <v>2163</v>
      </c>
      <c r="L480" s="14" t="s">
        <v>111</v>
      </c>
      <c r="M480" s="14" t="s">
        <v>216</v>
      </c>
      <c r="N480" s="14" t="b">
        <v>0</v>
      </c>
      <c r="O480" s="14"/>
      <c r="P480" s="14"/>
      <c r="Q480" s="14"/>
      <c r="R480" s="14"/>
      <c r="S480" s="14" t="s">
        <v>2164</v>
      </c>
      <c r="T480" s="13" t="s">
        <v>229</v>
      </c>
      <c r="U480" s="17"/>
      <c r="V480" s="14"/>
      <c r="W480" s="14"/>
      <c r="X480" s="18"/>
      <c r="Y480" s="18"/>
      <c r="Z480" s="18"/>
      <c r="AA480" s="19">
        <f t="shared" si="1"/>
        <v>7</v>
      </c>
      <c r="AB480" s="19" t="str">
        <f t="shared" si="2"/>
        <v/>
      </c>
    </row>
    <row r="481" ht="15.75" customHeight="1">
      <c r="A481" s="12">
        <v>45117.0</v>
      </c>
      <c r="B481" s="14" t="s">
        <v>539</v>
      </c>
      <c r="C481" s="13" t="s">
        <v>2165</v>
      </c>
      <c r="D481" s="14"/>
      <c r="E481" s="14"/>
      <c r="F481" s="14"/>
      <c r="G481" s="14"/>
      <c r="H481" s="15" t="s">
        <v>2166</v>
      </c>
      <c r="I481" s="14"/>
      <c r="J481" s="14"/>
      <c r="K481" s="14" t="s">
        <v>1968</v>
      </c>
      <c r="L481" s="14" t="s">
        <v>111</v>
      </c>
      <c r="M481" s="14" t="s">
        <v>216</v>
      </c>
      <c r="N481" s="14" t="b">
        <v>0</v>
      </c>
      <c r="O481" s="14"/>
      <c r="P481" s="14"/>
      <c r="Q481" s="14"/>
      <c r="R481" s="14"/>
      <c r="S481" s="14" t="s">
        <v>2167</v>
      </c>
      <c r="T481" s="13" t="s">
        <v>229</v>
      </c>
      <c r="U481" s="17"/>
      <c r="V481" s="14"/>
      <c r="W481" s="14"/>
      <c r="X481" s="18"/>
      <c r="Y481" s="18"/>
      <c r="Z481" s="18"/>
      <c r="AA481" s="19">
        <f t="shared" si="1"/>
        <v>7</v>
      </c>
      <c r="AB481" s="19" t="str">
        <f t="shared" si="2"/>
        <v/>
      </c>
    </row>
    <row r="482" ht="15.75" customHeight="1">
      <c r="A482" s="12">
        <v>45117.0</v>
      </c>
      <c r="B482" s="14" t="s">
        <v>539</v>
      </c>
      <c r="C482" s="14" t="s">
        <v>2168</v>
      </c>
      <c r="D482" s="14" t="s">
        <v>2169</v>
      </c>
      <c r="E482" s="13">
        <v>15.0</v>
      </c>
      <c r="F482" s="14"/>
      <c r="G482" s="14"/>
      <c r="H482" s="15" t="s">
        <v>2170</v>
      </c>
      <c r="I482" s="14"/>
      <c r="J482" s="14"/>
      <c r="K482" s="14" t="s">
        <v>2171</v>
      </c>
      <c r="L482" s="14" t="s">
        <v>111</v>
      </c>
      <c r="M482" s="14" t="s">
        <v>13</v>
      </c>
      <c r="N482" s="14" t="b">
        <v>1</v>
      </c>
      <c r="O482" s="13" t="s">
        <v>2172</v>
      </c>
      <c r="P482" s="13" t="s">
        <v>42</v>
      </c>
      <c r="Q482" s="14"/>
      <c r="R482" s="14"/>
      <c r="S482" s="14" t="s">
        <v>2173</v>
      </c>
      <c r="T482" s="14" t="s">
        <v>36</v>
      </c>
      <c r="U482" s="17"/>
      <c r="V482" s="14"/>
      <c r="W482" s="14"/>
      <c r="X482" s="18"/>
      <c r="Y482" s="18"/>
      <c r="Z482" s="18"/>
      <c r="AA482" s="19">
        <f t="shared" si="1"/>
        <v>7</v>
      </c>
      <c r="AB482" s="19" t="str">
        <f t="shared" si="2"/>
        <v/>
      </c>
    </row>
    <row r="483" ht="15.75" customHeight="1">
      <c r="A483" s="12">
        <v>45117.0</v>
      </c>
      <c r="B483" s="14" t="s">
        <v>703</v>
      </c>
      <c r="C483" s="14" t="s">
        <v>2174</v>
      </c>
      <c r="D483" s="14"/>
      <c r="E483" s="14"/>
      <c r="F483" s="14"/>
      <c r="G483" s="14"/>
      <c r="H483" s="15" t="s">
        <v>2175</v>
      </c>
      <c r="I483" s="14"/>
      <c r="J483" s="14"/>
      <c r="K483" s="14"/>
      <c r="L483" s="14" t="s">
        <v>48</v>
      </c>
      <c r="M483" s="14" t="s">
        <v>216</v>
      </c>
      <c r="N483" s="14" t="b">
        <v>0</v>
      </c>
      <c r="O483" s="14"/>
      <c r="P483" s="14"/>
      <c r="Q483" s="14"/>
      <c r="R483" s="14"/>
      <c r="S483" s="14" t="s">
        <v>2176</v>
      </c>
      <c r="T483" s="14" t="s">
        <v>36</v>
      </c>
      <c r="U483" s="17"/>
      <c r="V483" s="14"/>
      <c r="W483" s="14"/>
      <c r="X483" s="18"/>
      <c r="Y483" s="18"/>
      <c r="Z483" s="18"/>
      <c r="AA483" s="19">
        <f t="shared" si="1"/>
        <v>7</v>
      </c>
      <c r="AB483" s="19" t="str">
        <f t="shared" si="2"/>
        <v/>
      </c>
    </row>
    <row r="484" ht="15.75" customHeight="1">
      <c r="A484" s="12">
        <v>45117.0</v>
      </c>
      <c r="B484" s="14" t="s">
        <v>539</v>
      </c>
      <c r="C484" s="14" t="s">
        <v>2177</v>
      </c>
      <c r="D484" s="14" t="s">
        <v>2178</v>
      </c>
      <c r="E484" s="14"/>
      <c r="F484" s="14"/>
      <c r="G484" s="14"/>
      <c r="H484" s="15" t="s">
        <v>2179</v>
      </c>
      <c r="I484" s="14"/>
      <c r="J484" s="14"/>
      <c r="K484" s="14"/>
      <c r="L484" s="14" t="s">
        <v>48</v>
      </c>
      <c r="M484" s="14" t="s">
        <v>565</v>
      </c>
      <c r="N484" s="14" t="b">
        <v>0</v>
      </c>
      <c r="O484" s="14"/>
      <c r="P484" s="14"/>
      <c r="Q484" s="14"/>
      <c r="R484" s="14"/>
      <c r="S484" s="14" t="s">
        <v>2180</v>
      </c>
      <c r="T484" s="14" t="s">
        <v>36</v>
      </c>
      <c r="U484" s="17"/>
      <c r="V484" s="14"/>
      <c r="W484" s="14"/>
      <c r="X484" s="18"/>
      <c r="Y484" s="18"/>
      <c r="Z484" s="18"/>
      <c r="AA484" s="19">
        <f t="shared" si="1"/>
        <v>7</v>
      </c>
      <c r="AB484" s="19" t="str">
        <f t="shared" si="2"/>
        <v/>
      </c>
    </row>
    <row r="485" ht="15.75" customHeight="1">
      <c r="A485" s="12">
        <v>45117.0</v>
      </c>
      <c r="B485" s="14" t="s">
        <v>539</v>
      </c>
      <c r="C485" s="13" t="s">
        <v>1932</v>
      </c>
      <c r="D485" s="14"/>
      <c r="E485" s="14"/>
      <c r="F485" s="14"/>
      <c r="G485" s="14"/>
      <c r="H485" s="15" t="s">
        <v>2181</v>
      </c>
      <c r="I485" s="14"/>
      <c r="J485" s="14"/>
      <c r="K485" s="14" t="s">
        <v>2182</v>
      </c>
      <c r="L485" s="14" t="s">
        <v>48</v>
      </c>
      <c r="M485" s="14" t="s">
        <v>216</v>
      </c>
      <c r="N485" s="14" t="b">
        <v>0</v>
      </c>
      <c r="O485" s="14"/>
      <c r="P485" s="14"/>
      <c r="Q485" s="14"/>
      <c r="R485" s="14"/>
      <c r="S485" s="14" t="s">
        <v>2183</v>
      </c>
      <c r="T485" s="14" t="s">
        <v>36</v>
      </c>
      <c r="U485" s="17"/>
      <c r="V485" s="14"/>
      <c r="W485" s="14"/>
      <c r="X485" s="18"/>
      <c r="Y485" s="18"/>
      <c r="Z485" s="18"/>
      <c r="AA485" s="19">
        <f t="shared" si="1"/>
        <v>7</v>
      </c>
      <c r="AB485" s="19" t="str">
        <f t="shared" si="2"/>
        <v/>
      </c>
    </row>
    <row r="486" ht="15.75" customHeight="1">
      <c r="A486" s="12">
        <v>45117.0</v>
      </c>
      <c r="B486" s="14" t="s">
        <v>539</v>
      </c>
      <c r="C486" s="14" t="s">
        <v>2184</v>
      </c>
      <c r="D486" s="14" t="s">
        <v>2185</v>
      </c>
      <c r="E486" s="13">
        <v>7.0</v>
      </c>
      <c r="F486" s="14">
        <v>2.0</v>
      </c>
      <c r="G486" s="14"/>
      <c r="H486" s="15" t="s">
        <v>2186</v>
      </c>
      <c r="I486" s="14"/>
      <c r="J486" s="14"/>
      <c r="K486" s="14" t="s">
        <v>2187</v>
      </c>
      <c r="L486" s="14" t="s">
        <v>48</v>
      </c>
      <c r="M486" s="14" t="s">
        <v>565</v>
      </c>
      <c r="N486" s="14" t="b">
        <v>0</v>
      </c>
      <c r="O486" s="14"/>
      <c r="P486" s="14"/>
      <c r="Q486" s="14"/>
      <c r="R486" s="14"/>
      <c r="S486" s="14" t="s">
        <v>2188</v>
      </c>
      <c r="T486" s="14" t="s">
        <v>36</v>
      </c>
      <c r="U486" s="17"/>
      <c r="V486" s="14"/>
      <c r="W486" s="14"/>
      <c r="X486" s="18"/>
      <c r="Y486" s="18"/>
      <c r="Z486" s="18"/>
      <c r="AA486" s="19">
        <f t="shared" si="1"/>
        <v>7</v>
      </c>
      <c r="AB486" s="19" t="str">
        <f t="shared" si="2"/>
        <v/>
      </c>
    </row>
    <row r="487" ht="15.75" customHeight="1">
      <c r="A487" s="12">
        <v>45117.0</v>
      </c>
      <c r="B487" s="14" t="s">
        <v>539</v>
      </c>
      <c r="C487" s="14"/>
      <c r="D487" s="14" t="s">
        <v>2189</v>
      </c>
      <c r="E487" s="14"/>
      <c r="F487" s="14"/>
      <c r="G487" s="14"/>
      <c r="H487" s="15" t="s">
        <v>2190</v>
      </c>
      <c r="I487" s="14"/>
      <c r="J487" s="14"/>
      <c r="K487" s="14"/>
      <c r="L487" s="14" t="s">
        <v>48</v>
      </c>
      <c r="M487" s="14" t="s">
        <v>216</v>
      </c>
      <c r="N487" s="14" t="b">
        <v>0</v>
      </c>
      <c r="O487" s="14"/>
      <c r="P487" s="14"/>
      <c r="Q487" s="14"/>
      <c r="R487" s="14"/>
      <c r="S487" s="14" t="s">
        <v>2191</v>
      </c>
      <c r="T487" s="14" t="s">
        <v>36</v>
      </c>
      <c r="U487" s="17"/>
      <c r="V487" s="145">
        <v>45118.0</v>
      </c>
      <c r="W487" s="77" t="s">
        <v>575</v>
      </c>
      <c r="X487" s="146">
        <v>3062000.0</v>
      </c>
      <c r="Y487" s="146">
        <v>0.0</v>
      </c>
      <c r="Z487" s="146">
        <v>3062000.0</v>
      </c>
      <c r="AA487" s="19">
        <f t="shared" si="1"/>
        <v>7</v>
      </c>
      <c r="AB487" s="19" t="str">
        <f t="shared" si="2"/>
        <v/>
      </c>
    </row>
    <row r="488" ht="15.75" customHeight="1">
      <c r="A488" s="147">
        <v>45117.0</v>
      </c>
      <c r="B488" s="13" t="s">
        <v>28</v>
      </c>
      <c r="C488" s="58" t="s">
        <v>2192</v>
      </c>
      <c r="D488" s="58" t="s">
        <v>2193</v>
      </c>
      <c r="E488" s="77">
        <v>7.0</v>
      </c>
      <c r="F488" s="58"/>
      <c r="G488" s="58"/>
      <c r="H488" s="148" t="s">
        <v>2194</v>
      </c>
      <c r="I488" s="58"/>
      <c r="J488" s="58"/>
      <c r="K488" s="58"/>
      <c r="L488" s="58" t="s">
        <v>111</v>
      </c>
      <c r="M488" s="58" t="s">
        <v>67</v>
      </c>
      <c r="N488" s="14" t="b">
        <v>1</v>
      </c>
      <c r="O488" s="77" t="s">
        <v>2195</v>
      </c>
      <c r="P488" s="13" t="s">
        <v>69</v>
      </c>
      <c r="Q488" s="77" t="s">
        <v>91</v>
      </c>
      <c r="R488" s="58" t="s">
        <v>2196</v>
      </c>
      <c r="S488" s="58" t="s">
        <v>2197</v>
      </c>
      <c r="T488" s="24" t="s">
        <v>72</v>
      </c>
      <c r="U488" s="147"/>
      <c r="V488" s="145">
        <v>45128.0</v>
      </c>
      <c r="W488" s="77" t="s">
        <v>575</v>
      </c>
      <c r="X488" s="146">
        <v>3062000.0</v>
      </c>
      <c r="Y488" s="146">
        <v>600000.0</v>
      </c>
      <c r="Z488" s="146">
        <v>2462000.0</v>
      </c>
      <c r="AA488" s="19">
        <f t="shared" si="1"/>
        <v>7</v>
      </c>
      <c r="AB488" s="19">
        <f t="shared" si="2"/>
        <v>7</v>
      </c>
    </row>
    <row r="489" ht="15.75" customHeight="1">
      <c r="A489" s="147"/>
      <c r="B489" s="13" t="s">
        <v>28</v>
      </c>
      <c r="C489" s="58" t="s">
        <v>2192</v>
      </c>
      <c r="D489" s="58" t="s">
        <v>2193</v>
      </c>
      <c r="E489" s="77">
        <v>7.0</v>
      </c>
      <c r="F489" s="58"/>
      <c r="G489" s="58"/>
      <c r="H489" s="148" t="s">
        <v>2194</v>
      </c>
      <c r="I489" s="58"/>
      <c r="J489" s="58"/>
      <c r="K489" s="58"/>
      <c r="L489" s="58" t="s">
        <v>111</v>
      </c>
      <c r="M489" s="58" t="s">
        <v>67</v>
      </c>
      <c r="N489" s="14" t="b">
        <v>0</v>
      </c>
      <c r="O489" s="58"/>
      <c r="P489" s="58"/>
      <c r="Q489" s="77" t="s">
        <v>91</v>
      </c>
      <c r="R489" s="58"/>
      <c r="S489" s="58"/>
      <c r="T489" s="24" t="s">
        <v>72</v>
      </c>
      <c r="U489" s="147"/>
      <c r="V489" s="14"/>
      <c r="W489" s="14"/>
      <c r="X489" s="18"/>
      <c r="Y489" s="18"/>
      <c r="Z489" s="18"/>
      <c r="AA489" s="19" t="str">
        <f t="shared" si="1"/>
        <v/>
      </c>
      <c r="AB489" s="19">
        <f t="shared" si="2"/>
        <v>7</v>
      </c>
    </row>
    <row r="490" ht="15.75" customHeight="1">
      <c r="A490" s="12">
        <v>45118.0</v>
      </c>
      <c r="B490" s="24" t="s">
        <v>28</v>
      </c>
      <c r="C490" s="14" t="s">
        <v>2198</v>
      </c>
      <c r="D490" s="14"/>
      <c r="E490" s="14"/>
      <c r="F490" s="14"/>
      <c r="G490" s="14"/>
      <c r="H490" s="15" t="s">
        <v>2199</v>
      </c>
      <c r="I490" s="14"/>
      <c r="J490" s="14"/>
      <c r="K490" s="14" t="s">
        <v>2200</v>
      </c>
      <c r="L490" s="14" t="s">
        <v>48</v>
      </c>
      <c r="M490" s="14" t="s">
        <v>565</v>
      </c>
      <c r="N490" s="14" t="b">
        <v>0</v>
      </c>
      <c r="O490" s="14"/>
      <c r="P490" s="14"/>
      <c r="Q490" s="14"/>
      <c r="R490" s="14"/>
      <c r="S490" s="14" t="s">
        <v>2201</v>
      </c>
      <c r="T490" s="13" t="s">
        <v>229</v>
      </c>
      <c r="U490" s="17"/>
      <c r="V490" s="14"/>
      <c r="W490" s="14"/>
      <c r="X490" s="18"/>
      <c r="Y490" s="18"/>
      <c r="Z490" s="18"/>
      <c r="AA490" s="19">
        <f t="shared" si="1"/>
        <v>7</v>
      </c>
      <c r="AB490" s="19" t="str">
        <f t="shared" si="2"/>
        <v/>
      </c>
    </row>
    <row r="491" ht="15.75" customHeight="1">
      <c r="A491" s="12">
        <v>45118.0</v>
      </c>
      <c r="B491" s="24" t="s">
        <v>28</v>
      </c>
      <c r="C491" s="14" t="s">
        <v>2202</v>
      </c>
      <c r="D491" s="14"/>
      <c r="E491" s="14"/>
      <c r="F491" s="14"/>
      <c r="G491" s="14"/>
      <c r="H491" s="15" t="s">
        <v>2203</v>
      </c>
      <c r="I491" s="14"/>
      <c r="J491" s="14"/>
      <c r="K491" s="14" t="s">
        <v>2204</v>
      </c>
      <c r="L491" s="14" t="s">
        <v>48</v>
      </c>
      <c r="M491" s="14" t="s">
        <v>565</v>
      </c>
      <c r="N491" s="14" t="b">
        <v>0</v>
      </c>
      <c r="O491" s="14"/>
      <c r="P491" s="14"/>
      <c r="Q491" s="14"/>
      <c r="R491" s="14"/>
      <c r="S491" s="14" t="s">
        <v>2205</v>
      </c>
      <c r="T491" s="13" t="s">
        <v>229</v>
      </c>
      <c r="U491" s="17"/>
      <c r="V491" s="14"/>
      <c r="W491" s="14"/>
      <c r="X491" s="18"/>
      <c r="Y491" s="18"/>
      <c r="Z491" s="18"/>
      <c r="AA491" s="19">
        <f t="shared" si="1"/>
        <v>7</v>
      </c>
      <c r="AB491" s="19" t="str">
        <f t="shared" si="2"/>
        <v/>
      </c>
    </row>
    <row r="492" ht="15.75" customHeight="1">
      <c r="A492" s="12">
        <v>45118.0</v>
      </c>
      <c r="B492" s="13" t="s">
        <v>28</v>
      </c>
      <c r="C492" s="14" t="s">
        <v>2206</v>
      </c>
      <c r="D492" s="14" t="s">
        <v>2207</v>
      </c>
      <c r="E492" s="13">
        <v>10.0</v>
      </c>
      <c r="F492" s="14"/>
      <c r="G492" s="14"/>
      <c r="H492" s="152" t="s">
        <v>2208</v>
      </c>
      <c r="I492" s="14"/>
      <c r="J492" s="14"/>
      <c r="K492" s="14" t="s">
        <v>2209</v>
      </c>
      <c r="L492" s="14" t="s">
        <v>111</v>
      </c>
      <c r="M492" s="14" t="s">
        <v>13</v>
      </c>
      <c r="N492" s="14" t="b">
        <v>1</v>
      </c>
      <c r="O492" s="56" t="s">
        <v>2210</v>
      </c>
      <c r="P492" s="13" t="s">
        <v>42</v>
      </c>
      <c r="Q492" s="14"/>
      <c r="R492" s="14"/>
      <c r="S492" s="14" t="s">
        <v>2211</v>
      </c>
      <c r="T492" s="13" t="s">
        <v>229</v>
      </c>
      <c r="U492" s="17"/>
      <c r="V492" s="32">
        <v>45121.0</v>
      </c>
      <c r="W492" s="24" t="s">
        <v>130</v>
      </c>
      <c r="X492" s="25">
        <v>525000.0</v>
      </c>
      <c r="Y492" s="25">
        <f t="shared" ref="Y492:Y494" si="6">X492-Z492</f>
        <v>0</v>
      </c>
      <c r="Z492" s="25">
        <v>525000.0</v>
      </c>
      <c r="AA492" s="19">
        <f t="shared" si="1"/>
        <v>7</v>
      </c>
      <c r="AB492" s="19" t="str">
        <f t="shared" si="2"/>
        <v/>
      </c>
    </row>
    <row r="493" ht="15.75" customHeight="1">
      <c r="A493" s="26">
        <v>45118.0</v>
      </c>
      <c r="B493" s="13" t="s">
        <v>28</v>
      </c>
      <c r="C493" s="153" t="s">
        <v>2212</v>
      </c>
      <c r="D493" s="110" t="s">
        <v>2213</v>
      </c>
      <c r="E493" s="24">
        <v>8.0</v>
      </c>
      <c r="F493" s="27">
        <v>1.0</v>
      </c>
      <c r="G493" s="27"/>
      <c r="H493" s="152"/>
      <c r="I493" s="27"/>
      <c r="J493" s="27"/>
      <c r="K493" s="24" t="s">
        <v>2214</v>
      </c>
      <c r="L493" s="27" t="s">
        <v>48</v>
      </c>
      <c r="M493" s="27" t="s">
        <v>67</v>
      </c>
      <c r="N493" s="14" t="b">
        <v>1</v>
      </c>
      <c r="O493" s="24" t="s">
        <v>2215</v>
      </c>
      <c r="P493" s="13" t="s">
        <v>69</v>
      </c>
      <c r="Q493" s="24" t="s">
        <v>91</v>
      </c>
      <c r="R493" s="27"/>
      <c r="S493" s="27" t="s">
        <v>2216</v>
      </c>
      <c r="T493" s="24" t="s">
        <v>72</v>
      </c>
      <c r="U493" s="26"/>
      <c r="V493" s="32">
        <v>45126.0</v>
      </c>
      <c r="W493" s="24" t="s">
        <v>130</v>
      </c>
      <c r="X493" s="25">
        <v>4375000.0</v>
      </c>
      <c r="Y493" s="25">
        <f t="shared" si="6"/>
        <v>0</v>
      </c>
      <c r="Z493" s="25">
        <v>4375000.0</v>
      </c>
      <c r="AA493" s="19">
        <f t="shared" si="1"/>
        <v>7</v>
      </c>
      <c r="AB493" s="19">
        <f t="shared" si="2"/>
        <v>7</v>
      </c>
    </row>
    <row r="494" ht="15.75" customHeight="1">
      <c r="A494" s="26"/>
      <c r="B494" s="13" t="s">
        <v>28</v>
      </c>
      <c r="C494" s="153" t="s">
        <v>2212</v>
      </c>
      <c r="D494" s="110" t="s">
        <v>2213</v>
      </c>
      <c r="E494" s="27"/>
      <c r="F494" s="27"/>
      <c r="G494" s="27"/>
      <c r="H494" s="34"/>
      <c r="I494" s="27"/>
      <c r="J494" s="27"/>
      <c r="K494" s="27"/>
      <c r="L494" s="27" t="s">
        <v>48</v>
      </c>
      <c r="M494" s="27" t="s">
        <v>67</v>
      </c>
      <c r="N494" s="14" t="b">
        <v>0</v>
      </c>
      <c r="O494" s="27"/>
      <c r="P494" s="27"/>
      <c r="Q494" s="24" t="s">
        <v>91</v>
      </c>
      <c r="R494" s="27"/>
      <c r="S494" s="27" t="s">
        <v>2217</v>
      </c>
      <c r="T494" s="24" t="s">
        <v>72</v>
      </c>
      <c r="U494" s="26"/>
      <c r="V494" s="32">
        <v>45136.0</v>
      </c>
      <c r="W494" s="24" t="s">
        <v>130</v>
      </c>
      <c r="X494" s="25">
        <v>3850000.0</v>
      </c>
      <c r="Y494" s="25">
        <f t="shared" si="6"/>
        <v>800000</v>
      </c>
      <c r="Z494" s="25">
        <v>3050000.0</v>
      </c>
      <c r="AA494" s="19" t="str">
        <f t="shared" si="1"/>
        <v/>
      </c>
      <c r="AB494" s="19">
        <f t="shared" si="2"/>
        <v>7</v>
      </c>
    </row>
    <row r="495" ht="15.75" customHeight="1">
      <c r="A495" s="26"/>
      <c r="B495" s="13" t="s">
        <v>28</v>
      </c>
      <c r="C495" s="153" t="s">
        <v>2212</v>
      </c>
      <c r="D495" s="110" t="s">
        <v>2213</v>
      </c>
      <c r="E495" s="27"/>
      <c r="F495" s="27"/>
      <c r="G495" s="27"/>
      <c r="H495" s="34"/>
      <c r="I495" s="27"/>
      <c r="J495" s="27"/>
      <c r="K495" s="27"/>
      <c r="L495" s="27" t="s">
        <v>48</v>
      </c>
      <c r="M495" s="27" t="s">
        <v>67</v>
      </c>
      <c r="N495" s="14" t="b">
        <v>0</v>
      </c>
      <c r="O495" s="27"/>
      <c r="P495" s="27"/>
      <c r="Q495" s="24" t="s">
        <v>91</v>
      </c>
      <c r="R495" s="27"/>
      <c r="S495" s="27" t="s">
        <v>2218</v>
      </c>
      <c r="T495" s="24" t="s">
        <v>72</v>
      </c>
      <c r="U495" s="26"/>
      <c r="V495" s="32">
        <v>45126.0</v>
      </c>
      <c r="W495" s="24" t="s">
        <v>862</v>
      </c>
      <c r="X495" s="25">
        <v>2558000.0</v>
      </c>
      <c r="Y495" s="25">
        <v>0.0</v>
      </c>
      <c r="Z495" s="25">
        <v>2558000.0</v>
      </c>
      <c r="AA495" s="19" t="str">
        <f t="shared" si="1"/>
        <v/>
      </c>
      <c r="AB495" s="19">
        <f t="shared" si="2"/>
        <v>7</v>
      </c>
    </row>
    <row r="496" ht="15.75" customHeight="1">
      <c r="A496" s="26">
        <v>45118.0</v>
      </c>
      <c r="B496" s="27" t="s">
        <v>201</v>
      </c>
      <c r="C496" s="24" t="s">
        <v>2219</v>
      </c>
      <c r="D496" s="27" t="s">
        <v>2220</v>
      </c>
      <c r="E496" s="24">
        <v>9.0</v>
      </c>
      <c r="F496" s="27"/>
      <c r="G496" s="27"/>
      <c r="H496" s="34" t="s">
        <v>2221</v>
      </c>
      <c r="I496" s="27"/>
      <c r="J496" s="27"/>
      <c r="K496" s="24" t="s">
        <v>2222</v>
      </c>
      <c r="L496" s="27" t="s">
        <v>111</v>
      </c>
      <c r="M496" s="27" t="s">
        <v>67</v>
      </c>
      <c r="N496" s="14" t="b">
        <v>1</v>
      </c>
      <c r="O496" s="24" t="s">
        <v>2223</v>
      </c>
      <c r="P496" s="13" t="s">
        <v>42</v>
      </c>
      <c r="Q496" s="24" t="s">
        <v>238</v>
      </c>
      <c r="R496" s="27"/>
      <c r="S496" s="27" t="s">
        <v>2224</v>
      </c>
      <c r="T496" s="24" t="s">
        <v>72</v>
      </c>
      <c r="U496" s="26"/>
      <c r="V496" s="14"/>
      <c r="W496" s="14"/>
      <c r="X496" s="18"/>
      <c r="Y496" s="18"/>
      <c r="Z496" s="18"/>
      <c r="AA496" s="19">
        <f t="shared" si="1"/>
        <v>7</v>
      </c>
      <c r="AB496" s="19">
        <f t="shared" si="2"/>
        <v>7</v>
      </c>
    </row>
    <row r="497" ht="15.75" customHeight="1">
      <c r="A497" s="12">
        <v>45118.0</v>
      </c>
      <c r="B497" s="14" t="s">
        <v>201</v>
      </c>
      <c r="C497" s="13" t="s">
        <v>2219</v>
      </c>
      <c r="D497" s="14" t="s">
        <v>2225</v>
      </c>
      <c r="E497" s="13">
        <v>15.0</v>
      </c>
      <c r="F497" s="14">
        <v>10.0</v>
      </c>
      <c r="G497" s="14"/>
      <c r="H497" s="15" t="s">
        <v>2221</v>
      </c>
      <c r="I497" s="14"/>
      <c r="J497" s="14"/>
      <c r="K497" s="14" t="s">
        <v>2226</v>
      </c>
      <c r="L497" s="14" t="s">
        <v>111</v>
      </c>
      <c r="M497" s="14" t="s">
        <v>13</v>
      </c>
      <c r="N497" s="14" t="b">
        <v>1</v>
      </c>
      <c r="O497" s="14" t="s">
        <v>2227</v>
      </c>
      <c r="P497" s="13" t="s">
        <v>42</v>
      </c>
      <c r="Q497" s="14"/>
      <c r="R497" s="14"/>
      <c r="S497" s="14" t="s">
        <v>2224</v>
      </c>
      <c r="T497" s="13" t="s">
        <v>129</v>
      </c>
      <c r="U497" s="17"/>
      <c r="V497" s="14"/>
      <c r="W497" s="14"/>
      <c r="X497" s="18"/>
      <c r="Y497" s="18"/>
      <c r="Z497" s="18"/>
      <c r="AA497" s="19">
        <f t="shared" si="1"/>
        <v>7</v>
      </c>
      <c r="AB497" s="19" t="str">
        <f t="shared" si="2"/>
        <v/>
      </c>
    </row>
    <row r="498" ht="15.75" customHeight="1">
      <c r="A498" s="12">
        <v>45118.0</v>
      </c>
      <c r="B498" s="13" t="s">
        <v>28</v>
      </c>
      <c r="C498" s="37" t="s">
        <v>2228</v>
      </c>
      <c r="D498" s="14"/>
      <c r="E498" s="13">
        <v>9.0</v>
      </c>
      <c r="F498" s="14">
        <v>4.0</v>
      </c>
      <c r="G498" s="14"/>
      <c r="H498" s="57" t="s">
        <v>2229</v>
      </c>
      <c r="I498" s="14"/>
      <c r="J498" s="14"/>
      <c r="K498" s="14"/>
      <c r="L498" s="14" t="s">
        <v>48</v>
      </c>
      <c r="M498" s="14" t="s">
        <v>565</v>
      </c>
      <c r="N498" s="14" t="b">
        <v>0</v>
      </c>
      <c r="O498" s="14"/>
      <c r="P498" s="14"/>
      <c r="Q498" s="14"/>
      <c r="R498" s="14"/>
      <c r="S498" s="14" t="s">
        <v>2230</v>
      </c>
      <c r="T498" s="13" t="s">
        <v>129</v>
      </c>
      <c r="U498" s="17">
        <v>45122.0</v>
      </c>
      <c r="V498" s="14"/>
      <c r="W498" s="14"/>
      <c r="X498" s="18"/>
      <c r="Y498" s="18"/>
      <c r="Z498" s="18"/>
      <c r="AA498" s="19">
        <f t="shared" si="1"/>
        <v>7</v>
      </c>
      <c r="AB498" s="19" t="str">
        <f t="shared" si="2"/>
        <v/>
      </c>
    </row>
    <row r="499" ht="15.75" customHeight="1">
      <c r="A499" s="12">
        <v>45118.0</v>
      </c>
      <c r="B499" s="13" t="s">
        <v>28</v>
      </c>
      <c r="C499" s="14" t="s">
        <v>2231</v>
      </c>
      <c r="D499" s="14"/>
      <c r="E499" s="14"/>
      <c r="F499" s="14"/>
      <c r="G499" s="14"/>
      <c r="H499" s="15" t="s">
        <v>2232</v>
      </c>
      <c r="I499" s="14"/>
      <c r="J499" s="14"/>
      <c r="K499" s="14" t="s">
        <v>2233</v>
      </c>
      <c r="L499" s="14" t="s">
        <v>111</v>
      </c>
      <c r="M499" s="14" t="s">
        <v>34</v>
      </c>
      <c r="N499" s="14" t="b">
        <v>0</v>
      </c>
      <c r="O499" s="14"/>
      <c r="P499" s="14"/>
      <c r="Q499" s="14"/>
      <c r="R499" s="14"/>
      <c r="S499" s="14" t="s">
        <v>2234</v>
      </c>
      <c r="T499" s="14" t="s">
        <v>36</v>
      </c>
      <c r="U499" s="17"/>
      <c r="V499" s="14"/>
      <c r="W499" s="14"/>
      <c r="X499" s="18"/>
      <c r="Y499" s="18"/>
      <c r="Z499" s="18"/>
      <c r="AA499" s="19">
        <f t="shared" si="1"/>
        <v>7</v>
      </c>
      <c r="AB499" s="19" t="str">
        <f t="shared" si="2"/>
        <v/>
      </c>
    </row>
    <row r="500" ht="15.75" customHeight="1">
      <c r="A500" s="12">
        <v>45119.0</v>
      </c>
      <c r="B500" s="14" t="s">
        <v>201</v>
      </c>
      <c r="C500" s="13" t="s">
        <v>2235</v>
      </c>
      <c r="D500" s="14" t="s">
        <v>2236</v>
      </c>
      <c r="E500" s="14"/>
      <c r="F500" s="14"/>
      <c r="G500" s="14"/>
      <c r="H500" s="15" t="s">
        <v>2237</v>
      </c>
      <c r="I500" s="14"/>
      <c r="J500" s="14"/>
      <c r="K500" s="13" t="s">
        <v>2238</v>
      </c>
      <c r="L500" s="14" t="s">
        <v>111</v>
      </c>
      <c r="M500" s="14" t="s">
        <v>565</v>
      </c>
      <c r="N500" s="14" t="b">
        <v>0</v>
      </c>
      <c r="O500" s="14"/>
      <c r="P500" s="14"/>
      <c r="Q500" s="14"/>
      <c r="R500" s="14"/>
      <c r="S500" s="14" t="s">
        <v>2239</v>
      </c>
      <c r="T500" s="13" t="s">
        <v>129</v>
      </c>
      <c r="U500" s="17">
        <v>45170.0</v>
      </c>
      <c r="V500" s="32">
        <v>45124.0</v>
      </c>
      <c r="W500" s="24" t="s">
        <v>575</v>
      </c>
      <c r="X500" s="25">
        <v>3062000.0</v>
      </c>
      <c r="Y500" s="25">
        <v>0.0</v>
      </c>
      <c r="Z500" s="25">
        <v>3062000.0</v>
      </c>
      <c r="AA500" s="19">
        <f t="shared" si="1"/>
        <v>7</v>
      </c>
      <c r="AB500" s="19" t="str">
        <f t="shared" si="2"/>
        <v/>
      </c>
    </row>
    <row r="501" ht="15.75" customHeight="1">
      <c r="A501" s="26">
        <v>45119.0</v>
      </c>
      <c r="B501" s="27" t="s">
        <v>201</v>
      </c>
      <c r="C501" s="24" t="s">
        <v>2240</v>
      </c>
      <c r="D501" s="27" t="s">
        <v>2241</v>
      </c>
      <c r="E501" s="24">
        <v>11.0</v>
      </c>
      <c r="F501" s="27" t="s">
        <v>2242</v>
      </c>
      <c r="G501" s="27"/>
      <c r="H501" s="34" t="s">
        <v>2243</v>
      </c>
      <c r="I501" s="27"/>
      <c r="J501" s="27"/>
      <c r="K501" s="27"/>
      <c r="L501" s="27" t="s">
        <v>111</v>
      </c>
      <c r="M501" s="27" t="s">
        <v>67</v>
      </c>
      <c r="N501" s="14" t="b">
        <v>1</v>
      </c>
      <c r="O501" s="24" t="s">
        <v>2244</v>
      </c>
      <c r="P501" s="13" t="s">
        <v>69</v>
      </c>
      <c r="Q501" s="24" t="s">
        <v>91</v>
      </c>
      <c r="R501" s="27"/>
      <c r="S501" s="27" t="s">
        <v>2245</v>
      </c>
      <c r="T501" s="24" t="s">
        <v>72</v>
      </c>
      <c r="U501" s="26"/>
      <c r="V501" s="32">
        <v>45120.0</v>
      </c>
      <c r="W501" s="24" t="s">
        <v>130</v>
      </c>
      <c r="X501" s="25">
        <v>6124000.0</v>
      </c>
      <c r="Y501" s="25">
        <v>600000.0</v>
      </c>
      <c r="Z501" s="25">
        <v>5524000.0</v>
      </c>
      <c r="AA501" s="19">
        <f t="shared" si="1"/>
        <v>7</v>
      </c>
      <c r="AB501" s="19">
        <f t="shared" si="2"/>
        <v>7</v>
      </c>
    </row>
    <row r="502" ht="15.75" customHeight="1">
      <c r="A502" s="26">
        <v>45119.0</v>
      </c>
      <c r="B502" s="27" t="s">
        <v>201</v>
      </c>
      <c r="C502" s="24" t="s">
        <v>2246</v>
      </c>
      <c r="D502" s="27" t="s">
        <v>2247</v>
      </c>
      <c r="E502" s="24">
        <v>9.0</v>
      </c>
      <c r="F502" s="27" t="s">
        <v>2248</v>
      </c>
      <c r="G502" s="27"/>
      <c r="H502" s="34" t="s">
        <v>2249</v>
      </c>
      <c r="I502" s="27"/>
      <c r="J502" s="27"/>
      <c r="K502" s="27"/>
      <c r="L502" s="27" t="s">
        <v>111</v>
      </c>
      <c r="M502" s="27" t="s">
        <v>67</v>
      </c>
      <c r="N502" s="14" t="b">
        <v>1</v>
      </c>
      <c r="O502" s="24" t="s">
        <v>2250</v>
      </c>
      <c r="P502" s="13" t="s">
        <v>69</v>
      </c>
      <c r="Q502" s="24" t="s">
        <v>91</v>
      </c>
      <c r="R502" s="27" t="s">
        <v>2251</v>
      </c>
      <c r="S502" s="27" t="s">
        <v>2245</v>
      </c>
      <c r="T502" s="24" t="s">
        <v>72</v>
      </c>
      <c r="U502" s="26"/>
      <c r="V502" s="14"/>
      <c r="W502" s="14"/>
      <c r="X502" s="18"/>
      <c r="Y502" s="18"/>
      <c r="Z502" s="18"/>
      <c r="AA502" s="19">
        <f t="shared" si="1"/>
        <v>7</v>
      </c>
      <c r="AB502" s="19">
        <f t="shared" si="2"/>
        <v>7</v>
      </c>
    </row>
    <row r="503" ht="15.75" customHeight="1">
      <c r="A503" s="12">
        <v>45119.0</v>
      </c>
      <c r="B503" s="14" t="s">
        <v>703</v>
      </c>
      <c r="C503" s="14" t="s">
        <v>2252</v>
      </c>
      <c r="D503" s="14"/>
      <c r="E503" s="14"/>
      <c r="F503" s="14"/>
      <c r="G503" s="14"/>
      <c r="H503" s="15" t="s">
        <v>2253</v>
      </c>
      <c r="I503" s="14"/>
      <c r="J503" s="14"/>
      <c r="K503" s="14"/>
      <c r="L503" s="14" t="s">
        <v>48</v>
      </c>
      <c r="M503" s="14" t="s">
        <v>565</v>
      </c>
      <c r="N503" s="14" t="b">
        <v>0</v>
      </c>
      <c r="O503" s="14"/>
      <c r="P503" s="14"/>
      <c r="Q503" s="14"/>
      <c r="R503" s="14"/>
      <c r="S503" s="14" t="s">
        <v>2254</v>
      </c>
      <c r="T503" s="13" t="s">
        <v>229</v>
      </c>
      <c r="U503" s="17"/>
      <c r="V503" s="14"/>
      <c r="W503" s="14"/>
      <c r="X503" s="18"/>
      <c r="Y503" s="18"/>
      <c r="Z503" s="18"/>
      <c r="AA503" s="19">
        <f t="shared" si="1"/>
        <v>7</v>
      </c>
      <c r="AB503" s="19" t="str">
        <f t="shared" si="2"/>
        <v/>
      </c>
    </row>
    <row r="504" ht="15.75" customHeight="1">
      <c r="A504" s="12">
        <v>45119.0</v>
      </c>
      <c r="B504" s="14" t="s">
        <v>201</v>
      </c>
      <c r="C504" s="13" t="s">
        <v>2255</v>
      </c>
      <c r="D504" s="14"/>
      <c r="E504" s="13">
        <v>5.0</v>
      </c>
      <c r="F504" s="14"/>
      <c r="G504" s="14"/>
      <c r="H504" s="15" t="s">
        <v>2256</v>
      </c>
      <c r="I504" s="14"/>
      <c r="J504" s="14"/>
      <c r="K504" s="14" t="s">
        <v>2257</v>
      </c>
      <c r="L504" s="14" t="s">
        <v>48</v>
      </c>
      <c r="M504" s="14" t="s">
        <v>565</v>
      </c>
      <c r="N504" s="13" t="b">
        <v>1</v>
      </c>
      <c r="O504" s="14" t="s">
        <v>2258</v>
      </c>
      <c r="P504" s="13" t="s">
        <v>69</v>
      </c>
      <c r="Q504" s="14"/>
      <c r="R504" s="14"/>
      <c r="S504" s="14" t="s">
        <v>2259</v>
      </c>
      <c r="T504" s="13" t="s">
        <v>129</v>
      </c>
      <c r="U504" s="17">
        <v>45122.0</v>
      </c>
      <c r="V504" s="14"/>
      <c r="W504" s="14"/>
      <c r="X504" s="18"/>
      <c r="Y504" s="18"/>
      <c r="Z504" s="18"/>
      <c r="AA504" s="19">
        <f t="shared" si="1"/>
        <v>7</v>
      </c>
      <c r="AB504" s="19" t="str">
        <f t="shared" si="2"/>
        <v/>
      </c>
    </row>
    <row r="505" ht="15.75" customHeight="1">
      <c r="A505" s="12">
        <v>45119.0</v>
      </c>
      <c r="B505" s="14" t="s">
        <v>703</v>
      </c>
      <c r="C505" s="14" t="s">
        <v>2260</v>
      </c>
      <c r="D505" s="14"/>
      <c r="E505" s="14"/>
      <c r="F505" s="14"/>
      <c r="G505" s="14"/>
      <c r="H505" s="154" t="s">
        <v>2261</v>
      </c>
      <c r="I505" s="14"/>
      <c r="J505" s="14"/>
      <c r="K505" s="14"/>
      <c r="L505" s="14" t="s">
        <v>48</v>
      </c>
      <c r="M505" s="14" t="s">
        <v>216</v>
      </c>
      <c r="N505" s="14" t="b">
        <v>0</v>
      </c>
      <c r="O505" s="14"/>
      <c r="P505" s="14"/>
      <c r="Q505" s="14"/>
      <c r="R505" s="14"/>
      <c r="S505" s="14" t="s">
        <v>2262</v>
      </c>
      <c r="T505" s="14" t="s">
        <v>36</v>
      </c>
      <c r="U505" s="17"/>
      <c r="V505" s="14"/>
      <c r="W505" s="14"/>
      <c r="X505" s="18"/>
      <c r="Y505" s="18"/>
      <c r="Z505" s="18"/>
      <c r="AA505" s="19">
        <f t="shared" si="1"/>
        <v>7</v>
      </c>
      <c r="AB505" s="19" t="str">
        <f t="shared" si="2"/>
        <v/>
      </c>
    </row>
    <row r="506" ht="15.75" customHeight="1">
      <c r="A506" s="12">
        <v>45119.0</v>
      </c>
      <c r="B506" s="14" t="s">
        <v>703</v>
      </c>
      <c r="C506" s="14" t="s">
        <v>2040</v>
      </c>
      <c r="D506" s="14"/>
      <c r="E506" s="14"/>
      <c r="F506" s="14"/>
      <c r="G506" s="14"/>
      <c r="H506" s="15" t="s">
        <v>2263</v>
      </c>
      <c r="I506" s="14"/>
      <c r="J506" s="14"/>
      <c r="K506" s="14"/>
      <c r="L506" s="14" t="s">
        <v>48</v>
      </c>
      <c r="M506" s="14" t="s">
        <v>216</v>
      </c>
      <c r="N506" s="14" t="b">
        <v>0</v>
      </c>
      <c r="O506" s="14"/>
      <c r="P506" s="14"/>
      <c r="Q506" s="14"/>
      <c r="R506" s="14"/>
      <c r="S506" s="14" t="s">
        <v>2264</v>
      </c>
      <c r="T506" s="14" t="s">
        <v>36</v>
      </c>
      <c r="U506" s="17"/>
      <c r="V506" s="32">
        <v>45122.0</v>
      </c>
      <c r="W506" s="24" t="s">
        <v>407</v>
      </c>
      <c r="X506" s="25">
        <v>6124000.0</v>
      </c>
      <c r="Y506" s="25">
        <f>X506-Z506</f>
        <v>765720</v>
      </c>
      <c r="Z506" s="25">
        <v>5358280.0</v>
      </c>
      <c r="AA506" s="19">
        <f t="shared" si="1"/>
        <v>7</v>
      </c>
      <c r="AB506" s="19" t="str">
        <f t="shared" si="2"/>
        <v/>
      </c>
    </row>
    <row r="507" ht="15.75" customHeight="1">
      <c r="A507" s="26">
        <v>45119.0</v>
      </c>
      <c r="B507" s="27" t="s">
        <v>201</v>
      </c>
      <c r="C507" s="24" t="s">
        <v>2265</v>
      </c>
      <c r="D507" s="27" t="s">
        <v>2266</v>
      </c>
      <c r="E507" s="24">
        <v>9.0</v>
      </c>
      <c r="F507" s="27">
        <v>4.0</v>
      </c>
      <c r="G507" s="27"/>
      <c r="H507" s="34" t="s">
        <v>2267</v>
      </c>
      <c r="I507" s="27"/>
      <c r="J507" s="27" t="s">
        <v>2268</v>
      </c>
      <c r="K507" s="27" t="s">
        <v>2269</v>
      </c>
      <c r="L507" s="27" t="s">
        <v>48</v>
      </c>
      <c r="M507" s="27" t="s">
        <v>67</v>
      </c>
      <c r="N507" s="14" t="b">
        <v>1</v>
      </c>
      <c r="O507" s="24" t="s">
        <v>2270</v>
      </c>
      <c r="P507" s="13" t="s">
        <v>42</v>
      </c>
      <c r="Q507" s="24" t="s">
        <v>91</v>
      </c>
      <c r="R507" s="27"/>
      <c r="S507" s="24" t="s">
        <v>2271</v>
      </c>
      <c r="T507" s="24" t="s">
        <v>72</v>
      </c>
      <c r="U507" s="26"/>
      <c r="V507" s="14"/>
      <c r="W507" s="14"/>
      <c r="X507" s="18"/>
      <c r="Y507" s="18"/>
      <c r="Z507" s="18"/>
      <c r="AA507" s="19">
        <f t="shared" si="1"/>
        <v>7</v>
      </c>
      <c r="AB507" s="19">
        <f t="shared" si="2"/>
        <v>7</v>
      </c>
    </row>
    <row r="508" ht="15.75" customHeight="1">
      <c r="A508" s="12">
        <v>45105.0</v>
      </c>
      <c r="B508" s="13" t="s">
        <v>28</v>
      </c>
      <c r="C508" s="14" t="s">
        <v>2272</v>
      </c>
      <c r="D508" s="14"/>
      <c r="E508" s="14"/>
      <c r="F508" s="14"/>
      <c r="G508" s="14"/>
      <c r="H508" s="15" t="s">
        <v>2273</v>
      </c>
      <c r="I508" s="14"/>
      <c r="J508" s="14"/>
      <c r="K508" s="14"/>
      <c r="L508" s="27" t="s">
        <v>111</v>
      </c>
      <c r="M508" s="14" t="s">
        <v>565</v>
      </c>
      <c r="N508" s="14" t="b">
        <v>0</v>
      </c>
      <c r="O508" s="14"/>
      <c r="P508" s="14"/>
      <c r="Q508" s="14"/>
      <c r="R508" s="14"/>
      <c r="S508" s="14" t="s">
        <v>2274</v>
      </c>
      <c r="T508" s="13" t="s">
        <v>129</v>
      </c>
      <c r="U508" s="17"/>
      <c r="V508" s="14"/>
      <c r="W508" s="14"/>
      <c r="X508" s="18"/>
      <c r="Y508" s="18"/>
      <c r="Z508" s="18"/>
      <c r="AA508" s="19">
        <f t="shared" si="1"/>
        <v>6</v>
      </c>
      <c r="AB508" s="19" t="str">
        <f t="shared" si="2"/>
        <v/>
      </c>
    </row>
    <row r="509" ht="15.75" customHeight="1">
      <c r="A509" s="12">
        <v>45119.0</v>
      </c>
      <c r="B509" s="14" t="s">
        <v>703</v>
      </c>
      <c r="C509" s="14" t="s">
        <v>2275</v>
      </c>
      <c r="D509" s="14"/>
      <c r="E509" s="14"/>
      <c r="F509" s="14"/>
      <c r="G509" s="14"/>
      <c r="H509" s="15" t="s">
        <v>2276</v>
      </c>
      <c r="I509" s="14"/>
      <c r="J509" s="14"/>
      <c r="K509" s="14"/>
      <c r="L509" s="14" t="s">
        <v>111</v>
      </c>
      <c r="M509" s="14" t="s">
        <v>34</v>
      </c>
      <c r="N509" s="14" t="b">
        <v>0</v>
      </c>
      <c r="O509" s="14"/>
      <c r="P509" s="14"/>
      <c r="Q509" s="14"/>
      <c r="R509" s="14"/>
      <c r="S509" s="14" t="s">
        <v>2277</v>
      </c>
      <c r="T509" s="14" t="s">
        <v>36</v>
      </c>
      <c r="U509" s="17"/>
      <c r="V509" s="14"/>
      <c r="W509" s="14"/>
      <c r="X509" s="18"/>
      <c r="Y509" s="18"/>
      <c r="Z509" s="18"/>
      <c r="AA509" s="19">
        <f t="shared" si="1"/>
        <v>7</v>
      </c>
      <c r="AB509" s="19" t="str">
        <f t="shared" si="2"/>
        <v/>
      </c>
    </row>
    <row r="510" ht="15.75" customHeight="1">
      <c r="A510" s="12">
        <v>45119.0</v>
      </c>
      <c r="B510" s="14" t="s">
        <v>703</v>
      </c>
      <c r="C510" s="14" t="s">
        <v>2278</v>
      </c>
      <c r="D510" s="14"/>
      <c r="E510" s="14"/>
      <c r="F510" s="14"/>
      <c r="G510" s="14"/>
      <c r="H510" s="15" t="s">
        <v>2279</v>
      </c>
      <c r="I510" s="14"/>
      <c r="J510" s="14"/>
      <c r="K510" s="14"/>
      <c r="L510" s="14" t="s">
        <v>48</v>
      </c>
      <c r="M510" s="14" t="s">
        <v>216</v>
      </c>
      <c r="N510" s="14" t="b">
        <v>0</v>
      </c>
      <c r="O510" s="14"/>
      <c r="P510" s="14"/>
      <c r="Q510" s="14"/>
      <c r="R510" s="14"/>
      <c r="S510" s="14" t="s">
        <v>2280</v>
      </c>
      <c r="T510" s="14" t="s">
        <v>36</v>
      </c>
      <c r="U510" s="17"/>
      <c r="V510" s="14"/>
      <c r="W510" s="14"/>
      <c r="X510" s="18"/>
      <c r="Y510" s="18"/>
      <c r="Z510" s="18"/>
      <c r="AA510" s="19">
        <f t="shared" si="1"/>
        <v>7</v>
      </c>
      <c r="AB510" s="19" t="str">
        <f t="shared" si="2"/>
        <v/>
      </c>
    </row>
    <row r="511" ht="15.75" customHeight="1">
      <c r="A511" s="12">
        <v>45119.0</v>
      </c>
      <c r="B511" s="14" t="s">
        <v>703</v>
      </c>
      <c r="C511" s="14" t="s">
        <v>2281</v>
      </c>
      <c r="D511" s="14"/>
      <c r="E511" s="14"/>
      <c r="F511" s="14"/>
      <c r="G511" s="14"/>
      <c r="H511" s="15" t="s">
        <v>2282</v>
      </c>
      <c r="I511" s="14"/>
      <c r="J511" s="14"/>
      <c r="K511" s="14"/>
      <c r="L511" s="14" t="s">
        <v>48</v>
      </c>
      <c r="M511" s="14" t="s">
        <v>216</v>
      </c>
      <c r="N511" s="14" t="b">
        <v>0</v>
      </c>
      <c r="O511" s="14"/>
      <c r="P511" s="14"/>
      <c r="Q511" s="14"/>
      <c r="R511" s="14"/>
      <c r="S511" s="14" t="s">
        <v>2280</v>
      </c>
      <c r="T511" s="14" t="s">
        <v>36</v>
      </c>
      <c r="U511" s="17"/>
      <c r="V511" s="14"/>
      <c r="W511" s="14"/>
      <c r="X511" s="18"/>
      <c r="Y511" s="18"/>
      <c r="Z511" s="18"/>
      <c r="AA511" s="19">
        <f t="shared" si="1"/>
        <v>7</v>
      </c>
      <c r="AB511" s="19" t="str">
        <f t="shared" si="2"/>
        <v/>
      </c>
    </row>
    <row r="512" ht="15.75" customHeight="1">
      <c r="A512" s="12">
        <v>45119.0</v>
      </c>
      <c r="B512" s="14" t="s">
        <v>703</v>
      </c>
      <c r="C512" s="13" t="s">
        <v>2283</v>
      </c>
      <c r="D512" s="14"/>
      <c r="E512" s="14"/>
      <c r="F512" s="14"/>
      <c r="G512" s="14"/>
      <c r="H512" s="15" t="s">
        <v>2284</v>
      </c>
      <c r="I512" s="14"/>
      <c r="J512" s="14"/>
      <c r="K512" s="14"/>
      <c r="L512" s="14" t="s">
        <v>111</v>
      </c>
      <c r="M512" s="14" t="s">
        <v>34</v>
      </c>
      <c r="N512" s="14" t="b">
        <v>0</v>
      </c>
      <c r="O512" s="14"/>
      <c r="P512" s="14"/>
      <c r="Q512" s="14"/>
      <c r="R512" s="14"/>
      <c r="S512" s="14" t="s">
        <v>2285</v>
      </c>
      <c r="T512" s="14" t="s">
        <v>36</v>
      </c>
      <c r="U512" s="17"/>
      <c r="V512" s="14"/>
      <c r="W512" s="14"/>
      <c r="X512" s="18"/>
      <c r="Y512" s="18"/>
      <c r="Z512" s="18"/>
      <c r="AA512" s="19">
        <f t="shared" si="1"/>
        <v>7</v>
      </c>
      <c r="AB512" s="19" t="str">
        <f t="shared" si="2"/>
        <v/>
      </c>
    </row>
    <row r="513" ht="15.75" customHeight="1">
      <c r="A513" s="12">
        <v>45119.0</v>
      </c>
      <c r="B513" s="14" t="s">
        <v>703</v>
      </c>
      <c r="C513" s="14" t="s">
        <v>2286</v>
      </c>
      <c r="D513" s="14"/>
      <c r="E513" s="14"/>
      <c r="F513" s="14"/>
      <c r="G513" s="14"/>
      <c r="H513" s="15" t="s">
        <v>2287</v>
      </c>
      <c r="I513" s="14"/>
      <c r="J513" s="14"/>
      <c r="K513" s="14"/>
      <c r="L513" s="14" t="s">
        <v>111</v>
      </c>
      <c r="M513" s="14" t="s">
        <v>34</v>
      </c>
      <c r="N513" s="14" t="b">
        <v>0</v>
      </c>
      <c r="O513" s="14"/>
      <c r="P513" s="14"/>
      <c r="Q513" s="14"/>
      <c r="R513" s="14"/>
      <c r="S513" s="14" t="s">
        <v>2288</v>
      </c>
      <c r="T513" s="14" t="s">
        <v>36</v>
      </c>
      <c r="U513" s="17"/>
      <c r="V513" s="14"/>
      <c r="W513" s="14"/>
      <c r="X513" s="18"/>
      <c r="Y513" s="18"/>
      <c r="Z513" s="18"/>
      <c r="AA513" s="19">
        <f t="shared" si="1"/>
        <v>7</v>
      </c>
      <c r="AB513" s="19" t="str">
        <f t="shared" si="2"/>
        <v/>
      </c>
    </row>
    <row r="514" ht="15.75" customHeight="1">
      <c r="A514" s="12">
        <v>45120.0</v>
      </c>
      <c r="B514" s="14" t="s">
        <v>201</v>
      </c>
      <c r="C514" s="13" t="s">
        <v>2289</v>
      </c>
      <c r="D514" s="14" t="s">
        <v>2290</v>
      </c>
      <c r="E514" s="13">
        <v>8.0</v>
      </c>
      <c r="F514" s="14"/>
      <c r="G514" s="14"/>
      <c r="H514" s="15" t="s">
        <v>2291</v>
      </c>
      <c r="I514" s="14"/>
      <c r="J514" s="14"/>
      <c r="K514" s="13" t="s">
        <v>2292</v>
      </c>
      <c r="L514" s="14" t="s">
        <v>48</v>
      </c>
      <c r="M514" s="14" t="s">
        <v>34</v>
      </c>
      <c r="N514" s="14" t="b">
        <v>1</v>
      </c>
      <c r="O514" s="13" t="s">
        <v>2293</v>
      </c>
      <c r="P514" s="13" t="s">
        <v>69</v>
      </c>
      <c r="Q514" s="14"/>
      <c r="R514" s="14"/>
      <c r="S514" s="14" t="s">
        <v>2294</v>
      </c>
      <c r="T514" s="14" t="s">
        <v>36</v>
      </c>
      <c r="U514" s="17"/>
      <c r="V514" s="14"/>
      <c r="W514" s="14"/>
      <c r="X514" s="18"/>
      <c r="Y514" s="18"/>
      <c r="Z514" s="18"/>
      <c r="AA514" s="19">
        <f t="shared" si="1"/>
        <v>7</v>
      </c>
      <c r="AB514" s="19" t="str">
        <f t="shared" si="2"/>
        <v/>
      </c>
    </row>
    <row r="515" ht="15.75" customHeight="1">
      <c r="A515" s="12">
        <v>45120.0</v>
      </c>
      <c r="B515" s="14" t="s">
        <v>703</v>
      </c>
      <c r="C515" s="14" t="s">
        <v>2295</v>
      </c>
      <c r="D515" s="14"/>
      <c r="E515" s="14"/>
      <c r="F515" s="14"/>
      <c r="G515" s="14"/>
      <c r="H515" s="155" t="s">
        <v>2296</v>
      </c>
      <c r="I515" s="14"/>
      <c r="J515" s="14"/>
      <c r="K515" s="14"/>
      <c r="L515" s="14" t="s">
        <v>111</v>
      </c>
      <c r="M515" s="14" t="s">
        <v>565</v>
      </c>
      <c r="N515" s="14" t="b">
        <v>0</v>
      </c>
      <c r="O515" s="14"/>
      <c r="P515" s="14"/>
      <c r="Q515" s="14"/>
      <c r="R515" s="14"/>
      <c r="S515" s="14" t="s">
        <v>2297</v>
      </c>
      <c r="T515" s="13" t="s">
        <v>229</v>
      </c>
      <c r="U515" s="17"/>
      <c r="V515" s="142">
        <v>45128.0</v>
      </c>
      <c r="W515" s="13" t="s">
        <v>575</v>
      </c>
      <c r="X515" s="18">
        <v>8750000.0</v>
      </c>
      <c r="Y515" s="18">
        <f>X515-Z515</f>
        <v>1038500</v>
      </c>
      <c r="Z515" s="18">
        <v>7711500.0</v>
      </c>
      <c r="AA515" s="19">
        <f t="shared" si="1"/>
        <v>7</v>
      </c>
      <c r="AB515" s="19" t="str">
        <f t="shared" si="2"/>
        <v/>
      </c>
    </row>
    <row r="516" ht="15.75" customHeight="1">
      <c r="A516" s="12">
        <v>45120.0</v>
      </c>
      <c r="B516" s="13" t="s">
        <v>28</v>
      </c>
      <c r="C516" s="14" t="s">
        <v>2298</v>
      </c>
      <c r="D516" s="14" t="s">
        <v>2299</v>
      </c>
      <c r="E516" s="13">
        <v>6.0</v>
      </c>
      <c r="F516" s="14" t="s">
        <v>419</v>
      </c>
      <c r="G516" s="14"/>
      <c r="H516" s="15" t="s">
        <v>2300</v>
      </c>
      <c r="I516" s="14"/>
      <c r="J516" s="14"/>
      <c r="K516" s="14" t="s">
        <v>2301</v>
      </c>
      <c r="L516" s="14" t="s">
        <v>48</v>
      </c>
      <c r="M516" s="14" t="s">
        <v>67</v>
      </c>
      <c r="N516" s="14" t="b">
        <v>1</v>
      </c>
      <c r="O516" s="13" t="s">
        <v>2302</v>
      </c>
      <c r="P516" s="13" t="s">
        <v>69</v>
      </c>
      <c r="Q516" s="156" t="s">
        <v>91</v>
      </c>
      <c r="R516" s="14"/>
      <c r="S516" s="13" t="s">
        <v>2303</v>
      </c>
      <c r="T516" s="24" t="s">
        <v>72</v>
      </c>
      <c r="U516" s="17"/>
      <c r="V516" s="14"/>
      <c r="W516" s="14"/>
      <c r="X516" s="18"/>
      <c r="Y516" s="18"/>
      <c r="Z516" s="18"/>
      <c r="AA516" s="19">
        <f t="shared" si="1"/>
        <v>7</v>
      </c>
      <c r="AB516" s="19">
        <f t="shared" si="2"/>
        <v>7</v>
      </c>
    </row>
    <row r="517" ht="15.75" customHeight="1">
      <c r="A517" s="12">
        <v>45120.0</v>
      </c>
      <c r="B517" s="14" t="s">
        <v>60</v>
      </c>
      <c r="C517" s="14" t="s">
        <v>2304</v>
      </c>
      <c r="D517" s="14" t="s">
        <v>2305</v>
      </c>
      <c r="E517" s="14"/>
      <c r="F517" s="14"/>
      <c r="G517" s="14"/>
      <c r="H517" s="37">
        <v>9.45255559E8</v>
      </c>
      <c r="I517" s="14"/>
      <c r="J517" s="14"/>
      <c r="K517" s="14"/>
      <c r="L517" s="14" t="s">
        <v>111</v>
      </c>
      <c r="M517" s="14" t="s">
        <v>333</v>
      </c>
      <c r="N517" s="14" t="b">
        <v>0</v>
      </c>
      <c r="O517" s="14"/>
      <c r="P517" s="14"/>
      <c r="Q517" s="14"/>
      <c r="R517" s="14"/>
      <c r="S517" s="14" t="s">
        <v>2306</v>
      </c>
      <c r="T517" s="13" t="s">
        <v>229</v>
      </c>
      <c r="U517" s="17">
        <v>45158.0</v>
      </c>
      <c r="V517" s="14"/>
      <c r="W517" s="14"/>
      <c r="X517" s="18"/>
      <c r="Y517" s="18"/>
      <c r="Z517" s="18"/>
      <c r="AA517" s="19">
        <f t="shared" si="1"/>
        <v>7</v>
      </c>
      <c r="AB517" s="19" t="str">
        <f t="shared" si="2"/>
        <v/>
      </c>
    </row>
    <row r="518" ht="15.75" customHeight="1">
      <c r="A518" s="12">
        <v>45121.0</v>
      </c>
      <c r="B518" s="14" t="s">
        <v>84</v>
      </c>
      <c r="C518" s="14" t="s">
        <v>2307</v>
      </c>
      <c r="D518" s="14" t="s">
        <v>2308</v>
      </c>
      <c r="E518" s="13">
        <v>13.0</v>
      </c>
      <c r="F518" s="14"/>
      <c r="G518" s="14"/>
      <c r="H518" s="15" t="s">
        <v>2309</v>
      </c>
      <c r="I518" s="14"/>
      <c r="J518" s="14"/>
      <c r="K518" s="14"/>
      <c r="L518" s="14" t="s">
        <v>111</v>
      </c>
      <c r="M518" s="14" t="s">
        <v>34</v>
      </c>
      <c r="N518" s="14" t="b">
        <v>1</v>
      </c>
      <c r="O518" s="13" t="s">
        <v>2310</v>
      </c>
      <c r="P518" s="13" t="s">
        <v>42</v>
      </c>
      <c r="Q518" s="14"/>
      <c r="R518" s="14"/>
      <c r="S518" s="14" t="s">
        <v>2311</v>
      </c>
      <c r="T518" s="14" t="s">
        <v>36</v>
      </c>
      <c r="U518" s="17"/>
      <c r="V518" s="14"/>
      <c r="W518" s="14"/>
      <c r="X518" s="18"/>
      <c r="Y518" s="18"/>
      <c r="Z518" s="18"/>
      <c r="AA518" s="19">
        <f t="shared" si="1"/>
        <v>7</v>
      </c>
      <c r="AB518" s="19" t="str">
        <f t="shared" si="2"/>
        <v/>
      </c>
    </row>
    <row r="519" ht="15.75" customHeight="1">
      <c r="A519" s="12">
        <v>45122.0</v>
      </c>
      <c r="B519" s="14" t="s">
        <v>60</v>
      </c>
      <c r="C519" s="14" t="s">
        <v>2312</v>
      </c>
      <c r="D519" s="14" t="s">
        <v>2313</v>
      </c>
      <c r="E519" s="13">
        <v>13.0</v>
      </c>
      <c r="F519" s="14">
        <v>7.0</v>
      </c>
      <c r="G519" s="14"/>
      <c r="H519" s="15" t="s">
        <v>2314</v>
      </c>
      <c r="I519" s="14"/>
      <c r="J519" s="14"/>
      <c r="K519" s="14" t="s">
        <v>2315</v>
      </c>
      <c r="L519" s="14" t="s">
        <v>48</v>
      </c>
      <c r="M519" s="14" t="s">
        <v>34</v>
      </c>
      <c r="N519" s="14" t="b">
        <v>1</v>
      </c>
      <c r="O519" s="56" t="s">
        <v>2316</v>
      </c>
      <c r="P519" s="13" t="s">
        <v>42</v>
      </c>
      <c r="Q519" s="14"/>
      <c r="R519" s="14"/>
      <c r="S519" s="14" t="s">
        <v>2317</v>
      </c>
      <c r="T519" s="14" t="s">
        <v>36</v>
      </c>
      <c r="U519" s="17"/>
      <c r="V519" s="14"/>
      <c r="W519" s="14"/>
      <c r="X519" s="18"/>
      <c r="Y519" s="18"/>
      <c r="Z519" s="18"/>
      <c r="AA519" s="19">
        <f t="shared" si="1"/>
        <v>7</v>
      </c>
      <c r="AB519" s="19" t="str">
        <f t="shared" si="2"/>
        <v/>
      </c>
    </row>
    <row r="520" ht="15.75" customHeight="1">
      <c r="A520" s="12">
        <v>45122.0</v>
      </c>
      <c r="B520" s="14" t="s">
        <v>703</v>
      </c>
      <c r="C520" s="14" t="s">
        <v>2318</v>
      </c>
      <c r="D520" s="14"/>
      <c r="E520" s="14"/>
      <c r="F520" s="14"/>
      <c r="G520" s="14"/>
      <c r="H520" s="15" t="s">
        <v>2319</v>
      </c>
      <c r="I520" s="14"/>
      <c r="J520" s="14"/>
      <c r="K520" s="14"/>
      <c r="L520" s="14" t="s">
        <v>48</v>
      </c>
      <c r="M520" s="14" t="s">
        <v>216</v>
      </c>
      <c r="N520" s="14" t="b">
        <v>0</v>
      </c>
      <c r="O520" s="14"/>
      <c r="P520" s="14"/>
      <c r="Q520" s="14"/>
      <c r="R520" s="14"/>
      <c r="S520" s="14" t="s">
        <v>2320</v>
      </c>
      <c r="T520" s="14" t="s">
        <v>36</v>
      </c>
      <c r="U520" s="17"/>
      <c r="V520" s="14"/>
      <c r="W520" s="14"/>
      <c r="X520" s="18"/>
      <c r="Y520" s="18"/>
      <c r="Z520" s="18"/>
      <c r="AA520" s="19">
        <f t="shared" si="1"/>
        <v>7</v>
      </c>
      <c r="AB520" s="19" t="str">
        <f t="shared" si="2"/>
        <v/>
      </c>
    </row>
    <row r="521" ht="15.75" customHeight="1">
      <c r="A521" s="12">
        <v>45121.0</v>
      </c>
      <c r="B521" s="13" t="s">
        <v>28</v>
      </c>
      <c r="C521" s="14" t="s">
        <v>2321</v>
      </c>
      <c r="D521" s="14"/>
      <c r="E521" s="14"/>
      <c r="F521" s="14"/>
      <c r="G521" s="14"/>
      <c r="H521" s="15" t="s">
        <v>2322</v>
      </c>
      <c r="I521" s="14"/>
      <c r="J521" s="14"/>
      <c r="K521" s="14" t="s">
        <v>2323</v>
      </c>
      <c r="L521" s="14" t="s">
        <v>111</v>
      </c>
      <c r="M521" s="14" t="s">
        <v>34</v>
      </c>
      <c r="N521" s="14" t="b">
        <v>0</v>
      </c>
      <c r="O521" s="14"/>
      <c r="P521" s="14"/>
      <c r="Q521" s="14"/>
      <c r="R521" s="14"/>
      <c r="S521" s="14" t="s">
        <v>2324</v>
      </c>
      <c r="T521" s="14" t="s">
        <v>36</v>
      </c>
      <c r="U521" s="17"/>
      <c r="V521" s="14"/>
      <c r="W521" s="14"/>
      <c r="X521" s="18"/>
      <c r="Y521" s="18"/>
      <c r="Z521" s="18"/>
      <c r="AA521" s="19">
        <f t="shared" si="1"/>
        <v>7</v>
      </c>
      <c r="AB521" s="19" t="str">
        <f t="shared" si="2"/>
        <v/>
      </c>
    </row>
    <row r="522" ht="15.75" customHeight="1">
      <c r="A522" s="12">
        <v>45122.0</v>
      </c>
      <c r="B522" s="14" t="s">
        <v>703</v>
      </c>
      <c r="C522" s="14" t="s">
        <v>2325</v>
      </c>
      <c r="D522" s="14"/>
      <c r="E522" s="14"/>
      <c r="F522" s="14"/>
      <c r="G522" s="14"/>
      <c r="H522" s="15" t="s">
        <v>2326</v>
      </c>
      <c r="I522" s="14"/>
      <c r="J522" s="14"/>
      <c r="K522" s="14" t="s">
        <v>2327</v>
      </c>
      <c r="L522" s="14" t="s">
        <v>111</v>
      </c>
      <c r="M522" s="14" t="s">
        <v>565</v>
      </c>
      <c r="N522" s="14" t="b">
        <v>0</v>
      </c>
      <c r="O522" s="14"/>
      <c r="P522" s="14"/>
      <c r="Q522" s="14"/>
      <c r="R522" s="14"/>
      <c r="S522" s="14" t="s">
        <v>2328</v>
      </c>
      <c r="T522" s="14" t="s">
        <v>36</v>
      </c>
      <c r="U522" s="17"/>
      <c r="V522" s="14"/>
      <c r="W522" s="14"/>
      <c r="X522" s="18"/>
      <c r="Y522" s="18"/>
      <c r="Z522" s="18"/>
      <c r="AA522" s="19">
        <f t="shared" si="1"/>
        <v>7</v>
      </c>
      <c r="AB522" s="19" t="str">
        <f t="shared" si="2"/>
        <v/>
      </c>
    </row>
    <row r="523" ht="15.75" customHeight="1">
      <c r="A523" s="12">
        <v>45122.0</v>
      </c>
      <c r="B523" s="14" t="s">
        <v>703</v>
      </c>
      <c r="C523" s="14" t="s">
        <v>2329</v>
      </c>
      <c r="D523" s="14"/>
      <c r="E523" s="14"/>
      <c r="F523" s="14"/>
      <c r="G523" s="14"/>
      <c r="H523" s="15" t="s">
        <v>2330</v>
      </c>
      <c r="I523" s="14"/>
      <c r="J523" s="14"/>
      <c r="K523" s="14"/>
      <c r="L523" s="14" t="s">
        <v>48</v>
      </c>
      <c r="M523" s="14" t="s">
        <v>565</v>
      </c>
      <c r="N523" s="14" t="b">
        <v>0</v>
      </c>
      <c r="O523" s="14"/>
      <c r="P523" s="14"/>
      <c r="Q523" s="14"/>
      <c r="R523" s="14"/>
      <c r="S523" s="14" t="s">
        <v>2331</v>
      </c>
      <c r="T523" s="13" t="s">
        <v>129</v>
      </c>
      <c r="U523" s="17"/>
      <c r="V523" s="14"/>
      <c r="W523" s="14"/>
      <c r="X523" s="18"/>
      <c r="Y523" s="18"/>
      <c r="Z523" s="18"/>
      <c r="AA523" s="19">
        <f t="shared" si="1"/>
        <v>7</v>
      </c>
      <c r="AB523" s="19" t="str">
        <f t="shared" si="2"/>
        <v/>
      </c>
    </row>
    <row r="524" ht="15.75" customHeight="1">
      <c r="A524" s="12">
        <v>45123.0</v>
      </c>
      <c r="B524" s="13" t="s">
        <v>28</v>
      </c>
      <c r="C524" s="13" t="s">
        <v>2332</v>
      </c>
      <c r="D524" s="14"/>
      <c r="E524" s="13">
        <v>6.0</v>
      </c>
      <c r="F524" s="14"/>
      <c r="G524" s="14"/>
      <c r="H524" s="15" t="s">
        <v>2333</v>
      </c>
      <c r="I524" s="14"/>
      <c r="J524" s="14"/>
      <c r="K524" s="14" t="s">
        <v>2334</v>
      </c>
      <c r="L524" s="14" t="s">
        <v>48</v>
      </c>
      <c r="M524" s="14" t="s">
        <v>34</v>
      </c>
      <c r="N524" s="14" t="b">
        <v>0</v>
      </c>
      <c r="O524" s="14"/>
      <c r="P524" s="14"/>
      <c r="Q524" s="14"/>
      <c r="R524" s="14"/>
      <c r="S524" s="14" t="s">
        <v>2335</v>
      </c>
      <c r="T524" s="14" t="s">
        <v>36</v>
      </c>
      <c r="U524" s="17"/>
      <c r="V524" s="14"/>
      <c r="W524" s="14"/>
      <c r="X524" s="18"/>
      <c r="Y524" s="18"/>
      <c r="Z524" s="18"/>
      <c r="AA524" s="19">
        <f t="shared" si="1"/>
        <v>7</v>
      </c>
      <c r="AB524" s="19" t="str">
        <f t="shared" si="2"/>
        <v/>
      </c>
    </row>
    <row r="525" ht="15.75" customHeight="1">
      <c r="A525" s="12">
        <v>45123.0</v>
      </c>
      <c r="B525" s="13" t="s">
        <v>28</v>
      </c>
      <c r="C525" s="14" t="s">
        <v>1632</v>
      </c>
      <c r="D525" s="14"/>
      <c r="E525" s="14"/>
      <c r="F525" s="14"/>
      <c r="G525" s="14"/>
      <c r="H525" s="15" t="s">
        <v>2336</v>
      </c>
      <c r="I525" s="14"/>
      <c r="J525" s="14"/>
      <c r="K525" s="14"/>
      <c r="L525" s="14" t="s">
        <v>48</v>
      </c>
      <c r="M525" s="14" t="s">
        <v>565</v>
      </c>
      <c r="N525" s="14" t="b">
        <v>0</v>
      </c>
      <c r="O525" s="14"/>
      <c r="P525" s="14"/>
      <c r="Q525" s="14"/>
      <c r="R525" s="14"/>
      <c r="S525" s="14" t="s">
        <v>2337</v>
      </c>
      <c r="T525" s="13" t="s">
        <v>129</v>
      </c>
      <c r="U525" s="17"/>
      <c r="V525" s="14"/>
      <c r="W525" s="14"/>
      <c r="X525" s="18"/>
      <c r="Y525" s="18"/>
      <c r="Z525" s="18"/>
      <c r="AA525" s="19">
        <f t="shared" si="1"/>
        <v>7</v>
      </c>
      <c r="AB525" s="19" t="str">
        <f t="shared" si="2"/>
        <v/>
      </c>
    </row>
    <row r="526" ht="15.75" customHeight="1">
      <c r="A526" s="12">
        <v>45124.0</v>
      </c>
      <c r="B526" s="13" t="s">
        <v>28</v>
      </c>
      <c r="C526" s="14" t="s">
        <v>2338</v>
      </c>
      <c r="D526" s="14" t="s">
        <v>2339</v>
      </c>
      <c r="E526" s="13">
        <v>8.0</v>
      </c>
      <c r="F526" s="14" t="s">
        <v>2340</v>
      </c>
      <c r="G526" s="14"/>
      <c r="H526" s="132" t="s">
        <v>2341</v>
      </c>
      <c r="I526" s="14"/>
      <c r="J526" s="14"/>
      <c r="K526" s="14" t="s">
        <v>2342</v>
      </c>
      <c r="L526" s="14" t="s">
        <v>48</v>
      </c>
      <c r="M526" s="14" t="s">
        <v>565</v>
      </c>
      <c r="N526" s="14" t="b">
        <v>0</v>
      </c>
      <c r="O526" s="14"/>
      <c r="P526" s="14"/>
      <c r="Q526" s="14"/>
      <c r="R526" s="14"/>
      <c r="S526" s="14" t="s">
        <v>2343</v>
      </c>
      <c r="T526" s="13" t="s">
        <v>129</v>
      </c>
      <c r="U526" s="17"/>
      <c r="V526" s="32">
        <v>45124.0</v>
      </c>
      <c r="W526" s="24" t="s">
        <v>575</v>
      </c>
      <c r="X526" s="25">
        <v>8750000.0</v>
      </c>
      <c r="Y526" s="25">
        <f>X526-Z526</f>
        <v>1038500</v>
      </c>
      <c r="Z526" s="25">
        <v>7711500.0</v>
      </c>
      <c r="AA526" s="19">
        <f t="shared" si="1"/>
        <v>7</v>
      </c>
      <c r="AB526" s="19" t="str">
        <f t="shared" si="2"/>
        <v/>
      </c>
    </row>
    <row r="527" ht="15.75" customHeight="1">
      <c r="A527" s="26">
        <v>45124.0</v>
      </c>
      <c r="B527" s="27" t="s">
        <v>60</v>
      </c>
      <c r="C527" s="157" t="s">
        <v>2344</v>
      </c>
      <c r="D527" s="157" t="s">
        <v>62</v>
      </c>
      <c r="E527" s="27"/>
      <c r="F527" s="33"/>
      <c r="G527" s="157"/>
      <c r="H527" s="157">
        <v>9.07405075E8</v>
      </c>
      <c r="I527" s="27"/>
      <c r="J527" s="27"/>
      <c r="K527" s="24" t="s">
        <v>2345</v>
      </c>
      <c r="L527" s="27" t="s">
        <v>48</v>
      </c>
      <c r="M527" s="27" t="s">
        <v>67</v>
      </c>
      <c r="N527" s="14" t="b">
        <v>1</v>
      </c>
      <c r="O527" s="27" t="s">
        <v>2346</v>
      </c>
      <c r="P527" s="13" t="s">
        <v>69</v>
      </c>
      <c r="Q527" s="24" t="s">
        <v>91</v>
      </c>
      <c r="R527" s="27"/>
      <c r="S527" s="24" t="s">
        <v>2347</v>
      </c>
      <c r="T527" s="24" t="s">
        <v>72</v>
      </c>
      <c r="U527" s="26"/>
      <c r="V527" s="32">
        <v>45127.0</v>
      </c>
      <c r="W527" s="24" t="s">
        <v>575</v>
      </c>
      <c r="X527" s="25">
        <v>6124000.0</v>
      </c>
      <c r="Y527" s="25">
        <v>765720.0</v>
      </c>
      <c r="Z527" s="25">
        <v>5360000.0</v>
      </c>
      <c r="AA527" s="19">
        <f t="shared" si="1"/>
        <v>7</v>
      </c>
      <c r="AB527" s="19">
        <f t="shared" si="2"/>
        <v>7</v>
      </c>
    </row>
    <row r="528" ht="15.75" customHeight="1">
      <c r="A528" s="26">
        <v>45124.0</v>
      </c>
      <c r="B528" s="27" t="s">
        <v>60</v>
      </c>
      <c r="C528" s="158" t="s">
        <v>348</v>
      </c>
      <c r="D528" s="157" t="s">
        <v>785</v>
      </c>
      <c r="E528" s="159"/>
      <c r="F528" s="160"/>
      <c r="G528" s="157"/>
      <c r="H528" s="157">
        <v>9.05235035E8</v>
      </c>
      <c r="I528" s="27"/>
      <c r="J528" s="27"/>
      <c r="K528" s="24" t="s">
        <v>2348</v>
      </c>
      <c r="L528" s="27" t="s">
        <v>111</v>
      </c>
      <c r="M528" s="27" t="s">
        <v>67</v>
      </c>
      <c r="N528" s="14" t="b">
        <v>1</v>
      </c>
      <c r="O528" s="24" t="s">
        <v>2349</v>
      </c>
      <c r="P528" s="13" t="s">
        <v>69</v>
      </c>
      <c r="Q528" s="24" t="s">
        <v>91</v>
      </c>
      <c r="R528" s="27"/>
      <c r="S528" s="27" t="s">
        <v>2350</v>
      </c>
      <c r="T528" s="24" t="s">
        <v>72</v>
      </c>
      <c r="U528" s="26"/>
      <c r="V528" s="14"/>
      <c r="W528" s="14"/>
      <c r="X528" s="18"/>
      <c r="Y528" s="18"/>
      <c r="Z528" s="18"/>
      <c r="AA528" s="19">
        <f t="shared" si="1"/>
        <v>7</v>
      </c>
      <c r="AB528" s="19">
        <f t="shared" si="2"/>
        <v>7</v>
      </c>
    </row>
    <row r="529" ht="15.75" customHeight="1">
      <c r="A529" s="12">
        <v>45124.0</v>
      </c>
      <c r="B529" s="14" t="s">
        <v>60</v>
      </c>
      <c r="C529" s="161" t="s">
        <v>2351</v>
      </c>
      <c r="D529" s="162" t="s">
        <v>2352</v>
      </c>
      <c r="E529" s="136"/>
      <c r="F529" s="163"/>
      <c r="G529" s="162"/>
      <c r="H529" s="162">
        <v>9.6380948E8</v>
      </c>
      <c r="I529" s="14"/>
      <c r="J529" s="14"/>
      <c r="K529" s="13" t="s">
        <v>2348</v>
      </c>
      <c r="L529" s="14" t="s">
        <v>111</v>
      </c>
      <c r="M529" s="14" t="s">
        <v>13</v>
      </c>
      <c r="N529" s="14" t="b">
        <v>1</v>
      </c>
      <c r="O529" s="14" t="s">
        <v>2353</v>
      </c>
      <c r="P529" s="13" t="s">
        <v>69</v>
      </c>
      <c r="Q529" s="14"/>
      <c r="R529" s="14"/>
      <c r="S529" s="13" t="s">
        <v>2354</v>
      </c>
      <c r="T529" s="13" t="s">
        <v>229</v>
      </c>
      <c r="U529" s="17"/>
      <c r="V529" s="32">
        <v>45127.0</v>
      </c>
      <c r="W529" s="24" t="s">
        <v>862</v>
      </c>
      <c r="X529" s="25">
        <v>2558000.0</v>
      </c>
      <c r="Y529" s="25">
        <f>X529-Z529</f>
        <v>0</v>
      </c>
      <c r="Z529" s="25">
        <v>2558000.0</v>
      </c>
      <c r="AA529" s="19">
        <f t="shared" si="1"/>
        <v>7</v>
      </c>
      <c r="AB529" s="19" t="str">
        <f t="shared" si="2"/>
        <v/>
      </c>
    </row>
    <row r="530" ht="15.75" customHeight="1">
      <c r="A530" s="26">
        <v>45124.0</v>
      </c>
      <c r="B530" s="27" t="s">
        <v>60</v>
      </c>
      <c r="C530" s="157" t="s">
        <v>2355</v>
      </c>
      <c r="D530" s="27" t="s">
        <v>2356</v>
      </c>
      <c r="E530" s="24">
        <v>9.0</v>
      </c>
      <c r="F530" s="27"/>
      <c r="G530" s="27"/>
      <c r="H530" s="34" t="s">
        <v>2357</v>
      </c>
      <c r="I530" s="27"/>
      <c r="J530" s="27"/>
      <c r="K530" s="27" t="s">
        <v>2358</v>
      </c>
      <c r="L530" s="27" t="s">
        <v>48</v>
      </c>
      <c r="M530" s="27" t="s">
        <v>67</v>
      </c>
      <c r="N530" s="14" t="b">
        <v>1</v>
      </c>
      <c r="O530" s="27" t="s">
        <v>2359</v>
      </c>
      <c r="P530" s="13" t="s">
        <v>42</v>
      </c>
      <c r="Q530" s="24" t="s">
        <v>238</v>
      </c>
      <c r="R530" s="27"/>
      <c r="S530" s="27" t="s">
        <v>2360</v>
      </c>
      <c r="T530" s="24" t="s">
        <v>72</v>
      </c>
      <c r="U530" s="26"/>
      <c r="V530" s="14"/>
      <c r="W530" s="14"/>
      <c r="X530" s="18"/>
      <c r="Y530" s="18"/>
      <c r="Z530" s="18"/>
      <c r="AA530" s="19">
        <f t="shared" si="1"/>
        <v>7</v>
      </c>
      <c r="AB530" s="19">
        <f t="shared" si="2"/>
        <v>7</v>
      </c>
    </row>
    <row r="531" ht="15.75" customHeight="1">
      <c r="A531" s="12">
        <v>45124.0</v>
      </c>
      <c r="B531" s="14" t="s">
        <v>340</v>
      </c>
      <c r="C531" s="161"/>
      <c r="D531" s="162" t="s">
        <v>2361</v>
      </c>
      <c r="E531" s="14"/>
      <c r="F531" s="14"/>
      <c r="G531" s="14"/>
      <c r="H531" s="15"/>
      <c r="I531" s="14"/>
      <c r="J531" s="14"/>
      <c r="K531" s="14" t="s">
        <v>2362</v>
      </c>
      <c r="L531" s="14" t="s">
        <v>48</v>
      </c>
      <c r="M531" s="14" t="s">
        <v>34</v>
      </c>
      <c r="N531" s="14" t="b">
        <v>0</v>
      </c>
      <c r="O531" s="14"/>
      <c r="P531" s="14"/>
      <c r="Q531" s="14"/>
      <c r="R531" s="14"/>
      <c r="S531" s="14" t="s">
        <v>2363</v>
      </c>
      <c r="T531" s="14" t="s">
        <v>36</v>
      </c>
      <c r="U531" s="17"/>
      <c r="V531" s="14"/>
      <c r="W531" s="14"/>
      <c r="X531" s="18"/>
      <c r="Y531" s="18"/>
      <c r="Z531" s="18"/>
      <c r="AA531" s="19">
        <f t="shared" si="1"/>
        <v>7</v>
      </c>
      <c r="AB531" s="19" t="str">
        <f t="shared" si="2"/>
        <v/>
      </c>
    </row>
    <row r="532" ht="15.75" customHeight="1">
      <c r="A532" s="12">
        <v>45124.0</v>
      </c>
      <c r="B532" s="14" t="s">
        <v>703</v>
      </c>
      <c r="C532" s="162" t="s">
        <v>2364</v>
      </c>
      <c r="D532" s="14"/>
      <c r="E532" s="14"/>
      <c r="F532" s="14"/>
      <c r="G532" s="14"/>
      <c r="H532" s="15" t="s">
        <v>2365</v>
      </c>
      <c r="I532" s="14"/>
      <c r="J532" s="14"/>
      <c r="K532" s="14"/>
      <c r="L532" s="14" t="s">
        <v>48</v>
      </c>
      <c r="M532" s="14" t="s">
        <v>1484</v>
      </c>
      <c r="N532" s="14" t="b">
        <v>0</v>
      </c>
      <c r="O532" s="14"/>
      <c r="P532" s="14"/>
      <c r="Q532" s="14"/>
      <c r="R532" s="14"/>
      <c r="S532" s="14" t="s">
        <v>2366</v>
      </c>
      <c r="T532" s="13" t="s">
        <v>229</v>
      </c>
      <c r="U532" s="17"/>
      <c r="V532" s="14"/>
      <c r="W532" s="14"/>
      <c r="X532" s="18"/>
      <c r="Y532" s="18"/>
      <c r="Z532" s="18"/>
      <c r="AA532" s="19">
        <f t="shared" si="1"/>
        <v>7</v>
      </c>
      <c r="AB532" s="19" t="str">
        <f t="shared" si="2"/>
        <v/>
      </c>
    </row>
    <row r="533" ht="15.75" customHeight="1">
      <c r="A533" s="12">
        <v>45124.0</v>
      </c>
      <c r="B533" s="14" t="s">
        <v>703</v>
      </c>
      <c r="C533" s="43" t="s">
        <v>2367</v>
      </c>
      <c r="D533" s="14"/>
      <c r="E533" s="14"/>
      <c r="F533" s="14"/>
      <c r="G533" s="14"/>
      <c r="H533" s="15" t="s">
        <v>2368</v>
      </c>
      <c r="I533" s="14"/>
      <c r="J533" s="14"/>
      <c r="K533" s="14"/>
      <c r="L533" s="14" t="s">
        <v>48</v>
      </c>
      <c r="M533" s="14" t="s">
        <v>1484</v>
      </c>
      <c r="N533" s="14" t="b">
        <v>0</v>
      </c>
      <c r="O533" s="14"/>
      <c r="P533" s="14"/>
      <c r="Q533" s="14"/>
      <c r="R533" s="14"/>
      <c r="S533" s="14" t="s">
        <v>2366</v>
      </c>
      <c r="T533" s="13" t="s">
        <v>229</v>
      </c>
      <c r="U533" s="17"/>
      <c r="V533" s="14"/>
      <c r="W533" s="14"/>
      <c r="X533" s="18"/>
      <c r="Y533" s="18"/>
      <c r="Z533" s="18"/>
      <c r="AA533" s="19">
        <f t="shared" si="1"/>
        <v>7</v>
      </c>
      <c r="AB533" s="19" t="str">
        <f t="shared" si="2"/>
        <v/>
      </c>
    </row>
    <row r="534" ht="15.75" customHeight="1">
      <c r="A534" s="12">
        <v>45124.0</v>
      </c>
      <c r="B534" s="14" t="s">
        <v>703</v>
      </c>
      <c r="C534" s="14" t="s">
        <v>2369</v>
      </c>
      <c r="D534" s="14"/>
      <c r="E534" s="13">
        <v>5.0</v>
      </c>
      <c r="F534" s="14"/>
      <c r="G534" s="14"/>
      <c r="H534" s="15" t="s">
        <v>2370</v>
      </c>
      <c r="I534" s="14"/>
      <c r="J534" s="14"/>
      <c r="K534" s="14" t="s">
        <v>2371</v>
      </c>
      <c r="L534" s="14" t="s">
        <v>48</v>
      </c>
      <c r="M534" s="14" t="s">
        <v>34</v>
      </c>
      <c r="N534" s="14" t="b">
        <v>0</v>
      </c>
      <c r="O534" s="14"/>
      <c r="P534" s="14"/>
      <c r="Q534" s="14"/>
      <c r="R534" s="14"/>
      <c r="S534" s="14" t="s">
        <v>2372</v>
      </c>
      <c r="T534" s="14" t="s">
        <v>36</v>
      </c>
      <c r="U534" s="17"/>
      <c r="V534" s="14"/>
      <c r="W534" s="14"/>
      <c r="X534" s="18"/>
      <c r="Y534" s="18"/>
      <c r="Z534" s="18"/>
      <c r="AA534" s="19">
        <f t="shared" si="1"/>
        <v>7</v>
      </c>
      <c r="AB534" s="19" t="str">
        <f t="shared" si="2"/>
        <v/>
      </c>
    </row>
    <row r="535" ht="15.75" customHeight="1">
      <c r="A535" s="12">
        <v>45124.0</v>
      </c>
      <c r="B535" s="14" t="s">
        <v>703</v>
      </c>
      <c r="C535" s="14" t="s">
        <v>2373</v>
      </c>
      <c r="D535" s="14" t="s">
        <v>2374</v>
      </c>
      <c r="E535" s="13">
        <v>7.0</v>
      </c>
      <c r="F535" s="14"/>
      <c r="G535" s="14"/>
      <c r="H535" s="15" t="s">
        <v>2375</v>
      </c>
      <c r="I535" s="14"/>
      <c r="J535" s="14"/>
      <c r="K535" s="14"/>
      <c r="L535" s="14" t="s">
        <v>48</v>
      </c>
      <c r="M535" s="14" t="s">
        <v>565</v>
      </c>
      <c r="N535" s="14" t="b">
        <v>1</v>
      </c>
      <c r="O535" s="14" t="s">
        <v>640</v>
      </c>
      <c r="P535" s="13" t="s">
        <v>69</v>
      </c>
      <c r="Q535" s="14"/>
      <c r="R535" s="14"/>
      <c r="S535" s="14" t="s">
        <v>2376</v>
      </c>
      <c r="T535" s="13" t="s">
        <v>229</v>
      </c>
      <c r="U535" s="17"/>
      <c r="V535" s="32">
        <v>45128.0</v>
      </c>
      <c r="W535" s="24" t="s">
        <v>575</v>
      </c>
      <c r="X535" s="25">
        <v>6124000.0</v>
      </c>
      <c r="Y535" s="25">
        <v>765720.0</v>
      </c>
      <c r="Z535" s="25">
        <v>5358280.0</v>
      </c>
      <c r="AA535" s="19">
        <f t="shared" si="1"/>
        <v>7</v>
      </c>
      <c r="AB535" s="19" t="str">
        <f t="shared" si="2"/>
        <v/>
      </c>
    </row>
    <row r="536" ht="15.75" customHeight="1">
      <c r="A536" s="26">
        <v>45125.0</v>
      </c>
      <c r="B536" s="27" t="s">
        <v>201</v>
      </c>
      <c r="C536" s="27" t="s">
        <v>2377</v>
      </c>
      <c r="D536" s="27" t="s">
        <v>2378</v>
      </c>
      <c r="E536" s="24">
        <v>12.0</v>
      </c>
      <c r="F536" s="27">
        <v>7.0</v>
      </c>
      <c r="G536" s="27" t="s">
        <v>2379</v>
      </c>
      <c r="H536" s="34" t="s">
        <v>2380</v>
      </c>
      <c r="I536" s="27"/>
      <c r="J536" s="27"/>
      <c r="K536" s="27"/>
      <c r="L536" s="27" t="s">
        <v>111</v>
      </c>
      <c r="M536" s="27" t="s">
        <v>67</v>
      </c>
      <c r="N536" s="14" t="b">
        <v>1</v>
      </c>
      <c r="O536" s="24" t="s">
        <v>2381</v>
      </c>
      <c r="P536" s="13" t="s">
        <v>69</v>
      </c>
      <c r="Q536" s="24" t="s">
        <v>91</v>
      </c>
      <c r="R536" s="27"/>
      <c r="S536" s="27" t="s">
        <v>2382</v>
      </c>
      <c r="T536" s="24" t="s">
        <v>72</v>
      </c>
      <c r="U536" s="26"/>
      <c r="V536" s="14"/>
      <c r="W536" s="14"/>
      <c r="X536" s="18"/>
      <c r="Y536" s="18"/>
      <c r="Z536" s="18"/>
      <c r="AA536" s="19">
        <f t="shared" si="1"/>
        <v>7</v>
      </c>
      <c r="AB536" s="19">
        <f t="shared" si="2"/>
        <v>7</v>
      </c>
    </row>
    <row r="537" ht="15.75" customHeight="1">
      <c r="A537" s="12">
        <v>45125.0</v>
      </c>
      <c r="B537" s="14" t="s">
        <v>703</v>
      </c>
      <c r="C537" s="14" t="s">
        <v>2383</v>
      </c>
      <c r="D537" s="14"/>
      <c r="E537" s="14"/>
      <c r="F537" s="14"/>
      <c r="G537" s="14"/>
      <c r="H537" s="15" t="s">
        <v>2384</v>
      </c>
      <c r="I537" s="14"/>
      <c r="J537" s="14"/>
      <c r="K537" s="14"/>
      <c r="L537" s="14" t="s">
        <v>48</v>
      </c>
      <c r="M537" s="14" t="s">
        <v>216</v>
      </c>
      <c r="N537" s="14" t="b">
        <v>0</v>
      </c>
      <c r="O537" s="14"/>
      <c r="P537" s="14"/>
      <c r="Q537" s="14"/>
      <c r="R537" s="14"/>
      <c r="S537" s="14" t="s">
        <v>2385</v>
      </c>
      <c r="T537" s="14" t="s">
        <v>36</v>
      </c>
      <c r="U537" s="17"/>
      <c r="V537" s="14"/>
      <c r="W537" s="14"/>
      <c r="X537" s="18"/>
      <c r="Y537" s="18"/>
      <c r="Z537" s="18"/>
      <c r="AA537" s="19">
        <f t="shared" si="1"/>
        <v>7</v>
      </c>
      <c r="AB537" s="19" t="str">
        <f t="shared" si="2"/>
        <v/>
      </c>
    </row>
    <row r="538" ht="15.75" customHeight="1">
      <c r="A538" s="12">
        <v>45125.0</v>
      </c>
      <c r="B538" s="14" t="s">
        <v>703</v>
      </c>
      <c r="C538" s="14" t="s">
        <v>2386</v>
      </c>
      <c r="D538" s="14"/>
      <c r="E538" s="14"/>
      <c r="F538" s="14"/>
      <c r="G538" s="14"/>
      <c r="H538" s="15" t="s">
        <v>2387</v>
      </c>
      <c r="I538" s="14"/>
      <c r="J538" s="14"/>
      <c r="K538" s="14"/>
      <c r="L538" s="14" t="s">
        <v>48</v>
      </c>
      <c r="M538" s="14" t="s">
        <v>216</v>
      </c>
      <c r="N538" s="14" t="b">
        <v>0</v>
      </c>
      <c r="O538" s="14"/>
      <c r="P538" s="14"/>
      <c r="Q538" s="14"/>
      <c r="R538" s="14"/>
      <c r="S538" s="14" t="s">
        <v>2388</v>
      </c>
      <c r="T538" s="14" t="s">
        <v>36</v>
      </c>
      <c r="U538" s="17"/>
      <c r="V538" s="14"/>
      <c r="W538" s="14"/>
      <c r="X538" s="18"/>
      <c r="Y538" s="18"/>
      <c r="Z538" s="18"/>
      <c r="AA538" s="19">
        <f t="shared" si="1"/>
        <v>7</v>
      </c>
      <c r="AB538" s="19" t="str">
        <f t="shared" si="2"/>
        <v/>
      </c>
    </row>
    <row r="539" ht="15.75" customHeight="1">
      <c r="A539" s="12">
        <v>45125.0</v>
      </c>
      <c r="B539" s="14" t="s">
        <v>703</v>
      </c>
      <c r="C539" s="14" t="s">
        <v>2389</v>
      </c>
      <c r="D539" s="14"/>
      <c r="E539" s="14"/>
      <c r="F539" s="14"/>
      <c r="G539" s="14"/>
      <c r="H539" s="15" t="s">
        <v>2390</v>
      </c>
      <c r="I539" s="14"/>
      <c r="J539" s="14"/>
      <c r="K539" s="14"/>
      <c r="L539" s="14" t="s">
        <v>48</v>
      </c>
      <c r="M539" s="14" t="s">
        <v>34</v>
      </c>
      <c r="N539" s="14" t="b">
        <v>0</v>
      </c>
      <c r="O539" s="14"/>
      <c r="P539" s="14"/>
      <c r="Q539" s="14"/>
      <c r="R539" s="14"/>
      <c r="S539" s="14" t="s">
        <v>2391</v>
      </c>
      <c r="T539" s="14" t="s">
        <v>36</v>
      </c>
      <c r="U539" s="17"/>
      <c r="V539" s="14"/>
      <c r="W539" s="14"/>
      <c r="X539" s="18"/>
      <c r="Y539" s="18"/>
      <c r="Z539" s="18"/>
      <c r="AA539" s="19">
        <f t="shared" si="1"/>
        <v>7</v>
      </c>
      <c r="AB539" s="19" t="str">
        <f t="shared" si="2"/>
        <v/>
      </c>
    </row>
    <row r="540" ht="15.75" customHeight="1">
      <c r="A540" s="12">
        <v>45125.0</v>
      </c>
      <c r="B540" s="14" t="s">
        <v>703</v>
      </c>
      <c r="C540" s="14" t="s">
        <v>2392</v>
      </c>
      <c r="D540" s="14"/>
      <c r="E540" s="14"/>
      <c r="F540" s="14"/>
      <c r="G540" s="14"/>
      <c r="H540" s="15" t="s">
        <v>2393</v>
      </c>
      <c r="I540" s="14"/>
      <c r="J540" s="14"/>
      <c r="K540" s="14"/>
      <c r="L540" s="14" t="s">
        <v>111</v>
      </c>
      <c r="M540" s="14" t="s">
        <v>34</v>
      </c>
      <c r="N540" s="14" t="b">
        <v>0</v>
      </c>
      <c r="O540" s="14"/>
      <c r="P540" s="14"/>
      <c r="Q540" s="14"/>
      <c r="R540" s="14"/>
      <c r="S540" s="14" t="s">
        <v>2394</v>
      </c>
      <c r="T540" s="14" t="s">
        <v>36</v>
      </c>
      <c r="U540" s="17"/>
      <c r="V540" s="14"/>
      <c r="W540" s="14"/>
      <c r="X540" s="18"/>
      <c r="Y540" s="18"/>
      <c r="Z540" s="18"/>
      <c r="AA540" s="19">
        <f t="shared" si="1"/>
        <v>7</v>
      </c>
      <c r="AB540" s="19" t="str">
        <f t="shared" si="2"/>
        <v/>
      </c>
    </row>
    <row r="541" ht="15.75" customHeight="1">
      <c r="A541" s="12">
        <v>45125.0</v>
      </c>
      <c r="B541" s="14" t="s">
        <v>703</v>
      </c>
      <c r="C541" s="14" t="s">
        <v>2395</v>
      </c>
      <c r="D541" s="14"/>
      <c r="E541" s="14"/>
      <c r="F541" s="14"/>
      <c r="G541" s="14"/>
      <c r="H541" s="15" t="s">
        <v>2396</v>
      </c>
      <c r="I541" s="14"/>
      <c r="J541" s="14"/>
      <c r="K541" s="14"/>
      <c r="L541" s="14" t="s">
        <v>111</v>
      </c>
      <c r="M541" s="14" t="s">
        <v>216</v>
      </c>
      <c r="N541" s="14" t="b">
        <v>0</v>
      </c>
      <c r="O541" s="14"/>
      <c r="P541" s="14"/>
      <c r="Q541" s="14"/>
      <c r="R541" s="14"/>
      <c r="S541" s="14" t="s">
        <v>2397</v>
      </c>
      <c r="T541" s="14" t="s">
        <v>36</v>
      </c>
      <c r="U541" s="17"/>
      <c r="V541" s="14"/>
      <c r="W541" s="14"/>
      <c r="X541" s="18"/>
      <c r="Y541" s="18"/>
      <c r="Z541" s="18"/>
      <c r="AA541" s="19">
        <f t="shared" si="1"/>
        <v>7</v>
      </c>
      <c r="AB541" s="19" t="str">
        <f t="shared" si="2"/>
        <v/>
      </c>
    </row>
    <row r="542" ht="15.75" customHeight="1">
      <c r="A542" s="12">
        <v>45125.0</v>
      </c>
      <c r="B542" s="14" t="s">
        <v>703</v>
      </c>
      <c r="C542" s="14" t="s">
        <v>2398</v>
      </c>
      <c r="D542" s="14"/>
      <c r="E542" s="14"/>
      <c r="F542" s="14"/>
      <c r="G542" s="14"/>
      <c r="H542" s="15" t="s">
        <v>2399</v>
      </c>
      <c r="I542" s="14"/>
      <c r="J542" s="14"/>
      <c r="K542" s="14"/>
      <c r="L542" s="14" t="s">
        <v>111</v>
      </c>
      <c r="M542" s="14" t="s">
        <v>565</v>
      </c>
      <c r="N542" s="14" t="b">
        <v>0</v>
      </c>
      <c r="O542" s="14"/>
      <c r="P542" s="14"/>
      <c r="Q542" s="14"/>
      <c r="R542" s="14"/>
      <c r="S542" s="14" t="s">
        <v>2400</v>
      </c>
      <c r="T542" s="14" t="s">
        <v>36</v>
      </c>
      <c r="U542" s="17"/>
      <c r="V542" s="32">
        <v>45129.0</v>
      </c>
      <c r="W542" s="24" t="s">
        <v>130</v>
      </c>
      <c r="X542" s="25">
        <v>6124000.0</v>
      </c>
      <c r="Y542" s="25">
        <v>935470.0</v>
      </c>
      <c r="Z542" s="25">
        <v>2000000.0</v>
      </c>
      <c r="AA542" s="19">
        <f t="shared" si="1"/>
        <v>7</v>
      </c>
      <c r="AB542" s="19" t="str">
        <f t="shared" si="2"/>
        <v/>
      </c>
    </row>
    <row r="543" ht="15.75" customHeight="1">
      <c r="A543" s="26">
        <v>45126.0</v>
      </c>
      <c r="B543" s="27" t="s">
        <v>201</v>
      </c>
      <c r="C543" s="27" t="s">
        <v>2401</v>
      </c>
      <c r="D543" s="27" t="s">
        <v>2402</v>
      </c>
      <c r="E543" s="24">
        <v>10.0</v>
      </c>
      <c r="F543" s="27">
        <v>5.0</v>
      </c>
      <c r="G543" s="27"/>
      <c r="H543" s="34" t="s">
        <v>2403</v>
      </c>
      <c r="I543" s="27"/>
      <c r="J543" s="27"/>
      <c r="K543" s="27"/>
      <c r="L543" s="27" t="s">
        <v>111</v>
      </c>
      <c r="M543" s="27" t="s">
        <v>67</v>
      </c>
      <c r="N543" s="14" t="b">
        <v>1</v>
      </c>
      <c r="O543" s="24" t="s">
        <v>2404</v>
      </c>
      <c r="P543" s="13" t="s">
        <v>69</v>
      </c>
      <c r="Q543" s="24" t="s">
        <v>91</v>
      </c>
      <c r="R543" s="27"/>
      <c r="S543" s="27" t="s">
        <v>2405</v>
      </c>
      <c r="T543" s="124" t="s">
        <v>72</v>
      </c>
      <c r="U543" s="26"/>
      <c r="V543" s="32">
        <v>45164.0</v>
      </c>
      <c r="W543" s="24" t="s">
        <v>130</v>
      </c>
      <c r="X543" s="25"/>
      <c r="Y543" s="25"/>
      <c r="Z543" s="25">
        <v>3188000.0</v>
      </c>
      <c r="AA543" s="19">
        <f t="shared" si="1"/>
        <v>7</v>
      </c>
      <c r="AB543" s="19">
        <f t="shared" si="2"/>
        <v>7</v>
      </c>
    </row>
    <row r="544" ht="15.75" customHeight="1">
      <c r="A544" s="26"/>
      <c r="B544" s="27" t="s">
        <v>201</v>
      </c>
      <c r="C544" s="27" t="s">
        <v>2401</v>
      </c>
      <c r="D544" s="27" t="s">
        <v>2402</v>
      </c>
      <c r="E544" s="24">
        <v>10.0</v>
      </c>
      <c r="F544" s="27">
        <v>5.0</v>
      </c>
      <c r="G544" s="27"/>
      <c r="H544" s="34" t="s">
        <v>2403</v>
      </c>
      <c r="I544" s="27"/>
      <c r="J544" s="27"/>
      <c r="K544" s="27"/>
      <c r="L544" s="27" t="s">
        <v>111</v>
      </c>
      <c r="M544" s="27" t="s">
        <v>67</v>
      </c>
      <c r="N544" s="14" t="b">
        <v>1</v>
      </c>
      <c r="O544" s="24" t="s">
        <v>2404</v>
      </c>
      <c r="P544" s="13" t="s">
        <v>69</v>
      </c>
      <c r="Q544" s="24" t="s">
        <v>91</v>
      </c>
      <c r="R544" s="27"/>
      <c r="S544" s="27" t="s">
        <v>2405</v>
      </c>
      <c r="T544" s="124" t="s">
        <v>72</v>
      </c>
      <c r="U544" s="26"/>
      <c r="V544" s="142">
        <v>45165.0</v>
      </c>
      <c r="W544" s="13" t="s">
        <v>575</v>
      </c>
      <c r="X544" s="18">
        <v>3062000.0</v>
      </c>
      <c r="Y544" s="18">
        <v>306200.0</v>
      </c>
      <c r="Z544" s="18">
        <v>2755800.0</v>
      </c>
      <c r="AA544" s="19" t="str">
        <f t="shared" si="1"/>
        <v/>
      </c>
      <c r="AB544" s="19">
        <f t="shared" si="2"/>
        <v>8</v>
      </c>
    </row>
    <row r="545" ht="15.75" customHeight="1">
      <c r="A545" s="12">
        <v>45093.0</v>
      </c>
      <c r="B545" s="14" t="s">
        <v>201</v>
      </c>
      <c r="C545" s="46" t="s">
        <v>2406</v>
      </c>
      <c r="D545" s="14" t="s">
        <v>2407</v>
      </c>
      <c r="E545" s="13">
        <v>8.0</v>
      </c>
      <c r="F545" s="14"/>
      <c r="G545" s="14"/>
      <c r="H545" s="15" t="s">
        <v>2408</v>
      </c>
      <c r="I545" s="14"/>
      <c r="J545" s="14"/>
      <c r="K545" s="13" t="s">
        <v>2409</v>
      </c>
      <c r="L545" s="14" t="s">
        <v>412</v>
      </c>
      <c r="M545" s="14" t="s">
        <v>67</v>
      </c>
      <c r="N545" s="14" t="b">
        <v>1</v>
      </c>
      <c r="O545" s="13" t="s">
        <v>2410</v>
      </c>
      <c r="P545" s="13" t="s">
        <v>69</v>
      </c>
      <c r="Q545" s="24" t="s">
        <v>91</v>
      </c>
      <c r="R545" s="14"/>
      <c r="S545" s="13" t="s">
        <v>2411</v>
      </c>
      <c r="T545" s="24" t="s">
        <v>72</v>
      </c>
      <c r="U545" s="17"/>
      <c r="V545" s="14"/>
      <c r="W545" s="14"/>
      <c r="X545" s="18"/>
      <c r="Y545" s="18"/>
      <c r="Z545" s="18"/>
      <c r="AA545" s="19">
        <f t="shared" si="1"/>
        <v>6</v>
      </c>
      <c r="AB545" s="19">
        <f t="shared" si="2"/>
        <v>8</v>
      </c>
    </row>
    <row r="546" ht="15.75" customHeight="1">
      <c r="A546" s="12">
        <v>45127.0</v>
      </c>
      <c r="B546" s="13" t="s">
        <v>28</v>
      </c>
      <c r="C546" s="14" t="s">
        <v>2412</v>
      </c>
      <c r="D546" s="14"/>
      <c r="E546" s="13">
        <v>6.0</v>
      </c>
      <c r="F546" s="14"/>
      <c r="G546" s="14"/>
      <c r="H546" s="15" t="s">
        <v>2413</v>
      </c>
      <c r="I546" s="14"/>
      <c r="J546" s="14" t="s">
        <v>2414</v>
      </c>
      <c r="K546" s="14" t="s">
        <v>2415</v>
      </c>
      <c r="L546" s="14" t="s">
        <v>48</v>
      </c>
      <c r="M546" s="14" t="s">
        <v>34</v>
      </c>
      <c r="N546" s="14" t="b">
        <v>0</v>
      </c>
      <c r="O546" s="14"/>
      <c r="P546" s="14"/>
      <c r="Q546" s="14"/>
      <c r="R546" s="14"/>
      <c r="S546" s="14" t="s">
        <v>2416</v>
      </c>
      <c r="T546" s="14" t="s">
        <v>36</v>
      </c>
      <c r="U546" s="17"/>
      <c r="V546" s="14"/>
      <c r="W546" s="14"/>
      <c r="X546" s="18"/>
      <c r="Y546" s="18"/>
      <c r="Z546" s="18"/>
      <c r="AA546" s="19">
        <f t="shared" si="1"/>
        <v>7</v>
      </c>
      <c r="AB546" s="19" t="str">
        <f t="shared" si="2"/>
        <v/>
      </c>
    </row>
    <row r="547" ht="15.75" customHeight="1">
      <c r="A547" s="12">
        <v>45127.0</v>
      </c>
      <c r="B547" s="13" t="s">
        <v>28</v>
      </c>
      <c r="C547" s="14" t="s">
        <v>2417</v>
      </c>
      <c r="D547" s="14" t="s">
        <v>2418</v>
      </c>
      <c r="E547" s="14"/>
      <c r="F547" s="14"/>
      <c r="G547" s="14"/>
      <c r="H547" s="132" t="s">
        <v>2419</v>
      </c>
      <c r="I547" s="14"/>
      <c r="J547" s="14"/>
      <c r="K547" s="13" t="s">
        <v>2420</v>
      </c>
      <c r="L547" s="14" t="s">
        <v>111</v>
      </c>
      <c r="M547" s="14" t="s">
        <v>565</v>
      </c>
      <c r="N547" s="14" t="b">
        <v>0</v>
      </c>
      <c r="O547" s="14"/>
      <c r="P547" s="14"/>
      <c r="Q547" s="14"/>
      <c r="R547" s="14"/>
      <c r="S547" s="14" t="s">
        <v>2421</v>
      </c>
      <c r="T547" s="13" t="s">
        <v>229</v>
      </c>
      <c r="U547" s="17"/>
      <c r="V547" s="32">
        <v>45128.0</v>
      </c>
      <c r="W547" s="24" t="s">
        <v>83</v>
      </c>
      <c r="X547" s="25">
        <v>4812000.0</v>
      </c>
      <c r="Y547" s="25">
        <f>X547-Z547</f>
        <v>532000</v>
      </c>
      <c r="Z547" s="25">
        <v>4280000.0</v>
      </c>
      <c r="AA547" s="19">
        <f t="shared" si="1"/>
        <v>7</v>
      </c>
      <c r="AB547" s="19" t="str">
        <f t="shared" si="2"/>
        <v/>
      </c>
    </row>
    <row r="548" ht="15.75" customHeight="1">
      <c r="A548" s="26">
        <v>45127.0</v>
      </c>
      <c r="B548" s="27" t="s">
        <v>60</v>
      </c>
      <c r="C548" s="27" t="s">
        <v>2422</v>
      </c>
      <c r="D548" s="27" t="s">
        <v>2423</v>
      </c>
      <c r="E548" s="24">
        <v>10.0</v>
      </c>
      <c r="F548" s="27">
        <v>5.0</v>
      </c>
      <c r="G548" s="27"/>
      <c r="H548" s="34" t="s">
        <v>2424</v>
      </c>
      <c r="I548" s="27"/>
      <c r="J548" s="27"/>
      <c r="K548" s="24" t="s">
        <v>2425</v>
      </c>
      <c r="L548" s="27" t="s">
        <v>48</v>
      </c>
      <c r="M548" s="27" t="s">
        <v>67</v>
      </c>
      <c r="N548" s="14" t="b">
        <v>1</v>
      </c>
      <c r="O548" s="24" t="s">
        <v>2426</v>
      </c>
      <c r="P548" s="13" t="s">
        <v>42</v>
      </c>
      <c r="Q548" s="24" t="s">
        <v>91</v>
      </c>
      <c r="R548" s="27"/>
      <c r="S548" s="24" t="s">
        <v>2427</v>
      </c>
      <c r="T548" s="24" t="s">
        <v>72</v>
      </c>
      <c r="U548" s="26"/>
      <c r="V548" s="14"/>
      <c r="W548" s="14"/>
      <c r="X548" s="18"/>
      <c r="Y548" s="18"/>
      <c r="Z548" s="18"/>
      <c r="AA548" s="19">
        <f t="shared" si="1"/>
        <v>7</v>
      </c>
      <c r="AB548" s="19">
        <f t="shared" si="2"/>
        <v>7</v>
      </c>
    </row>
    <row r="549" ht="15.75" customHeight="1">
      <c r="A549" s="12">
        <v>45070.0</v>
      </c>
      <c r="B549" s="13" t="s">
        <v>28</v>
      </c>
      <c r="C549" s="14" t="s">
        <v>949</v>
      </c>
      <c r="D549" s="14"/>
      <c r="E549" s="13">
        <v>7.0</v>
      </c>
      <c r="F549" s="14" t="s">
        <v>349</v>
      </c>
      <c r="G549" s="14"/>
      <c r="H549" s="15" t="s">
        <v>2428</v>
      </c>
      <c r="I549" s="14"/>
      <c r="J549" s="14"/>
      <c r="K549" s="74" t="s">
        <v>355</v>
      </c>
      <c r="L549" s="14" t="s">
        <v>111</v>
      </c>
      <c r="M549" s="14" t="s">
        <v>34</v>
      </c>
      <c r="N549" s="14" t="b">
        <v>0</v>
      </c>
      <c r="O549" s="14"/>
      <c r="P549" s="14"/>
      <c r="Q549" s="14"/>
      <c r="R549" s="14"/>
      <c r="S549" s="14" t="s">
        <v>2429</v>
      </c>
      <c r="T549" s="14" t="s">
        <v>36</v>
      </c>
      <c r="U549" s="17"/>
      <c r="V549" s="14"/>
      <c r="W549" s="14"/>
      <c r="X549" s="18"/>
      <c r="Y549" s="18"/>
      <c r="Z549" s="18"/>
      <c r="AA549" s="19">
        <f t="shared" si="1"/>
        <v>5</v>
      </c>
      <c r="AB549" s="19" t="str">
        <f t="shared" si="2"/>
        <v/>
      </c>
    </row>
    <row r="550" ht="15.75" customHeight="1">
      <c r="A550" s="12">
        <v>45082.0</v>
      </c>
      <c r="B550" s="13" t="s">
        <v>28</v>
      </c>
      <c r="C550" s="14" t="s">
        <v>2430</v>
      </c>
      <c r="D550" s="14" t="s">
        <v>2431</v>
      </c>
      <c r="E550" s="13">
        <v>5.0</v>
      </c>
      <c r="F550" s="14"/>
      <c r="G550" s="14"/>
      <c r="H550" s="15" t="s">
        <v>2432</v>
      </c>
      <c r="I550" s="14"/>
      <c r="J550" s="14"/>
      <c r="K550" s="13" t="s">
        <v>2433</v>
      </c>
      <c r="L550" s="14" t="s">
        <v>48</v>
      </c>
      <c r="M550" s="14" t="s">
        <v>34</v>
      </c>
      <c r="N550" s="14" t="b">
        <v>1</v>
      </c>
      <c r="O550" s="13" t="s">
        <v>2434</v>
      </c>
      <c r="P550" s="13" t="s">
        <v>69</v>
      </c>
      <c r="Q550" s="14"/>
      <c r="R550" s="14"/>
      <c r="S550" s="14" t="s">
        <v>2435</v>
      </c>
      <c r="T550" s="14" t="s">
        <v>36</v>
      </c>
      <c r="U550" s="61"/>
      <c r="V550" s="14"/>
      <c r="W550" s="14"/>
      <c r="X550" s="18"/>
      <c r="Y550" s="18"/>
      <c r="Z550" s="18"/>
      <c r="AA550" s="19">
        <f t="shared" si="1"/>
        <v>6</v>
      </c>
      <c r="AB550" s="19" t="str">
        <f t="shared" si="2"/>
        <v/>
      </c>
    </row>
    <row r="551" ht="15.75" customHeight="1">
      <c r="A551" s="12">
        <v>45092.0</v>
      </c>
      <c r="B551" s="13" t="s">
        <v>28</v>
      </c>
      <c r="C551" s="14" t="s">
        <v>2436</v>
      </c>
      <c r="D551" s="14" t="s">
        <v>2437</v>
      </c>
      <c r="E551" s="13">
        <v>13.0</v>
      </c>
      <c r="F551" s="14">
        <v>7.0</v>
      </c>
      <c r="G551" s="14"/>
      <c r="H551" s="15" t="s">
        <v>2438</v>
      </c>
      <c r="I551" s="14"/>
      <c r="J551" s="14"/>
      <c r="K551" s="14" t="s">
        <v>2439</v>
      </c>
      <c r="L551" s="14" t="s">
        <v>111</v>
      </c>
      <c r="M551" s="14" t="s">
        <v>13</v>
      </c>
      <c r="N551" s="14" t="b">
        <v>1</v>
      </c>
      <c r="O551" s="13" t="s">
        <v>2440</v>
      </c>
      <c r="P551" s="13" t="s">
        <v>69</v>
      </c>
      <c r="Q551" s="14"/>
      <c r="R551" s="14"/>
      <c r="S551" s="14" t="s">
        <v>2441</v>
      </c>
      <c r="T551" s="13" t="s">
        <v>129</v>
      </c>
      <c r="U551" s="17"/>
      <c r="V551" s="14"/>
      <c r="W551" s="14"/>
      <c r="X551" s="18"/>
      <c r="Y551" s="18"/>
      <c r="Z551" s="18"/>
      <c r="AA551" s="19">
        <f t="shared" si="1"/>
        <v>6</v>
      </c>
      <c r="AB551" s="19" t="str">
        <f t="shared" si="2"/>
        <v/>
      </c>
    </row>
    <row r="552" ht="15.75" customHeight="1">
      <c r="A552" s="12">
        <v>45127.0</v>
      </c>
      <c r="B552" s="14" t="s">
        <v>703</v>
      </c>
      <c r="C552" s="14" t="s">
        <v>2442</v>
      </c>
      <c r="D552" s="14"/>
      <c r="E552" s="14"/>
      <c r="F552" s="14"/>
      <c r="G552" s="14"/>
      <c r="H552" s="15" t="s">
        <v>2443</v>
      </c>
      <c r="I552" s="14"/>
      <c r="J552" s="14"/>
      <c r="K552" s="14"/>
      <c r="L552" s="14" t="s">
        <v>111</v>
      </c>
      <c r="M552" s="14" t="s">
        <v>34</v>
      </c>
      <c r="N552" s="14" t="b">
        <v>0</v>
      </c>
      <c r="O552" s="14"/>
      <c r="P552" s="14"/>
      <c r="Q552" s="14"/>
      <c r="R552" s="14"/>
      <c r="S552" s="14" t="s">
        <v>2444</v>
      </c>
      <c r="T552" s="14" t="s">
        <v>36</v>
      </c>
      <c r="U552" s="17"/>
      <c r="V552" s="32">
        <v>45130.0</v>
      </c>
      <c r="W552" s="24" t="s">
        <v>575</v>
      </c>
      <c r="X552" s="25">
        <v>6124000.0</v>
      </c>
      <c r="Y552" s="25">
        <f>X552-Z552</f>
        <v>765720</v>
      </c>
      <c r="Z552" s="25">
        <v>5358280.0</v>
      </c>
      <c r="AA552" s="19">
        <f t="shared" si="1"/>
        <v>7</v>
      </c>
      <c r="AB552" s="19" t="str">
        <f t="shared" si="2"/>
        <v/>
      </c>
    </row>
    <row r="553" ht="15.75" customHeight="1">
      <c r="A553" s="26">
        <v>45128.0</v>
      </c>
      <c r="B553" s="27" t="s">
        <v>201</v>
      </c>
      <c r="C553" s="164" t="s">
        <v>2445</v>
      </c>
      <c r="D553" s="165" t="s">
        <v>2446</v>
      </c>
      <c r="E553" s="24">
        <v>6.0</v>
      </c>
      <c r="F553" s="27"/>
      <c r="G553" s="27"/>
      <c r="H553" s="34" t="s">
        <v>2447</v>
      </c>
      <c r="I553" s="27"/>
      <c r="J553" s="27"/>
      <c r="K553" s="166" t="s">
        <v>2448</v>
      </c>
      <c r="L553" s="27" t="s">
        <v>48</v>
      </c>
      <c r="M553" s="27" t="s">
        <v>67</v>
      </c>
      <c r="N553" s="14" t="b">
        <v>1</v>
      </c>
      <c r="O553" s="24" t="s">
        <v>2449</v>
      </c>
      <c r="P553" s="13" t="s">
        <v>69</v>
      </c>
      <c r="Q553" s="24" t="s">
        <v>91</v>
      </c>
      <c r="R553" s="27"/>
      <c r="S553" s="24" t="s">
        <v>2450</v>
      </c>
      <c r="T553" s="24" t="s">
        <v>72</v>
      </c>
      <c r="U553" s="26"/>
      <c r="V553" s="14"/>
      <c r="W553" s="14"/>
      <c r="X553" s="18"/>
      <c r="Y553" s="18"/>
      <c r="Z553" s="18"/>
      <c r="AA553" s="19">
        <f t="shared" si="1"/>
        <v>7</v>
      </c>
      <c r="AB553" s="19">
        <f t="shared" si="2"/>
        <v>7</v>
      </c>
    </row>
    <row r="554" ht="15.75" customHeight="1">
      <c r="A554" s="12">
        <v>45128.0</v>
      </c>
      <c r="B554" s="14" t="s">
        <v>201</v>
      </c>
      <c r="C554" s="167"/>
      <c r="D554" s="167" t="s">
        <v>2451</v>
      </c>
      <c r="E554" s="14"/>
      <c r="F554" s="14"/>
      <c r="G554" s="14"/>
      <c r="H554" s="15"/>
      <c r="I554" s="14"/>
      <c r="J554" s="14"/>
      <c r="K554" s="115" t="s">
        <v>2452</v>
      </c>
      <c r="L554" s="14" t="s">
        <v>48</v>
      </c>
      <c r="M554" s="14" t="s">
        <v>34</v>
      </c>
      <c r="N554" s="14" t="b">
        <v>0</v>
      </c>
      <c r="O554" s="14"/>
      <c r="P554" s="14"/>
      <c r="Q554" s="14"/>
      <c r="R554" s="14"/>
      <c r="S554" s="14" t="s">
        <v>2453</v>
      </c>
      <c r="T554" s="13" t="s">
        <v>229</v>
      </c>
      <c r="U554" s="17"/>
      <c r="V554" s="14"/>
      <c r="W554" s="14"/>
      <c r="X554" s="18"/>
      <c r="Y554" s="18"/>
      <c r="Z554" s="18"/>
      <c r="AA554" s="19">
        <f t="shared" si="1"/>
        <v>7</v>
      </c>
      <c r="AB554" s="19" t="str">
        <f t="shared" si="2"/>
        <v/>
      </c>
    </row>
    <row r="555" ht="15.75" customHeight="1">
      <c r="A555" s="12">
        <v>45128.0</v>
      </c>
      <c r="B555" s="13" t="s">
        <v>28</v>
      </c>
      <c r="C555" s="14" t="s">
        <v>2454</v>
      </c>
      <c r="D555" s="14"/>
      <c r="E555" s="14"/>
      <c r="F555" s="14"/>
      <c r="G555" s="14"/>
      <c r="H555" s="15" t="s">
        <v>2455</v>
      </c>
      <c r="I555" s="14"/>
      <c r="J555" s="14"/>
      <c r="K555" s="14" t="s">
        <v>2456</v>
      </c>
      <c r="L555" s="14" t="s">
        <v>111</v>
      </c>
      <c r="M555" s="14" t="s">
        <v>216</v>
      </c>
      <c r="N555" s="14" t="b">
        <v>0</v>
      </c>
      <c r="O555" s="14"/>
      <c r="P555" s="14"/>
      <c r="Q555" s="14"/>
      <c r="R555" s="14"/>
      <c r="S555" s="14" t="s">
        <v>2457</v>
      </c>
      <c r="T555" s="14" t="s">
        <v>36</v>
      </c>
      <c r="U555" s="17"/>
      <c r="V555" s="14"/>
      <c r="W555" s="14"/>
      <c r="X555" s="18"/>
      <c r="Y555" s="18"/>
      <c r="Z555" s="18"/>
      <c r="AA555" s="19">
        <f t="shared" si="1"/>
        <v>7</v>
      </c>
      <c r="AB555" s="19" t="str">
        <f t="shared" si="2"/>
        <v/>
      </c>
    </row>
    <row r="556" ht="15.75" customHeight="1">
      <c r="A556" s="12">
        <v>45128.0</v>
      </c>
      <c r="B556" s="13" t="s">
        <v>28</v>
      </c>
      <c r="C556" s="14" t="s">
        <v>2458</v>
      </c>
      <c r="D556" s="14" t="s">
        <v>2459</v>
      </c>
      <c r="E556" s="13">
        <v>11.0</v>
      </c>
      <c r="F556" s="14"/>
      <c r="G556" s="14"/>
      <c r="H556" s="15" t="s">
        <v>2460</v>
      </c>
      <c r="I556" s="14"/>
      <c r="J556" s="14"/>
      <c r="K556" s="14" t="s">
        <v>2461</v>
      </c>
      <c r="L556" s="14" t="s">
        <v>111</v>
      </c>
      <c r="M556" s="14" t="s">
        <v>13</v>
      </c>
      <c r="N556" s="14" t="b">
        <v>1</v>
      </c>
      <c r="O556" s="13" t="s">
        <v>2462</v>
      </c>
      <c r="P556" s="13" t="s">
        <v>42</v>
      </c>
      <c r="Q556" s="14"/>
      <c r="R556" s="14"/>
      <c r="S556" s="14" t="s">
        <v>2463</v>
      </c>
      <c r="T556" s="13" t="s">
        <v>129</v>
      </c>
      <c r="U556" s="17"/>
      <c r="V556" s="14"/>
      <c r="W556" s="14"/>
      <c r="X556" s="18"/>
      <c r="Y556" s="18"/>
      <c r="Z556" s="18"/>
      <c r="AA556" s="19">
        <f t="shared" si="1"/>
        <v>7</v>
      </c>
      <c r="AB556" s="19" t="str">
        <f t="shared" si="2"/>
        <v/>
      </c>
    </row>
    <row r="557" ht="15.75" customHeight="1">
      <c r="A557" s="12">
        <v>45128.0</v>
      </c>
      <c r="B557" s="13" t="s">
        <v>28</v>
      </c>
      <c r="C557" s="14" t="s">
        <v>2464</v>
      </c>
      <c r="D557" s="14"/>
      <c r="E557" s="14"/>
      <c r="F557" s="14"/>
      <c r="G557" s="14"/>
      <c r="H557" s="15" t="s">
        <v>2465</v>
      </c>
      <c r="I557" s="14"/>
      <c r="J557" s="14"/>
      <c r="K557" s="14"/>
      <c r="L557" s="14" t="s">
        <v>48</v>
      </c>
      <c r="M557" s="14" t="s">
        <v>216</v>
      </c>
      <c r="N557" s="14" t="b">
        <v>0</v>
      </c>
      <c r="O557" s="14"/>
      <c r="P557" s="14"/>
      <c r="Q557" s="14"/>
      <c r="R557" s="14"/>
      <c r="S557" s="14" t="s">
        <v>2466</v>
      </c>
      <c r="T557" s="13" t="s">
        <v>129</v>
      </c>
      <c r="U557" s="17"/>
      <c r="V557" s="14"/>
      <c r="W557" s="14"/>
      <c r="X557" s="18"/>
      <c r="Y557" s="18"/>
      <c r="Z557" s="18"/>
      <c r="AA557" s="19">
        <f t="shared" si="1"/>
        <v>7</v>
      </c>
      <c r="AB557" s="19" t="str">
        <f t="shared" si="2"/>
        <v/>
      </c>
    </row>
    <row r="558" ht="15.75" customHeight="1">
      <c r="A558" s="12">
        <v>45128.0</v>
      </c>
      <c r="B558" s="13" t="s">
        <v>28</v>
      </c>
      <c r="C558" s="14" t="s">
        <v>2467</v>
      </c>
      <c r="D558" s="14"/>
      <c r="E558" s="14"/>
      <c r="F558" s="14"/>
      <c r="G558" s="14"/>
      <c r="H558" s="15" t="s">
        <v>2468</v>
      </c>
      <c r="I558" s="14"/>
      <c r="J558" s="14"/>
      <c r="K558" s="14" t="s">
        <v>2469</v>
      </c>
      <c r="L558" s="14" t="s">
        <v>48</v>
      </c>
      <c r="M558" s="14" t="s">
        <v>565</v>
      </c>
      <c r="N558" s="14" t="b">
        <v>0</v>
      </c>
      <c r="O558" s="14"/>
      <c r="P558" s="14"/>
      <c r="Q558" s="14"/>
      <c r="R558" s="14"/>
      <c r="S558" s="14" t="s">
        <v>2470</v>
      </c>
      <c r="T558" s="13" t="s">
        <v>229</v>
      </c>
      <c r="U558" s="17">
        <v>45158.0</v>
      </c>
      <c r="V558" s="14"/>
      <c r="W558" s="14"/>
      <c r="X558" s="18"/>
      <c r="Y558" s="18"/>
      <c r="Z558" s="18"/>
      <c r="AA558" s="19">
        <f t="shared" si="1"/>
        <v>7</v>
      </c>
      <c r="AB558" s="19" t="str">
        <f t="shared" si="2"/>
        <v/>
      </c>
    </row>
    <row r="559" ht="15.75" customHeight="1">
      <c r="A559" s="12">
        <v>45128.0</v>
      </c>
      <c r="B559" s="13" t="s">
        <v>28</v>
      </c>
      <c r="C559" s="14" t="s">
        <v>2471</v>
      </c>
      <c r="D559" s="14"/>
      <c r="E559" s="14"/>
      <c r="F559" s="14"/>
      <c r="G559" s="14"/>
      <c r="H559" s="15" t="s">
        <v>2472</v>
      </c>
      <c r="I559" s="14"/>
      <c r="J559" s="14"/>
      <c r="K559" s="14"/>
      <c r="L559" s="14" t="s">
        <v>111</v>
      </c>
      <c r="M559" s="14" t="s">
        <v>34</v>
      </c>
      <c r="N559" s="14" t="b">
        <v>0</v>
      </c>
      <c r="O559" s="14"/>
      <c r="P559" s="14"/>
      <c r="Q559" s="14"/>
      <c r="R559" s="14"/>
      <c r="S559" s="14" t="s">
        <v>2473</v>
      </c>
      <c r="T559" s="14" t="s">
        <v>36</v>
      </c>
      <c r="U559" s="17"/>
      <c r="V559" s="14"/>
      <c r="W559" s="14"/>
      <c r="X559" s="18"/>
      <c r="Y559" s="18"/>
      <c r="Z559" s="18"/>
      <c r="AA559" s="19">
        <f t="shared" si="1"/>
        <v>7</v>
      </c>
      <c r="AB559" s="19" t="str">
        <f t="shared" si="2"/>
        <v/>
      </c>
    </row>
    <row r="560" ht="15.75" customHeight="1">
      <c r="A560" s="12">
        <v>45128.0</v>
      </c>
      <c r="B560" s="13" t="s">
        <v>28</v>
      </c>
      <c r="C560" s="14" t="s">
        <v>2474</v>
      </c>
      <c r="D560" s="14"/>
      <c r="E560" s="14"/>
      <c r="F560" s="14"/>
      <c r="G560" s="14"/>
      <c r="H560" s="15" t="s">
        <v>2475</v>
      </c>
      <c r="I560" s="14"/>
      <c r="J560" s="14"/>
      <c r="K560" s="14" t="s">
        <v>2476</v>
      </c>
      <c r="L560" s="14" t="s">
        <v>111</v>
      </c>
      <c r="M560" s="14" t="s">
        <v>34</v>
      </c>
      <c r="N560" s="14" t="b">
        <v>0</v>
      </c>
      <c r="O560" s="14"/>
      <c r="P560" s="14"/>
      <c r="Q560" s="14"/>
      <c r="R560" s="14"/>
      <c r="S560" s="14" t="s">
        <v>2477</v>
      </c>
      <c r="T560" s="14" t="s">
        <v>36</v>
      </c>
      <c r="U560" s="17"/>
      <c r="V560" s="14"/>
      <c r="W560" s="14"/>
      <c r="X560" s="18"/>
      <c r="Y560" s="18"/>
      <c r="Z560" s="18"/>
      <c r="AA560" s="19">
        <f t="shared" si="1"/>
        <v>7</v>
      </c>
      <c r="AB560" s="19" t="str">
        <f t="shared" si="2"/>
        <v/>
      </c>
    </row>
    <row r="561" ht="15.75" customHeight="1">
      <c r="A561" s="12">
        <v>45128.0</v>
      </c>
      <c r="B561" s="13" t="s">
        <v>28</v>
      </c>
      <c r="C561" s="13" t="s">
        <v>2478</v>
      </c>
      <c r="D561" s="14"/>
      <c r="E561" s="14"/>
      <c r="F561" s="14"/>
      <c r="G561" s="14"/>
      <c r="H561" s="15" t="s">
        <v>2479</v>
      </c>
      <c r="I561" s="14"/>
      <c r="J561" s="14"/>
      <c r="K561" s="14" t="s">
        <v>2480</v>
      </c>
      <c r="L561" s="14" t="s">
        <v>48</v>
      </c>
      <c r="M561" s="14" t="s">
        <v>565</v>
      </c>
      <c r="N561" s="14" t="b">
        <v>0</v>
      </c>
      <c r="O561" s="14"/>
      <c r="P561" s="14"/>
      <c r="Q561" s="14"/>
      <c r="R561" s="14"/>
      <c r="S561" s="14" t="s">
        <v>2481</v>
      </c>
      <c r="T561" s="13" t="s">
        <v>229</v>
      </c>
      <c r="U561" s="17"/>
      <c r="V561" s="14"/>
      <c r="W561" s="14"/>
      <c r="X561" s="18"/>
      <c r="Y561" s="18"/>
      <c r="Z561" s="18"/>
      <c r="AA561" s="19">
        <f t="shared" si="1"/>
        <v>7</v>
      </c>
      <c r="AB561" s="19" t="str">
        <f t="shared" si="2"/>
        <v/>
      </c>
    </row>
    <row r="562" ht="15.75" customHeight="1">
      <c r="A562" s="12">
        <v>45128.0</v>
      </c>
      <c r="B562" s="14" t="s">
        <v>201</v>
      </c>
      <c r="C562" s="13" t="s">
        <v>2482</v>
      </c>
      <c r="D562" s="14" t="s">
        <v>1787</v>
      </c>
      <c r="E562" s="13">
        <v>17.0</v>
      </c>
      <c r="F562" s="14">
        <v>11.0</v>
      </c>
      <c r="G562" s="14"/>
      <c r="H562" s="15"/>
      <c r="I562" s="14"/>
      <c r="J562" s="14"/>
      <c r="K562" s="14"/>
      <c r="L562" s="14" t="s">
        <v>111</v>
      </c>
      <c r="M562" s="14" t="s">
        <v>565</v>
      </c>
      <c r="N562" s="14" t="b">
        <v>0</v>
      </c>
      <c r="O562" s="14"/>
      <c r="P562" s="14"/>
      <c r="Q562" s="14"/>
      <c r="R562" s="14"/>
      <c r="S562" s="14" t="s">
        <v>2483</v>
      </c>
      <c r="T562" s="13" t="s">
        <v>129</v>
      </c>
      <c r="U562" s="17"/>
      <c r="V562" s="14"/>
      <c r="W562" s="14"/>
      <c r="X562" s="18"/>
      <c r="Y562" s="18"/>
      <c r="Z562" s="18"/>
      <c r="AA562" s="19">
        <f t="shared" si="1"/>
        <v>7</v>
      </c>
      <c r="AB562" s="19" t="str">
        <f t="shared" si="2"/>
        <v/>
      </c>
    </row>
    <row r="563" ht="15.75" customHeight="1">
      <c r="A563" s="12">
        <v>45128.0</v>
      </c>
      <c r="B563" s="14" t="s">
        <v>201</v>
      </c>
      <c r="C563" s="13" t="s">
        <v>2482</v>
      </c>
      <c r="D563" s="14" t="s">
        <v>2484</v>
      </c>
      <c r="E563" s="13">
        <v>9.0</v>
      </c>
      <c r="F563" s="14">
        <v>4.0</v>
      </c>
      <c r="G563" s="14"/>
      <c r="H563" s="15" t="s">
        <v>2485</v>
      </c>
      <c r="I563" s="14"/>
      <c r="J563" s="14"/>
      <c r="K563" s="14" t="s">
        <v>2486</v>
      </c>
      <c r="L563" s="14" t="s">
        <v>111</v>
      </c>
      <c r="M563" s="14" t="s">
        <v>13</v>
      </c>
      <c r="N563" s="14" t="b">
        <v>1</v>
      </c>
      <c r="O563" s="13" t="s">
        <v>2487</v>
      </c>
      <c r="P563" s="13" t="s">
        <v>69</v>
      </c>
      <c r="Q563" s="14"/>
      <c r="R563" s="14"/>
      <c r="S563" s="14" t="s">
        <v>2488</v>
      </c>
      <c r="T563" s="13" t="s">
        <v>229</v>
      </c>
      <c r="U563" s="17"/>
      <c r="V563" s="14"/>
      <c r="W563" s="14"/>
      <c r="X563" s="18"/>
      <c r="Y563" s="18"/>
      <c r="Z563" s="18"/>
      <c r="AA563" s="19">
        <f t="shared" si="1"/>
        <v>7</v>
      </c>
      <c r="AB563" s="19" t="str">
        <f t="shared" si="2"/>
        <v/>
      </c>
    </row>
    <row r="564" ht="15.75" customHeight="1">
      <c r="A564" s="12">
        <v>45128.0</v>
      </c>
      <c r="B564" s="13" t="s">
        <v>28</v>
      </c>
      <c r="C564" s="14" t="s">
        <v>2489</v>
      </c>
      <c r="D564" s="14"/>
      <c r="E564" s="13">
        <v>5.0</v>
      </c>
      <c r="F564" s="14"/>
      <c r="G564" s="14"/>
      <c r="H564" s="15" t="s">
        <v>2490</v>
      </c>
      <c r="I564" s="14"/>
      <c r="J564" s="14"/>
      <c r="K564" s="14" t="s">
        <v>2491</v>
      </c>
      <c r="L564" s="14" t="s">
        <v>48</v>
      </c>
      <c r="M564" s="14" t="s">
        <v>565</v>
      </c>
      <c r="N564" s="14" t="b">
        <v>0</v>
      </c>
      <c r="O564" s="14"/>
      <c r="P564" s="14"/>
      <c r="Q564" s="14"/>
      <c r="R564" s="14"/>
      <c r="S564" s="14" t="s">
        <v>2492</v>
      </c>
      <c r="T564" s="14" t="s">
        <v>36</v>
      </c>
      <c r="U564" s="17"/>
      <c r="V564" s="14"/>
      <c r="W564" s="14"/>
      <c r="X564" s="18"/>
      <c r="Y564" s="18"/>
      <c r="Z564" s="18"/>
      <c r="AA564" s="19">
        <f t="shared" si="1"/>
        <v>7</v>
      </c>
      <c r="AB564" s="19" t="str">
        <f t="shared" si="2"/>
        <v/>
      </c>
    </row>
    <row r="565" ht="15.75" customHeight="1">
      <c r="A565" s="12">
        <v>45128.0</v>
      </c>
      <c r="B565" s="13" t="s">
        <v>28</v>
      </c>
      <c r="C565" s="14" t="s">
        <v>2493</v>
      </c>
      <c r="D565" s="14" t="s">
        <v>2494</v>
      </c>
      <c r="E565" s="13">
        <v>8.0</v>
      </c>
      <c r="F565" s="14"/>
      <c r="G565" s="14"/>
      <c r="H565" s="15" t="s">
        <v>2495</v>
      </c>
      <c r="I565" s="14"/>
      <c r="J565" s="14"/>
      <c r="K565" s="14" t="s">
        <v>2496</v>
      </c>
      <c r="L565" s="14" t="s">
        <v>111</v>
      </c>
      <c r="M565" s="14" t="s">
        <v>565</v>
      </c>
      <c r="N565" s="14" t="b">
        <v>0</v>
      </c>
      <c r="O565" s="14"/>
      <c r="P565" s="14"/>
      <c r="Q565" s="14"/>
      <c r="R565" s="14"/>
      <c r="S565" s="14" t="s">
        <v>2497</v>
      </c>
      <c r="T565" s="14" t="s">
        <v>36</v>
      </c>
      <c r="U565" s="17"/>
      <c r="V565" s="14"/>
      <c r="W565" s="14"/>
      <c r="X565" s="18"/>
      <c r="Y565" s="18"/>
      <c r="Z565" s="18"/>
      <c r="AA565" s="19">
        <f t="shared" si="1"/>
        <v>7</v>
      </c>
      <c r="AB565" s="19" t="str">
        <f t="shared" si="2"/>
        <v/>
      </c>
    </row>
    <row r="566" ht="15.75" customHeight="1">
      <c r="A566" s="12">
        <v>45129.0</v>
      </c>
      <c r="B566" s="13" t="s">
        <v>28</v>
      </c>
      <c r="C566" s="14" t="s">
        <v>2498</v>
      </c>
      <c r="D566" s="14"/>
      <c r="E566" s="13">
        <v>7.0</v>
      </c>
      <c r="F566" s="14">
        <v>2.0</v>
      </c>
      <c r="G566" s="14"/>
      <c r="H566" s="15" t="s">
        <v>2499</v>
      </c>
      <c r="I566" s="14"/>
      <c r="J566" s="14"/>
      <c r="K566" s="14" t="s">
        <v>2496</v>
      </c>
      <c r="L566" s="14" t="s">
        <v>48</v>
      </c>
      <c r="M566" s="14" t="s">
        <v>565</v>
      </c>
      <c r="N566" s="14" t="b">
        <v>0</v>
      </c>
      <c r="O566" s="14"/>
      <c r="P566" s="14"/>
      <c r="Q566" s="14"/>
      <c r="R566" s="14"/>
      <c r="S566" s="14" t="s">
        <v>2500</v>
      </c>
      <c r="T566" s="13" t="s">
        <v>229</v>
      </c>
      <c r="U566" s="17"/>
      <c r="V566" s="27"/>
      <c r="W566" s="27"/>
      <c r="X566" s="25"/>
      <c r="Y566" s="25"/>
      <c r="Z566" s="25" t="s">
        <v>289</v>
      </c>
      <c r="AA566" s="19">
        <f t="shared" si="1"/>
        <v>7</v>
      </c>
      <c r="AB566" s="19" t="str">
        <f t="shared" si="2"/>
        <v/>
      </c>
    </row>
    <row r="567" ht="15.75" customHeight="1">
      <c r="A567" s="26">
        <v>45129.0</v>
      </c>
      <c r="B567" s="27" t="s">
        <v>60</v>
      </c>
      <c r="C567" s="27" t="s">
        <v>2501</v>
      </c>
      <c r="D567" s="27" t="s">
        <v>2502</v>
      </c>
      <c r="E567" s="24">
        <v>12.0</v>
      </c>
      <c r="F567" s="27">
        <v>7.0</v>
      </c>
      <c r="G567" s="27" t="s">
        <v>2503</v>
      </c>
      <c r="H567" s="34" t="s">
        <v>2504</v>
      </c>
      <c r="I567" s="27"/>
      <c r="J567" s="27"/>
      <c r="K567" s="24" t="s">
        <v>2505</v>
      </c>
      <c r="L567" s="27" t="s">
        <v>111</v>
      </c>
      <c r="M567" s="27" t="s">
        <v>67</v>
      </c>
      <c r="N567" s="14" t="b">
        <v>1</v>
      </c>
      <c r="O567" s="24" t="s">
        <v>2506</v>
      </c>
      <c r="P567" s="13" t="s">
        <v>42</v>
      </c>
      <c r="Q567" s="27"/>
      <c r="R567" s="27"/>
      <c r="S567" s="27" t="s">
        <v>2507</v>
      </c>
      <c r="T567" s="24" t="s">
        <v>72</v>
      </c>
      <c r="U567" s="26"/>
      <c r="V567" s="32">
        <v>45135.0</v>
      </c>
      <c r="W567" s="79" t="s">
        <v>575</v>
      </c>
      <c r="X567" s="25">
        <v>6124000.0</v>
      </c>
      <c r="Y567" s="25">
        <f>X567-Z567</f>
        <v>600000</v>
      </c>
      <c r="Z567" s="25">
        <v>5524000.0</v>
      </c>
      <c r="AA567" s="19">
        <f t="shared" si="1"/>
        <v>7</v>
      </c>
      <c r="AB567" s="19" t="str">
        <f t="shared" si="2"/>
        <v/>
      </c>
    </row>
    <row r="568" ht="15.75" customHeight="1">
      <c r="A568" s="26">
        <v>45130.0</v>
      </c>
      <c r="B568" s="13" t="s">
        <v>28</v>
      </c>
      <c r="C568" s="27" t="s">
        <v>2508</v>
      </c>
      <c r="D568" s="27" t="s">
        <v>2509</v>
      </c>
      <c r="E568" s="24">
        <v>6.0</v>
      </c>
      <c r="F568" s="27">
        <v>1.0</v>
      </c>
      <c r="G568" s="27"/>
      <c r="H568" s="34" t="s">
        <v>2510</v>
      </c>
      <c r="I568" s="27"/>
      <c r="J568" s="27"/>
      <c r="K568" s="27"/>
      <c r="L568" s="27" t="s">
        <v>48</v>
      </c>
      <c r="M568" s="27" t="s">
        <v>67</v>
      </c>
      <c r="N568" s="14" t="b">
        <v>1</v>
      </c>
      <c r="O568" s="24" t="s">
        <v>2511</v>
      </c>
      <c r="P568" s="13" t="s">
        <v>69</v>
      </c>
      <c r="Q568" s="24" t="s">
        <v>91</v>
      </c>
      <c r="R568" s="27"/>
      <c r="S568" s="24" t="s">
        <v>2512</v>
      </c>
      <c r="T568" s="24" t="s">
        <v>72</v>
      </c>
      <c r="U568" s="32"/>
      <c r="V568" s="14"/>
      <c r="W568" s="14"/>
      <c r="X568" s="18"/>
      <c r="Y568" s="18"/>
      <c r="Z568" s="18"/>
      <c r="AA568" s="19">
        <f t="shared" si="1"/>
        <v>7</v>
      </c>
      <c r="AB568" s="19">
        <f t="shared" si="2"/>
        <v>7</v>
      </c>
    </row>
    <row r="569" ht="15.75" customHeight="1">
      <c r="A569" s="12">
        <v>45130.0</v>
      </c>
      <c r="B569" s="14" t="s">
        <v>84</v>
      </c>
      <c r="C569" s="14" t="s">
        <v>2513</v>
      </c>
      <c r="D569" s="14" t="s">
        <v>2514</v>
      </c>
      <c r="E569" s="13">
        <v>11.0</v>
      </c>
      <c r="F569" s="14">
        <v>6.0</v>
      </c>
      <c r="G569" s="14"/>
      <c r="H569" s="15" t="s">
        <v>2515</v>
      </c>
      <c r="I569" s="14"/>
      <c r="J569" s="14"/>
      <c r="K569" s="14"/>
      <c r="L569" s="14" t="s">
        <v>111</v>
      </c>
      <c r="M569" s="14" t="s">
        <v>13</v>
      </c>
      <c r="N569" s="14" t="b">
        <v>1</v>
      </c>
      <c r="O569" s="100" t="s">
        <v>2516</v>
      </c>
      <c r="P569" s="13" t="s">
        <v>69</v>
      </c>
      <c r="Q569" s="14"/>
      <c r="R569" s="14"/>
      <c r="S569" s="14" t="s">
        <v>2517</v>
      </c>
      <c r="T569" s="13" t="s">
        <v>129</v>
      </c>
      <c r="U569" s="17">
        <v>45163.0</v>
      </c>
      <c r="V569" s="14"/>
      <c r="W569" s="14"/>
      <c r="X569" s="18"/>
      <c r="Y569" s="18"/>
      <c r="Z569" s="18"/>
      <c r="AA569" s="19">
        <f t="shared" si="1"/>
        <v>7</v>
      </c>
      <c r="AB569" s="19" t="str">
        <f t="shared" si="2"/>
        <v/>
      </c>
    </row>
    <row r="570" ht="15.75" customHeight="1">
      <c r="A570" s="12">
        <v>45130.0</v>
      </c>
      <c r="B570" s="13" t="s">
        <v>28</v>
      </c>
      <c r="C570" s="14" t="s">
        <v>2518</v>
      </c>
      <c r="D570" s="14"/>
      <c r="E570" s="13">
        <v>4.0</v>
      </c>
      <c r="F570" s="14"/>
      <c r="G570" s="14"/>
      <c r="H570" s="15" t="s">
        <v>2519</v>
      </c>
      <c r="I570" s="14"/>
      <c r="J570" s="14"/>
      <c r="K570" s="14"/>
      <c r="L570" s="14" t="s">
        <v>111</v>
      </c>
      <c r="M570" s="14" t="s">
        <v>34</v>
      </c>
      <c r="N570" s="14" t="b">
        <v>0</v>
      </c>
      <c r="O570" s="14"/>
      <c r="P570" s="14"/>
      <c r="Q570" s="14"/>
      <c r="R570" s="14"/>
      <c r="S570" s="14" t="s">
        <v>2520</v>
      </c>
      <c r="T570" s="14" t="s">
        <v>36</v>
      </c>
      <c r="U570" s="17"/>
      <c r="V570" s="14"/>
      <c r="W570" s="14"/>
      <c r="X570" s="18"/>
      <c r="Y570" s="18"/>
      <c r="Z570" s="18"/>
      <c r="AA570" s="19">
        <f t="shared" si="1"/>
        <v>7</v>
      </c>
      <c r="AB570" s="19" t="str">
        <f t="shared" si="2"/>
        <v/>
      </c>
    </row>
    <row r="571" ht="15.75" customHeight="1">
      <c r="A571" s="12">
        <v>45093.0</v>
      </c>
      <c r="B571" s="14" t="s">
        <v>84</v>
      </c>
      <c r="C571" s="14" t="s">
        <v>2521</v>
      </c>
      <c r="D571" s="14" t="s">
        <v>2423</v>
      </c>
      <c r="E571" s="13">
        <v>10.0</v>
      </c>
      <c r="F571" s="14">
        <v>4.0</v>
      </c>
      <c r="G571" s="14"/>
      <c r="H571" s="15" t="s">
        <v>2522</v>
      </c>
      <c r="I571" s="14"/>
      <c r="J571" s="14"/>
      <c r="K571" s="14" t="s">
        <v>2523</v>
      </c>
      <c r="L571" s="14" t="s">
        <v>111</v>
      </c>
      <c r="M571" s="14" t="s">
        <v>565</v>
      </c>
      <c r="N571" s="14" t="b">
        <v>0</v>
      </c>
      <c r="O571" s="14"/>
      <c r="P571" s="14"/>
      <c r="Q571" s="14"/>
      <c r="R571" s="14"/>
      <c r="S571" s="14" t="s">
        <v>2524</v>
      </c>
      <c r="T571" s="13" t="s">
        <v>129</v>
      </c>
      <c r="U571" s="17">
        <v>45163.0</v>
      </c>
      <c r="V571" s="14"/>
      <c r="W571" s="14"/>
      <c r="X571" s="18"/>
      <c r="Y571" s="18"/>
      <c r="Z571" s="18"/>
      <c r="AA571" s="19">
        <f t="shared" si="1"/>
        <v>6</v>
      </c>
      <c r="AB571" s="19" t="str">
        <f t="shared" si="2"/>
        <v/>
      </c>
    </row>
    <row r="572" ht="15.75" customHeight="1">
      <c r="A572" s="12">
        <v>45093.0</v>
      </c>
      <c r="B572" s="14" t="s">
        <v>84</v>
      </c>
      <c r="C572" s="14" t="s">
        <v>2521</v>
      </c>
      <c r="D572" s="14" t="s">
        <v>2525</v>
      </c>
      <c r="E572" s="13">
        <v>12.0</v>
      </c>
      <c r="F572" s="14">
        <v>7.0</v>
      </c>
      <c r="G572" s="14"/>
      <c r="H572" s="15" t="s">
        <v>2522</v>
      </c>
      <c r="I572" s="14"/>
      <c r="J572" s="14"/>
      <c r="K572" s="14"/>
      <c r="L572" s="14" t="s">
        <v>111</v>
      </c>
      <c r="M572" s="14" t="s">
        <v>565</v>
      </c>
      <c r="N572" s="14" t="b">
        <v>0</v>
      </c>
      <c r="O572" s="14"/>
      <c r="P572" s="14"/>
      <c r="Q572" s="14"/>
      <c r="R572" s="14"/>
      <c r="S572" s="14" t="s">
        <v>2524</v>
      </c>
      <c r="T572" s="13" t="s">
        <v>129</v>
      </c>
      <c r="U572" s="17">
        <v>45163.0</v>
      </c>
      <c r="V572" s="14"/>
      <c r="W572" s="14"/>
      <c r="X572" s="18"/>
      <c r="Y572" s="18"/>
      <c r="Z572" s="18"/>
      <c r="AA572" s="19">
        <f t="shared" si="1"/>
        <v>6</v>
      </c>
      <c r="AB572" s="19" t="str">
        <f t="shared" si="2"/>
        <v/>
      </c>
    </row>
    <row r="573" ht="15.75" customHeight="1">
      <c r="A573" s="12">
        <v>45131.0</v>
      </c>
      <c r="B573" s="13" t="s">
        <v>28</v>
      </c>
      <c r="C573" s="14" t="s">
        <v>2526</v>
      </c>
      <c r="D573" s="14"/>
      <c r="E573" s="14"/>
      <c r="F573" s="14"/>
      <c r="G573" s="14"/>
      <c r="H573" s="15" t="s">
        <v>2527</v>
      </c>
      <c r="I573" s="14"/>
      <c r="J573" s="14"/>
      <c r="K573" s="14"/>
      <c r="L573" s="14" t="s">
        <v>111</v>
      </c>
      <c r="M573" s="14" t="s">
        <v>216</v>
      </c>
      <c r="N573" s="14" t="b">
        <v>0</v>
      </c>
      <c r="O573" s="14"/>
      <c r="P573" s="14"/>
      <c r="Q573" s="14"/>
      <c r="R573" s="14"/>
      <c r="S573" s="14" t="s">
        <v>2528</v>
      </c>
      <c r="T573" s="13" t="s">
        <v>129</v>
      </c>
      <c r="U573" s="17"/>
      <c r="V573" s="32">
        <v>45199.0</v>
      </c>
      <c r="W573" s="24" t="s">
        <v>1376</v>
      </c>
      <c r="X573" s="25">
        <v>8750000.0</v>
      </c>
      <c r="Y573" s="25">
        <v>1312500.0</v>
      </c>
      <c r="Z573" s="25">
        <v>7437500.0</v>
      </c>
      <c r="AA573" s="19">
        <f t="shared" si="1"/>
        <v>7</v>
      </c>
      <c r="AB573" s="19" t="str">
        <f t="shared" si="2"/>
        <v/>
      </c>
    </row>
    <row r="574" ht="15.75" customHeight="1">
      <c r="A574" s="26">
        <v>45130.0</v>
      </c>
      <c r="B574" s="27" t="s">
        <v>84</v>
      </c>
      <c r="C574" s="168" t="s">
        <v>2529</v>
      </c>
      <c r="D574" s="27" t="s">
        <v>2530</v>
      </c>
      <c r="E574" s="24">
        <v>11.0</v>
      </c>
      <c r="F574" s="27">
        <v>6.0</v>
      </c>
      <c r="G574" s="27"/>
      <c r="H574" s="34" t="s">
        <v>2531</v>
      </c>
      <c r="I574" s="27"/>
      <c r="J574" s="27"/>
      <c r="K574" s="27" t="s">
        <v>2532</v>
      </c>
      <c r="L574" s="27" t="s">
        <v>111</v>
      </c>
      <c r="M574" s="27" t="s">
        <v>67</v>
      </c>
      <c r="N574" s="14" t="b">
        <v>1</v>
      </c>
      <c r="O574" s="24" t="s">
        <v>2533</v>
      </c>
      <c r="P574" s="13" t="s">
        <v>42</v>
      </c>
      <c r="Q574" s="24" t="s">
        <v>91</v>
      </c>
      <c r="R574" s="27"/>
      <c r="S574" s="33" t="s">
        <v>2534</v>
      </c>
      <c r="T574" s="24" t="s">
        <v>72</v>
      </c>
      <c r="U574" s="26"/>
      <c r="V574" s="14"/>
      <c r="W574" s="14"/>
      <c r="X574" s="18"/>
      <c r="Y574" s="18"/>
      <c r="Z574" s="18"/>
      <c r="AA574" s="19">
        <f t="shared" si="1"/>
        <v>7</v>
      </c>
      <c r="AB574" s="19">
        <f t="shared" si="2"/>
        <v>9</v>
      </c>
    </row>
    <row r="575" ht="15.75" customHeight="1">
      <c r="A575" s="12">
        <v>45131.0</v>
      </c>
      <c r="B575" s="13" t="s">
        <v>28</v>
      </c>
      <c r="C575" s="14" t="s">
        <v>2535</v>
      </c>
      <c r="D575" s="14" t="s">
        <v>2536</v>
      </c>
      <c r="E575" s="13">
        <v>10.0</v>
      </c>
      <c r="F575" s="14"/>
      <c r="G575" s="14"/>
      <c r="H575" s="15" t="s">
        <v>2537</v>
      </c>
      <c r="I575" s="14"/>
      <c r="J575" s="14"/>
      <c r="K575" s="169" t="s">
        <v>2538</v>
      </c>
      <c r="L575" s="14" t="s">
        <v>111</v>
      </c>
      <c r="M575" s="14" t="s">
        <v>565</v>
      </c>
      <c r="N575" s="14" t="b">
        <v>0</v>
      </c>
      <c r="O575" s="14"/>
      <c r="P575" s="14"/>
      <c r="Q575" s="14"/>
      <c r="R575" s="14"/>
      <c r="S575" s="14" t="s">
        <v>2539</v>
      </c>
      <c r="T575" s="13" t="s">
        <v>229</v>
      </c>
      <c r="U575" s="17"/>
      <c r="V575" s="14"/>
      <c r="W575" s="14"/>
      <c r="X575" s="18"/>
      <c r="Y575" s="18"/>
      <c r="Z575" s="18"/>
      <c r="AA575" s="19">
        <f t="shared" si="1"/>
        <v>7</v>
      </c>
      <c r="AB575" s="19" t="str">
        <f t="shared" si="2"/>
        <v/>
      </c>
    </row>
    <row r="576" ht="15.75" customHeight="1">
      <c r="A576" s="12">
        <v>45098.0</v>
      </c>
      <c r="B576" s="14" t="s">
        <v>84</v>
      </c>
      <c r="C576" s="14" t="s">
        <v>2540</v>
      </c>
      <c r="D576" s="14" t="s">
        <v>2541</v>
      </c>
      <c r="E576" s="13">
        <v>7.0</v>
      </c>
      <c r="F576" s="14"/>
      <c r="G576" s="14"/>
      <c r="H576" s="15" t="s">
        <v>2542</v>
      </c>
      <c r="I576" s="14"/>
      <c r="J576" s="132" t="s">
        <v>2542</v>
      </c>
      <c r="K576" s="14"/>
      <c r="L576" s="14" t="s">
        <v>111</v>
      </c>
      <c r="M576" s="14" t="s">
        <v>13</v>
      </c>
      <c r="N576" s="14" t="b">
        <v>1</v>
      </c>
      <c r="O576" s="13" t="s">
        <v>2543</v>
      </c>
      <c r="P576" s="13" t="s">
        <v>42</v>
      </c>
      <c r="Q576" s="14"/>
      <c r="R576" s="14"/>
      <c r="S576" s="14" t="s">
        <v>2544</v>
      </c>
      <c r="T576" s="13" t="s">
        <v>129</v>
      </c>
      <c r="U576" s="17"/>
      <c r="V576" s="32">
        <v>45131.0</v>
      </c>
      <c r="W576" s="24" t="s">
        <v>575</v>
      </c>
      <c r="X576" s="25">
        <v>8750000.0</v>
      </c>
      <c r="Y576" s="25">
        <v>1038000.0</v>
      </c>
      <c r="Z576" s="25">
        <v>7712000.0</v>
      </c>
      <c r="AA576" s="19">
        <f t="shared" si="1"/>
        <v>6</v>
      </c>
      <c r="AB576" s="19" t="str">
        <f t="shared" si="2"/>
        <v/>
      </c>
    </row>
    <row r="577" ht="15.75" customHeight="1">
      <c r="A577" s="26">
        <v>45131.0</v>
      </c>
      <c r="B577" s="27" t="s">
        <v>201</v>
      </c>
      <c r="C577" s="27"/>
      <c r="D577" s="27" t="s">
        <v>2545</v>
      </c>
      <c r="E577" s="24">
        <v>16.0</v>
      </c>
      <c r="F577" s="27">
        <v>11.0</v>
      </c>
      <c r="G577" s="27"/>
      <c r="H577" s="82" t="s">
        <v>2546</v>
      </c>
      <c r="I577" s="27"/>
      <c r="J577" s="27">
        <v>8.68216305E8</v>
      </c>
      <c r="K577" s="24" t="s">
        <v>2547</v>
      </c>
      <c r="L577" s="27" t="s">
        <v>111</v>
      </c>
      <c r="M577" s="27" t="s">
        <v>67</v>
      </c>
      <c r="N577" s="14" t="b">
        <v>1</v>
      </c>
      <c r="O577" s="27"/>
      <c r="P577" s="27"/>
      <c r="Q577" s="24" t="s">
        <v>91</v>
      </c>
      <c r="R577" s="27" t="s">
        <v>2548</v>
      </c>
      <c r="S577" s="27" t="s">
        <v>2549</v>
      </c>
      <c r="T577" s="24" t="s">
        <v>72</v>
      </c>
      <c r="U577" s="26"/>
      <c r="V577" s="32">
        <v>45134.0</v>
      </c>
      <c r="W577" s="24" t="s">
        <v>83</v>
      </c>
      <c r="X577" s="25">
        <v>6124000.0</v>
      </c>
      <c r="Y577" s="25">
        <f>X577-Z577</f>
        <v>764000</v>
      </c>
      <c r="Z577" s="25">
        <v>5360000.0</v>
      </c>
      <c r="AA577" s="19">
        <f t="shared" si="1"/>
        <v>7</v>
      </c>
      <c r="AB577" s="19">
        <f t="shared" si="2"/>
        <v>7</v>
      </c>
    </row>
    <row r="578" ht="15.75" customHeight="1">
      <c r="A578" s="26">
        <v>45132.0</v>
      </c>
      <c r="B578" s="27" t="s">
        <v>201</v>
      </c>
      <c r="C578" s="170" t="s">
        <v>2550</v>
      </c>
      <c r="D578" s="27" t="s">
        <v>2551</v>
      </c>
      <c r="E578" s="24">
        <v>13.0</v>
      </c>
      <c r="F578" s="27">
        <v>8.0</v>
      </c>
      <c r="G578" s="27"/>
      <c r="H578" s="82" t="s">
        <v>2552</v>
      </c>
      <c r="I578" s="27"/>
      <c r="J578" s="27"/>
      <c r="K578" s="24" t="s">
        <v>2553</v>
      </c>
      <c r="L578" s="27" t="s">
        <v>48</v>
      </c>
      <c r="M578" s="27" t="s">
        <v>67</v>
      </c>
      <c r="N578" s="14" t="b">
        <v>1</v>
      </c>
      <c r="O578" s="24" t="s">
        <v>2554</v>
      </c>
      <c r="P578" s="13" t="s">
        <v>42</v>
      </c>
      <c r="Q578" s="24" t="s">
        <v>91</v>
      </c>
      <c r="R578" s="27"/>
      <c r="S578" s="24" t="s">
        <v>2555</v>
      </c>
      <c r="T578" s="24" t="s">
        <v>72</v>
      </c>
      <c r="U578" s="26"/>
      <c r="V578" s="171">
        <v>45134.0</v>
      </c>
      <c r="W578" s="153" t="s">
        <v>575</v>
      </c>
      <c r="X578" s="172">
        <v>8750000.0</v>
      </c>
      <c r="Y578" s="172">
        <v>1038500.0</v>
      </c>
      <c r="Z578" s="25">
        <v>7711500.0</v>
      </c>
      <c r="AA578" s="19">
        <f t="shared" si="1"/>
        <v>7</v>
      </c>
      <c r="AB578" s="19">
        <f t="shared" si="2"/>
        <v>7</v>
      </c>
    </row>
    <row r="579" ht="15.75" customHeight="1">
      <c r="A579" s="173">
        <v>45095.0</v>
      </c>
      <c r="B579" s="110" t="s">
        <v>84</v>
      </c>
      <c r="C579" s="110" t="s">
        <v>2556</v>
      </c>
      <c r="D579" s="110" t="s">
        <v>2557</v>
      </c>
      <c r="E579" s="153">
        <v>8.0</v>
      </c>
      <c r="F579" s="110"/>
      <c r="G579" s="110"/>
      <c r="H579" s="174" t="s">
        <v>2558</v>
      </c>
      <c r="I579" s="110"/>
      <c r="J579" s="110"/>
      <c r="K579" s="153" t="s">
        <v>2559</v>
      </c>
      <c r="L579" s="110" t="s">
        <v>111</v>
      </c>
      <c r="M579" s="110" t="s">
        <v>67</v>
      </c>
      <c r="N579" s="14" t="b">
        <v>0</v>
      </c>
      <c r="O579" s="153" t="s">
        <v>2560</v>
      </c>
      <c r="P579" s="13" t="s">
        <v>69</v>
      </c>
      <c r="Q579" s="24" t="s">
        <v>91</v>
      </c>
      <c r="R579" s="110"/>
      <c r="S579" s="153" t="s">
        <v>2561</v>
      </c>
      <c r="T579" s="24" t="s">
        <v>72</v>
      </c>
      <c r="U579" s="173"/>
      <c r="V579" s="14"/>
      <c r="W579" s="14"/>
      <c r="X579" s="18"/>
      <c r="Y579" s="18"/>
      <c r="Z579" s="25"/>
      <c r="AA579" s="19">
        <f t="shared" si="1"/>
        <v>6</v>
      </c>
      <c r="AB579" s="19">
        <f t="shared" si="2"/>
        <v>7</v>
      </c>
    </row>
    <row r="580" ht="15.75" customHeight="1">
      <c r="A580" s="12">
        <v>45133.0</v>
      </c>
      <c r="B580" s="13" t="s">
        <v>28</v>
      </c>
      <c r="C580" s="175" t="s">
        <v>2562</v>
      </c>
      <c r="D580" s="175"/>
      <c r="E580" s="14"/>
      <c r="F580" s="14"/>
      <c r="G580" s="14"/>
      <c r="H580" s="176" t="s">
        <v>2563</v>
      </c>
      <c r="I580" s="14"/>
      <c r="J580" s="14"/>
      <c r="K580" s="14"/>
      <c r="L580" s="14" t="s">
        <v>48</v>
      </c>
      <c r="M580" s="14" t="s">
        <v>34</v>
      </c>
      <c r="N580" s="14" t="b">
        <v>0</v>
      </c>
      <c r="O580" s="14"/>
      <c r="P580" s="14"/>
      <c r="Q580" s="14"/>
      <c r="R580" s="14"/>
      <c r="S580" s="14" t="s">
        <v>2564</v>
      </c>
      <c r="T580" s="14" t="s">
        <v>36</v>
      </c>
      <c r="U580" s="17"/>
      <c r="V580" s="14"/>
      <c r="W580" s="14"/>
      <c r="X580" s="18"/>
      <c r="Y580" s="18"/>
      <c r="Z580" s="18"/>
      <c r="AA580" s="19">
        <f t="shared" si="1"/>
        <v>7</v>
      </c>
      <c r="AB580" s="19" t="str">
        <f t="shared" si="2"/>
        <v/>
      </c>
    </row>
    <row r="581" ht="15.75" customHeight="1">
      <c r="A581" s="12">
        <v>45133.0</v>
      </c>
      <c r="B581" s="13" t="s">
        <v>28</v>
      </c>
      <c r="C581" s="14" t="s">
        <v>2565</v>
      </c>
      <c r="D581" s="14"/>
      <c r="E581" s="14"/>
      <c r="F581" s="14"/>
      <c r="G581" s="14"/>
      <c r="H581" s="176" t="s">
        <v>2566</v>
      </c>
      <c r="I581" s="14"/>
      <c r="J581" s="14"/>
      <c r="K581" s="14" t="s">
        <v>2567</v>
      </c>
      <c r="L581" s="14" t="s">
        <v>111</v>
      </c>
      <c r="M581" s="14" t="s">
        <v>216</v>
      </c>
      <c r="N581" s="14" t="b">
        <v>0</v>
      </c>
      <c r="P581" s="14"/>
      <c r="Q581" s="14"/>
      <c r="R581" s="14"/>
      <c r="S581" s="14" t="s">
        <v>2568</v>
      </c>
      <c r="T581" s="14" t="s">
        <v>36</v>
      </c>
      <c r="U581" s="17"/>
      <c r="V581" s="14"/>
      <c r="W581" s="14"/>
      <c r="X581" s="18"/>
      <c r="Y581" s="18"/>
      <c r="Z581" s="18"/>
      <c r="AA581" s="19">
        <f t="shared" si="1"/>
        <v>7</v>
      </c>
      <c r="AB581" s="19" t="str">
        <f t="shared" si="2"/>
        <v/>
      </c>
    </row>
    <row r="582" ht="15.75" customHeight="1">
      <c r="A582" s="12">
        <v>45134.0</v>
      </c>
      <c r="B582" s="13" t="s">
        <v>28</v>
      </c>
      <c r="C582" s="175" t="s">
        <v>2569</v>
      </c>
      <c r="D582" s="175" t="s">
        <v>2570</v>
      </c>
      <c r="E582" s="14"/>
      <c r="F582" s="14">
        <v>5.0</v>
      </c>
      <c r="G582" s="14"/>
      <c r="H582" s="57" t="s">
        <v>2571</v>
      </c>
      <c r="I582" s="14"/>
      <c r="J582" s="14"/>
      <c r="K582" s="14"/>
      <c r="L582" s="14" t="s">
        <v>48</v>
      </c>
      <c r="M582" s="14" t="s">
        <v>34</v>
      </c>
      <c r="N582" s="14" t="b">
        <v>1</v>
      </c>
      <c r="O582" s="13" t="s">
        <v>2572</v>
      </c>
      <c r="P582" s="13" t="s">
        <v>42</v>
      </c>
      <c r="Q582" s="14"/>
      <c r="R582" s="14"/>
      <c r="S582" s="14" t="s">
        <v>2573</v>
      </c>
      <c r="T582" s="14" t="s">
        <v>36</v>
      </c>
      <c r="U582" s="61"/>
      <c r="V582" s="90"/>
      <c r="W582" s="14"/>
      <c r="X582" s="18"/>
      <c r="Y582" s="18"/>
      <c r="Z582" s="18"/>
      <c r="AA582" s="19">
        <f t="shared" si="1"/>
        <v>7</v>
      </c>
      <c r="AB582" s="19" t="str">
        <f t="shared" si="2"/>
        <v/>
      </c>
    </row>
    <row r="583" ht="15.75" customHeight="1">
      <c r="A583" s="12">
        <v>45134.0</v>
      </c>
      <c r="B583" s="13" t="s">
        <v>28</v>
      </c>
      <c r="C583" s="14" t="s">
        <v>2574</v>
      </c>
      <c r="D583" s="14"/>
      <c r="E583" s="14"/>
      <c r="F583" s="14"/>
      <c r="G583" s="14"/>
      <c r="H583" s="15" t="s">
        <v>2575</v>
      </c>
      <c r="I583" s="14"/>
      <c r="J583" s="14"/>
      <c r="K583" s="14"/>
      <c r="L583" s="14" t="s">
        <v>111</v>
      </c>
      <c r="M583" s="14" t="s">
        <v>565</v>
      </c>
      <c r="N583" s="14" t="b">
        <v>0</v>
      </c>
      <c r="O583" s="14"/>
      <c r="P583" s="14"/>
      <c r="Q583" s="14"/>
      <c r="R583" s="14"/>
      <c r="S583" s="14" t="s">
        <v>2576</v>
      </c>
      <c r="T583" s="14" t="s">
        <v>36</v>
      </c>
      <c r="U583" s="17"/>
      <c r="V583" s="14"/>
      <c r="W583" s="14"/>
      <c r="X583" s="18"/>
      <c r="Y583" s="18"/>
      <c r="Z583" s="18"/>
      <c r="AA583" s="19">
        <f t="shared" si="1"/>
        <v>7</v>
      </c>
      <c r="AB583" s="19" t="str">
        <f t="shared" si="2"/>
        <v/>
      </c>
    </row>
    <row r="584" ht="15.75" customHeight="1">
      <c r="A584" s="12">
        <v>45134.0</v>
      </c>
      <c r="B584" s="13" t="s">
        <v>28</v>
      </c>
      <c r="C584" s="175"/>
      <c r="D584" s="175" t="s">
        <v>2577</v>
      </c>
      <c r="E584" s="13">
        <v>9.0</v>
      </c>
      <c r="F584" s="14"/>
      <c r="G584" s="14"/>
      <c r="H584" s="132" t="s">
        <v>2578</v>
      </c>
      <c r="I584" s="14"/>
      <c r="J584" s="14"/>
      <c r="K584" s="13" t="s">
        <v>2579</v>
      </c>
      <c r="L584" s="14" t="s">
        <v>48</v>
      </c>
      <c r="M584" s="14" t="s">
        <v>1484</v>
      </c>
      <c r="N584" s="14" t="b">
        <v>0</v>
      </c>
      <c r="O584" s="14"/>
      <c r="P584" s="14"/>
      <c r="Q584" s="14"/>
      <c r="R584" s="14"/>
      <c r="S584" s="14" t="s">
        <v>2580</v>
      </c>
      <c r="T584" s="14" t="s">
        <v>36</v>
      </c>
      <c r="U584" s="17"/>
      <c r="V584" s="14"/>
      <c r="W584" s="14"/>
      <c r="X584" s="18"/>
      <c r="Y584" s="18"/>
      <c r="Z584" s="18"/>
      <c r="AA584" s="19">
        <f t="shared" si="1"/>
        <v>7</v>
      </c>
      <c r="AB584" s="19" t="str">
        <f t="shared" si="2"/>
        <v/>
      </c>
    </row>
    <row r="585" ht="15.75" customHeight="1">
      <c r="A585" s="12">
        <v>45134.0</v>
      </c>
      <c r="B585" s="13" t="s">
        <v>28</v>
      </c>
      <c r="C585" s="14" t="s">
        <v>2581</v>
      </c>
      <c r="D585" s="14"/>
      <c r="E585" s="13">
        <v>8.0</v>
      </c>
      <c r="F585" s="14">
        <v>3.0</v>
      </c>
      <c r="G585" s="14"/>
      <c r="H585" s="14">
        <v>9.05573318E8</v>
      </c>
      <c r="I585" s="14"/>
      <c r="J585" s="14"/>
      <c r="K585" s="14" t="s">
        <v>2582</v>
      </c>
      <c r="L585" s="14" t="s">
        <v>111</v>
      </c>
      <c r="M585" s="14" t="s">
        <v>34</v>
      </c>
      <c r="N585" s="14" t="b">
        <v>0</v>
      </c>
      <c r="O585" s="14"/>
      <c r="P585" s="14"/>
      <c r="Q585" s="14"/>
      <c r="R585" s="14"/>
      <c r="S585" s="14" t="s">
        <v>2583</v>
      </c>
      <c r="T585" s="13" t="s">
        <v>129</v>
      </c>
      <c r="U585" s="17"/>
      <c r="V585" s="14"/>
      <c r="W585" s="14"/>
      <c r="X585" s="18"/>
      <c r="Y585" s="18"/>
      <c r="Z585" s="18"/>
      <c r="AA585" s="19">
        <f t="shared" si="1"/>
        <v>7</v>
      </c>
      <c r="AB585" s="19" t="str">
        <f t="shared" si="2"/>
        <v/>
      </c>
    </row>
    <row r="586" ht="15.75" customHeight="1">
      <c r="A586" s="12">
        <v>45134.0</v>
      </c>
      <c r="B586" s="13" t="s">
        <v>28</v>
      </c>
      <c r="C586" s="14" t="s">
        <v>2584</v>
      </c>
      <c r="D586" s="14"/>
      <c r="E586" s="14"/>
      <c r="F586" s="14"/>
      <c r="G586" s="14"/>
      <c r="H586" s="15" t="s">
        <v>2585</v>
      </c>
      <c r="I586" s="14"/>
      <c r="J586" s="14"/>
      <c r="K586" s="14"/>
      <c r="L586" s="14" t="s">
        <v>48</v>
      </c>
      <c r="M586" s="14" t="s">
        <v>34</v>
      </c>
      <c r="N586" s="14" t="b">
        <v>0</v>
      </c>
      <c r="O586" s="14"/>
      <c r="P586" s="14"/>
      <c r="Q586" s="14"/>
      <c r="R586" s="14"/>
      <c r="S586" s="14" t="s">
        <v>2586</v>
      </c>
      <c r="T586" s="14" t="s">
        <v>36</v>
      </c>
      <c r="U586" s="17"/>
      <c r="V586" s="14"/>
      <c r="W586" s="14"/>
      <c r="X586" s="18"/>
      <c r="Y586" s="18"/>
      <c r="Z586" s="18"/>
      <c r="AA586" s="19">
        <f t="shared" si="1"/>
        <v>7</v>
      </c>
      <c r="AB586" s="19" t="str">
        <f t="shared" si="2"/>
        <v/>
      </c>
    </row>
    <row r="587" ht="15.75" customHeight="1">
      <c r="A587" s="12">
        <v>45135.0</v>
      </c>
      <c r="B587" s="14" t="s">
        <v>201</v>
      </c>
      <c r="C587" s="46" t="s">
        <v>2587</v>
      </c>
      <c r="D587" s="14" t="s">
        <v>2588</v>
      </c>
      <c r="E587" s="13">
        <v>10.0</v>
      </c>
      <c r="F587" s="14">
        <v>5.0</v>
      </c>
      <c r="G587" s="14"/>
      <c r="H587" s="57" t="s">
        <v>2589</v>
      </c>
      <c r="I587" s="14"/>
      <c r="J587" s="14"/>
      <c r="K587" s="13" t="s">
        <v>2590</v>
      </c>
      <c r="L587" s="14" t="s">
        <v>111</v>
      </c>
      <c r="M587" s="14" t="s">
        <v>13</v>
      </c>
      <c r="N587" s="14" t="b">
        <v>1</v>
      </c>
      <c r="O587" s="13" t="s">
        <v>2591</v>
      </c>
      <c r="P587" s="13" t="s">
        <v>42</v>
      </c>
      <c r="Q587" s="14"/>
      <c r="R587" s="14"/>
      <c r="S587" s="14" t="s">
        <v>2592</v>
      </c>
      <c r="T587" s="13" t="s">
        <v>229</v>
      </c>
      <c r="U587" s="17"/>
      <c r="V587" s="32">
        <v>45141.0</v>
      </c>
      <c r="W587" s="24" t="s">
        <v>407</v>
      </c>
      <c r="X587" s="25">
        <v>1.05E7</v>
      </c>
      <c r="Y587" s="25">
        <v>1285000.0</v>
      </c>
      <c r="Z587" s="25">
        <v>9215000.0</v>
      </c>
      <c r="AA587" s="19">
        <f t="shared" si="1"/>
        <v>7</v>
      </c>
      <c r="AB587" s="19" t="str">
        <f t="shared" si="2"/>
        <v/>
      </c>
    </row>
    <row r="588" ht="15.75" customHeight="1">
      <c r="A588" s="26">
        <v>45135.0</v>
      </c>
      <c r="B588" s="13" t="s">
        <v>28</v>
      </c>
      <c r="C588" s="27"/>
      <c r="D588" s="27" t="s">
        <v>2593</v>
      </c>
      <c r="E588" s="24">
        <v>23.0</v>
      </c>
      <c r="F588" s="27"/>
      <c r="G588" s="27"/>
      <c r="H588" s="34" t="s">
        <v>2594</v>
      </c>
      <c r="I588" s="27"/>
      <c r="J588" s="27"/>
      <c r="K588" s="27"/>
      <c r="L588" s="27" t="s">
        <v>111</v>
      </c>
      <c r="M588" s="27" t="s">
        <v>67</v>
      </c>
      <c r="N588" s="14" t="b">
        <v>1</v>
      </c>
      <c r="O588" s="27" t="s">
        <v>2595</v>
      </c>
      <c r="P588" s="13" t="s">
        <v>42</v>
      </c>
      <c r="Q588" s="24" t="s">
        <v>91</v>
      </c>
      <c r="R588" s="27"/>
      <c r="S588" s="27"/>
      <c r="T588" s="24" t="s">
        <v>72</v>
      </c>
      <c r="U588" s="26"/>
      <c r="V588" s="14"/>
      <c r="W588" s="14"/>
      <c r="X588" s="18"/>
      <c r="Y588" s="18"/>
      <c r="Z588" s="18"/>
      <c r="AA588" s="19">
        <f t="shared" si="1"/>
        <v>7</v>
      </c>
      <c r="AB588" s="19">
        <f t="shared" si="2"/>
        <v>8</v>
      </c>
    </row>
    <row r="589" ht="15.75" customHeight="1">
      <c r="A589" s="12">
        <v>45135.0</v>
      </c>
      <c r="B589" s="13" t="s">
        <v>28</v>
      </c>
      <c r="C589" s="14" t="s">
        <v>2596</v>
      </c>
      <c r="D589" s="14"/>
      <c r="E589" s="100">
        <v>12.0</v>
      </c>
      <c r="F589" s="14">
        <v>7.0</v>
      </c>
      <c r="G589" s="14"/>
      <c r="H589" s="57" t="s">
        <v>2597</v>
      </c>
      <c r="I589" s="14"/>
      <c r="J589" s="14"/>
      <c r="K589" s="13" t="s">
        <v>2598</v>
      </c>
      <c r="L589" s="14" t="s">
        <v>111</v>
      </c>
      <c r="M589" s="14" t="s">
        <v>565</v>
      </c>
      <c r="N589" s="14" t="b">
        <v>0</v>
      </c>
      <c r="O589" s="14"/>
      <c r="P589" s="14"/>
      <c r="Q589" s="14"/>
      <c r="R589" s="14"/>
      <c r="S589" s="14" t="s">
        <v>2599</v>
      </c>
      <c r="T589" s="13" t="s">
        <v>229</v>
      </c>
      <c r="U589" s="17"/>
      <c r="V589" s="14"/>
      <c r="W589" s="14"/>
      <c r="X589" s="18"/>
      <c r="Y589" s="18"/>
      <c r="Z589" s="18"/>
      <c r="AA589" s="19">
        <f t="shared" si="1"/>
        <v>7</v>
      </c>
      <c r="AB589" s="19" t="str">
        <f t="shared" si="2"/>
        <v/>
      </c>
    </row>
    <row r="590" ht="15.75" customHeight="1">
      <c r="A590" s="12">
        <v>45136.0</v>
      </c>
      <c r="B590" s="13" t="s">
        <v>28</v>
      </c>
      <c r="C590" s="14" t="s">
        <v>2600</v>
      </c>
      <c r="D590" s="13" t="s">
        <v>2601</v>
      </c>
      <c r="E590" s="13">
        <v>7.0</v>
      </c>
      <c r="F590" s="14"/>
      <c r="G590" s="14"/>
      <c r="H590" s="15" t="s">
        <v>2602</v>
      </c>
      <c r="I590" s="14"/>
      <c r="J590" s="14"/>
      <c r="K590" s="14" t="s">
        <v>2603</v>
      </c>
      <c r="L590" s="14" t="s">
        <v>48</v>
      </c>
      <c r="M590" s="14" t="s">
        <v>565</v>
      </c>
      <c r="N590" s="14" t="b">
        <v>0</v>
      </c>
      <c r="O590" s="14"/>
      <c r="P590" s="14"/>
      <c r="Q590" s="14"/>
      <c r="R590" s="14"/>
      <c r="S590" s="14" t="s">
        <v>2604</v>
      </c>
      <c r="T590" s="14" t="s">
        <v>36</v>
      </c>
      <c r="U590" s="17"/>
      <c r="V590" s="14"/>
      <c r="W590" s="14"/>
      <c r="X590" s="18"/>
      <c r="Y590" s="18"/>
      <c r="Z590" s="18"/>
      <c r="AA590" s="19">
        <f t="shared" si="1"/>
        <v>7</v>
      </c>
      <c r="AB590" s="19" t="str">
        <f t="shared" si="2"/>
        <v/>
      </c>
    </row>
    <row r="591" ht="15.75" customHeight="1">
      <c r="A591" s="12">
        <v>45136.0</v>
      </c>
      <c r="B591" s="13" t="s">
        <v>28</v>
      </c>
      <c r="C591" s="14" t="s">
        <v>2600</v>
      </c>
      <c r="D591" s="13" t="s">
        <v>2605</v>
      </c>
      <c r="E591" s="13">
        <v>10.0</v>
      </c>
      <c r="F591" s="14"/>
      <c r="G591" s="14"/>
      <c r="H591" s="15" t="s">
        <v>2602</v>
      </c>
      <c r="I591" s="14"/>
      <c r="J591" s="14"/>
      <c r="K591" s="14" t="s">
        <v>2603</v>
      </c>
      <c r="L591" s="14" t="s">
        <v>48</v>
      </c>
      <c r="M591" s="14" t="s">
        <v>565</v>
      </c>
      <c r="N591" s="14" t="b">
        <v>0</v>
      </c>
      <c r="O591" s="14"/>
      <c r="P591" s="14"/>
      <c r="Q591" s="14"/>
      <c r="R591" s="14"/>
      <c r="S591" s="14" t="s">
        <v>2606</v>
      </c>
      <c r="T591" s="14" t="s">
        <v>36</v>
      </c>
      <c r="U591" s="17"/>
      <c r="V591" s="14"/>
      <c r="W591" s="14"/>
      <c r="X591" s="18"/>
      <c r="Y591" s="18"/>
      <c r="Z591" s="18"/>
      <c r="AA591" s="19">
        <f t="shared" si="1"/>
        <v>7</v>
      </c>
      <c r="AB591" s="19" t="str">
        <f t="shared" si="2"/>
        <v/>
      </c>
    </row>
    <row r="592" ht="15.75" customHeight="1">
      <c r="A592" s="12">
        <v>45136.0</v>
      </c>
      <c r="B592" s="14" t="s">
        <v>201</v>
      </c>
      <c r="C592" s="13" t="s">
        <v>2607</v>
      </c>
      <c r="D592" s="14" t="s">
        <v>2608</v>
      </c>
      <c r="E592" s="13">
        <v>7.0</v>
      </c>
      <c r="F592" s="14">
        <v>1.0</v>
      </c>
      <c r="G592" s="14"/>
      <c r="H592" s="14">
        <v>9.77429322E8</v>
      </c>
      <c r="I592" s="14"/>
      <c r="J592" s="14"/>
      <c r="K592" s="115" t="s">
        <v>2609</v>
      </c>
      <c r="L592" s="14" t="s">
        <v>48</v>
      </c>
      <c r="M592" s="14" t="s">
        <v>34</v>
      </c>
      <c r="N592" s="14" t="b">
        <v>1</v>
      </c>
      <c r="O592" s="13" t="s">
        <v>2610</v>
      </c>
      <c r="P592" s="13" t="s">
        <v>69</v>
      </c>
      <c r="Q592" s="14"/>
      <c r="R592" s="14"/>
      <c r="S592" s="14" t="s">
        <v>2611</v>
      </c>
      <c r="T592" s="14" t="s">
        <v>36</v>
      </c>
      <c r="U592" s="17"/>
      <c r="V592" s="14"/>
      <c r="W592" s="14"/>
      <c r="X592" s="18"/>
      <c r="Y592" s="18"/>
      <c r="Z592" s="18"/>
      <c r="AA592" s="19">
        <f t="shared" si="1"/>
        <v>7</v>
      </c>
      <c r="AB592" s="19" t="str">
        <f t="shared" si="2"/>
        <v/>
      </c>
    </row>
    <row r="593" ht="15.75" customHeight="1">
      <c r="A593" s="12">
        <v>45136.0</v>
      </c>
      <c r="B593" s="14" t="s">
        <v>84</v>
      </c>
      <c r="C593" s="13" t="s">
        <v>2612</v>
      </c>
      <c r="D593" s="177" t="s">
        <v>2613</v>
      </c>
      <c r="E593" s="14">
        <v>6.0</v>
      </c>
      <c r="F593" s="14"/>
      <c r="G593" s="14"/>
      <c r="H593" s="14">
        <v>9.38303495E8</v>
      </c>
      <c r="I593" s="14"/>
      <c r="J593" s="14"/>
      <c r="K593" s="14" t="s">
        <v>2614</v>
      </c>
      <c r="L593" s="14" t="s">
        <v>111</v>
      </c>
      <c r="M593" s="14" t="s">
        <v>34</v>
      </c>
      <c r="N593" s="14" t="b">
        <v>0</v>
      </c>
      <c r="O593" s="14"/>
      <c r="P593" s="14"/>
      <c r="Q593" s="14"/>
      <c r="R593" s="14"/>
      <c r="S593" s="14" t="s">
        <v>2615</v>
      </c>
      <c r="T593" s="14" t="s">
        <v>36</v>
      </c>
      <c r="U593" s="17"/>
      <c r="V593" s="14"/>
      <c r="W593" s="14"/>
      <c r="X593" s="18"/>
      <c r="Y593" s="18"/>
      <c r="Z593" s="18"/>
      <c r="AA593" s="19">
        <f t="shared" si="1"/>
        <v>7</v>
      </c>
      <c r="AB593" s="19" t="str">
        <f t="shared" si="2"/>
        <v/>
      </c>
    </row>
    <row r="594" ht="15.75" customHeight="1">
      <c r="A594" s="12">
        <v>45139.0</v>
      </c>
      <c r="B594" s="13" t="s">
        <v>28</v>
      </c>
      <c r="C594" s="46" t="s">
        <v>2616</v>
      </c>
      <c r="D594" s="14"/>
      <c r="E594" s="13">
        <v>12.0</v>
      </c>
      <c r="F594" s="14">
        <v>6.0</v>
      </c>
      <c r="G594" s="14"/>
      <c r="H594" s="15" t="s">
        <v>2617</v>
      </c>
      <c r="I594" s="14"/>
      <c r="J594" s="14"/>
      <c r="K594" s="14" t="s">
        <v>2618</v>
      </c>
      <c r="L594" s="14" t="s">
        <v>111</v>
      </c>
      <c r="M594" s="14" t="s">
        <v>565</v>
      </c>
      <c r="N594" s="14" t="b">
        <v>0</v>
      </c>
      <c r="O594" s="14"/>
      <c r="P594" s="14"/>
      <c r="Q594" s="14"/>
      <c r="R594" s="14"/>
      <c r="S594" s="14" t="s">
        <v>2619</v>
      </c>
      <c r="T594" s="13" t="s">
        <v>229</v>
      </c>
      <c r="U594" s="17"/>
      <c r="V594" s="14"/>
      <c r="W594" s="14"/>
      <c r="X594" s="18"/>
      <c r="Y594" s="18"/>
      <c r="Z594" s="18"/>
      <c r="AA594" s="19">
        <f t="shared" si="1"/>
        <v>8</v>
      </c>
      <c r="AB594" s="19" t="str">
        <f t="shared" si="2"/>
        <v/>
      </c>
    </row>
    <row r="595" ht="15.75" customHeight="1">
      <c r="A595" s="12">
        <v>45139.0</v>
      </c>
      <c r="B595" s="13" t="s">
        <v>28</v>
      </c>
      <c r="C595" s="14" t="s">
        <v>2620</v>
      </c>
      <c r="D595" s="14"/>
      <c r="E595" s="14"/>
      <c r="F595" s="14"/>
      <c r="G595" s="14"/>
      <c r="H595" s="15" t="s">
        <v>2621</v>
      </c>
      <c r="I595" s="14"/>
      <c r="J595" s="14"/>
      <c r="K595" s="14"/>
      <c r="L595" s="14" t="s">
        <v>111</v>
      </c>
      <c r="M595" s="14" t="s">
        <v>34</v>
      </c>
      <c r="N595" s="14" t="b">
        <v>0</v>
      </c>
      <c r="O595" s="14"/>
      <c r="P595" s="14"/>
      <c r="Q595" s="14"/>
      <c r="R595" s="14"/>
      <c r="S595" s="14" t="s">
        <v>2622</v>
      </c>
      <c r="T595" s="14" t="s">
        <v>36</v>
      </c>
      <c r="U595" s="17"/>
      <c r="V595" s="14"/>
      <c r="W595" s="14"/>
      <c r="X595" s="18"/>
      <c r="Y595" s="18"/>
      <c r="Z595" s="18"/>
      <c r="AA595" s="19">
        <f t="shared" si="1"/>
        <v>8</v>
      </c>
      <c r="AB595" s="19" t="str">
        <f t="shared" si="2"/>
        <v/>
      </c>
    </row>
    <row r="596" ht="15.75" customHeight="1">
      <c r="A596" s="12">
        <v>45135.0</v>
      </c>
      <c r="B596" s="13" t="s">
        <v>28</v>
      </c>
      <c r="C596" s="14" t="s">
        <v>2623</v>
      </c>
      <c r="D596" s="14"/>
      <c r="E596" s="14"/>
      <c r="F596" s="14"/>
      <c r="G596" s="14"/>
      <c r="H596" s="60" t="s">
        <v>2624</v>
      </c>
      <c r="I596" s="14"/>
      <c r="J596" s="14"/>
      <c r="K596" s="14"/>
      <c r="L596" s="14" t="s">
        <v>111</v>
      </c>
      <c r="M596" s="14" t="s">
        <v>565</v>
      </c>
      <c r="N596" s="14" t="b">
        <v>0</v>
      </c>
      <c r="O596" s="14"/>
      <c r="P596" s="14"/>
      <c r="Q596" s="14"/>
      <c r="R596" s="14"/>
      <c r="S596" s="14" t="s">
        <v>2625</v>
      </c>
      <c r="T596" s="14" t="s">
        <v>36</v>
      </c>
      <c r="U596" s="17"/>
      <c r="V596" s="14"/>
      <c r="W596" s="14"/>
      <c r="X596" s="18"/>
      <c r="Y596" s="18"/>
      <c r="Z596" s="18"/>
      <c r="AA596" s="19">
        <f t="shared" si="1"/>
        <v>7</v>
      </c>
      <c r="AB596" s="19" t="str">
        <f t="shared" si="2"/>
        <v/>
      </c>
    </row>
    <row r="597" ht="15.75" customHeight="1">
      <c r="A597" s="12">
        <v>45139.0</v>
      </c>
      <c r="B597" s="13" t="s">
        <v>28</v>
      </c>
      <c r="C597" s="14" t="s">
        <v>2626</v>
      </c>
      <c r="D597" s="14"/>
      <c r="E597" s="13">
        <v>9.0</v>
      </c>
      <c r="F597" s="14">
        <v>3.0</v>
      </c>
      <c r="G597" s="14"/>
      <c r="H597" s="15" t="s">
        <v>2627</v>
      </c>
      <c r="I597" s="14"/>
      <c r="J597" s="14"/>
      <c r="K597" s="14" t="s">
        <v>2628</v>
      </c>
      <c r="L597" s="14" t="s">
        <v>48</v>
      </c>
      <c r="M597" s="14" t="s">
        <v>34</v>
      </c>
      <c r="N597" s="14" t="b">
        <v>0</v>
      </c>
      <c r="O597" s="14"/>
      <c r="P597" s="14"/>
      <c r="Q597" s="14"/>
      <c r="R597" s="14"/>
      <c r="S597" s="14" t="s">
        <v>2629</v>
      </c>
      <c r="T597" s="14" t="s">
        <v>36</v>
      </c>
      <c r="U597" s="17"/>
      <c r="V597" s="14"/>
      <c r="W597" s="14"/>
      <c r="X597" s="18"/>
      <c r="Y597" s="18"/>
      <c r="Z597" s="18"/>
      <c r="AA597" s="19">
        <f t="shared" si="1"/>
        <v>8</v>
      </c>
      <c r="AB597" s="19" t="str">
        <f t="shared" si="2"/>
        <v/>
      </c>
    </row>
    <row r="598" ht="15.75" customHeight="1">
      <c r="A598" s="12">
        <v>45139.0</v>
      </c>
      <c r="B598" s="13" t="s">
        <v>28</v>
      </c>
      <c r="C598" s="14" t="s">
        <v>2630</v>
      </c>
      <c r="D598" s="14"/>
      <c r="E598" s="14"/>
      <c r="F598" s="14"/>
      <c r="G598" s="14"/>
      <c r="H598" s="15" t="s">
        <v>2631</v>
      </c>
      <c r="I598" s="14"/>
      <c r="J598" s="14"/>
      <c r="K598" s="14"/>
      <c r="L598" s="14" t="s">
        <v>48</v>
      </c>
      <c r="M598" s="14" t="s">
        <v>216</v>
      </c>
      <c r="N598" s="14" t="b">
        <v>0</v>
      </c>
      <c r="O598" s="14"/>
      <c r="P598" s="14"/>
      <c r="Q598" s="14"/>
      <c r="R598" s="14"/>
      <c r="S598" s="14" t="s">
        <v>2632</v>
      </c>
      <c r="T598" s="14" t="s">
        <v>36</v>
      </c>
      <c r="U598" s="17"/>
      <c r="V598" s="14"/>
      <c r="W598" s="14"/>
      <c r="X598" s="18"/>
      <c r="Y598" s="18"/>
      <c r="Z598" s="18"/>
      <c r="AA598" s="19">
        <f t="shared" si="1"/>
        <v>8</v>
      </c>
      <c r="AB598" s="19" t="str">
        <f t="shared" si="2"/>
        <v/>
      </c>
    </row>
    <row r="599" ht="15.75" customHeight="1">
      <c r="A599" s="12">
        <v>45139.0</v>
      </c>
      <c r="B599" s="13" t="s">
        <v>28</v>
      </c>
      <c r="C599" s="14" t="s">
        <v>2633</v>
      </c>
      <c r="D599" s="14"/>
      <c r="E599" s="14"/>
      <c r="F599" s="14"/>
      <c r="G599" s="14"/>
      <c r="H599" s="15" t="s">
        <v>2634</v>
      </c>
      <c r="I599" s="14"/>
      <c r="J599" s="14"/>
      <c r="K599" s="14"/>
      <c r="L599" s="14" t="s">
        <v>111</v>
      </c>
      <c r="M599" s="14" t="s">
        <v>216</v>
      </c>
      <c r="N599" s="14" t="b">
        <v>0</v>
      </c>
      <c r="O599" s="14" t="s">
        <v>2635</v>
      </c>
      <c r="P599" s="14"/>
      <c r="Q599" s="14"/>
      <c r="R599" s="14"/>
      <c r="S599" s="14" t="s">
        <v>2636</v>
      </c>
      <c r="T599" s="14" t="s">
        <v>36</v>
      </c>
      <c r="U599" s="17"/>
      <c r="V599" s="32">
        <v>45142.0</v>
      </c>
      <c r="W599" s="24" t="s">
        <v>407</v>
      </c>
      <c r="X599" s="25">
        <v>6124000.0</v>
      </c>
      <c r="Y599" s="25">
        <v>765720.0</v>
      </c>
      <c r="Z599" s="25">
        <v>5358280.0</v>
      </c>
      <c r="AA599" s="19">
        <f t="shared" si="1"/>
        <v>8</v>
      </c>
      <c r="AB599" s="19" t="str">
        <f t="shared" si="2"/>
        <v/>
      </c>
    </row>
    <row r="600" ht="15.75" customHeight="1">
      <c r="A600" s="26">
        <v>45140.0</v>
      </c>
      <c r="B600" s="27" t="s">
        <v>73</v>
      </c>
      <c r="C600" s="27" t="s">
        <v>2637</v>
      </c>
      <c r="D600" s="27" t="s">
        <v>2638</v>
      </c>
      <c r="E600" s="24">
        <v>9.0</v>
      </c>
      <c r="F600" s="27">
        <v>4.0</v>
      </c>
      <c r="G600" s="27"/>
      <c r="H600" s="34" t="s">
        <v>2639</v>
      </c>
      <c r="I600" s="27"/>
      <c r="J600" s="27"/>
      <c r="K600" s="27"/>
      <c r="L600" s="27" t="s">
        <v>111</v>
      </c>
      <c r="M600" s="27" t="s">
        <v>67</v>
      </c>
      <c r="N600" s="14" t="b">
        <v>1</v>
      </c>
      <c r="O600" s="24" t="s">
        <v>2640</v>
      </c>
      <c r="P600" s="13" t="s">
        <v>42</v>
      </c>
      <c r="Q600" s="24" t="s">
        <v>91</v>
      </c>
      <c r="R600" s="27" t="s">
        <v>2641</v>
      </c>
      <c r="S600" s="27" t="s">
        <v>2642</v>
      </c>
      <c r="T600" s="24" t="s">
        <v>72</v>
      </c>
      <c r="U600" s="26"/>
      <c r="V600" s="14"/>
      <c r="W600" s="14"/>
      <c r="X600" s="18"/>
      <c r="Y600" s="18"/>
      <c r="Z600" s="18"/>
      <c r="AA600" s="19">
        <f t="shared" si="1"/>
        <v>8</v>
      </c>
      <c r="AB600" s="19">
        <f t="shared" si="2"/>
        <v>8</v>
      </c>
    </row>
    <row r="601" ht="15.75" customHeight="1">
      <c r="A601" s="12">
        <v>45141.0</v>
      </c>
      <c r="B601" s="13" t="s">
        <v>28</v>
      </c>
      <c r="C601" s="178" t="s">
        <v>2643</v>
      </c>
      <c r="D601" s="14" t="s">
        <v>2644</v>
      </c>
      <c r="E601" s="13">
        <v>8.0</v>
      </c>
      <c r="F601" s="14"/>
      <c r="G601" s="14"/>
      <c r="H601" s="15" t="s">
        <v>2645</v>
      </c>
      <c r="I601" s="14"/>
      <c r="J601" s="14"/>
      <c r="K601" s="14" t="s">
        <v>2646</v>
      </c>
      <c r="L601" s="14" t="s">
        <v>111</v>
      </c>
      <c r="M601" s="14" t="s">
        <v>565</v>
      </c>
      <c r="N601" s="14" t="b">
        <v>1</v>
      </c>
      <c r="O601" s="13" t="s">
        <v>2647</v>
      </c>
      <c r="P601" s="13" t="s">
        <v>69</v>
      </c>
      <c r="Q601" s="14"/>
      <c r="R601" s="14"/>
      <c r="S601" s="14" t="s">
        <v>2648</v>
      </c>
      <c r="T601" s="13" t="s">
        <v>229</v>
      </c>
      <c r="U601" s="17"/>
      <c r="V601" s="14"/>
      <c r="W601" s="14"/>
      <c r="X601" s="18"/>
      <c r="Y601" s="18"/>
      <c r="Z601" s="18"/>
      <c r="AA601" s="19">
        <f t="shared" si="1"/>
        <v>8</v>
      </c>
      <c r="AB601" s="19" t="str">
        <f t="shared" si="2"/>
        <v/>
      </c>
    </row>
    <row r="602" ht="15.75" customHeight="1">
      <c r="A602" s="12">
        <v>45141.0</v>
      </c>
      <c r="B602" s="13" t="s">
        <v>28</v>
      </c>
      <c r="C602" s="14" t="s">
        <v>2649</v>
      </c>
      <c r="D602" s="14" t="s">
        <v>2650</v>
      </c>
      <c r="E602" s="13">
        <v>10.0</v>
      </c>
      <c r="F602" s="14">
        <v>5.0</v>
      </c>
      <c r="G602" s="14"/>
      <c r="H602" s="15" t="s">
        <v>2651</v>
      </c>
      <c r="I602" s="14"/>
      <c r="J602" s="14"/>
      <c r="K602" s="14"/>
      <c r="L602" s="14" t="s">
        <v>111</v>
      </c>
      <c r="M602" s="14" t="s">
        <v>13</v>
      </c>
      <c r="N602" s="14" t="b">
        <v>1</v>
      </c>
      <c r="O602" s="13" t="s">
        <v>2652</v>
      </c>
      <c r="P602" s="13" t="s">
        <v>42</v>
      </c>
      <c r="Q602" s="14"/>
      <c r="R602" s="14"/>
      <c r="S602" s="14" t="s">
        <v>2653</v>
      </c>
      <c r="T602" s="13" t="s">
        <v>129</v>
      </c>
      <c r="U602" s="17"/>
      <c r="V602" s="14"/>
      <c r="W602" s="14"/>
      <c r="X602" s="18"/>
      <c r="Y602" s="18"/>
      <c r="Z602" s="18"/>
      <c r="AA602" s="19">
        <f t="shared" si="1"/>
        <v>8</v>
      </c>
      <c r="AB602" s="19" t="str">
        <f t="shared" si="2"/>
        <v/>
      </c>
    </row>
    <row r="603" ht="15.75" customHeight="1">
      <c r="A603" s="12">
        <v>45141.0</v>
      </c>
      <c r="B603" s="13" t="s">
        <v>28</v>
      </c>
      <c r="C603" s="14" t="s">
        <v>2649</v>
      </c>
      <c r="D603" s="14" t="s">
        <v>2654</v>
      </c>
      <c r="E603" s="13">
        <v>6.0</v>
      </c>
      <c r="F603" s="14"/>
      <c r="G603" s="14"/>
      <c r="H603" s="15" t="s">
        <v>2651</v>
      </c>
      <c r="I603" s="14"/>
      <c r="J603" s="14"/>
      <c r="K603" s="14"/>
      <c r="L603" s="14" t="s">
        <v>111</v>
      </c>
      <c r="M603" s="14" t="s">
        <v>565</v>
      </c>
      <c r="N603" s="14" t="b">
        <v>0</v>
      </c>
      <c r="O603" s="14"/>
      <c r="P603" s="14"/>
      <c r="Q603" s="14"/>
      <c r="R603" s="14"/>
      <c r="S603" s="14" t="s">
        <v>2655</v>
      </c>
      <c r="T603" s="13" t="s">
        <v>129</v>
      </c>
      <c r="U603" s="17"/>
      <c r="V603" s="14"/>
      <c r="W603" s="14"/>
      <c r="X603" s="18"/>
      <c r="Y603" s="18"/>
      <c r="Z603" s="18"/>
      <c r="AA603" s="19">
        <f t="shared" si="1"/>
        <v>8</v>
      </c>
      <c r="AB603" s="19" t="str">
        <f t="shared" si="2"/>
        <v/>
      </c>
    </row>
    <row r="604" ht="15.75" customHeight="1">
      <c r="A604" s="12">
        <v>45142.0</v>
      </c>
      <c r="B604" s="14" t="s">
        <v>201</v>
      </c>
      <c r="C604" s="117" t="s">
        <v>2656</v>
      </c>
      <c r="D604" s="14" t="s">
        <v>2657</v>
      </c>
      <c r="E604" s="14"/>
      <c r="F604" s="14"/>
      <c r="G604" s="14"/>
      <c r="H604" s="15" t="s">
        <v>2658</v>
      </c>
      <c r="I604" s="14"/>
      <c r="J604" s="14"/>
      <c r="K604" s="14"/>
      <c r="L604" s="14" t="s">
        <v>111</v>
      </c>
      <c r="M604" s="14" t="s">
        <v>13</v>
      </c>
      <c r="N604" s="14" t="b">
        <v>1</v>
      </c>
      <c r="O604" s="13" t="s">
        <v>2659</v>
      </c>
      <c r="P604" s="13" t="s">
        <v>42</v>
      </c>
      <c r="Q604" s="14"/>
      <c r="R604" s="14"/>
      <c r="S604" s="14" t="s">
        <v>2660</v>
      </c>
      <c r="T604" s="13" t="s">
        <v>129</v>
      </c>
      <c r="U604" s="17"/>
      <c r="V604" s="14"/>
      <c r="W604" s="14"/>
      <c r="X604" s="18"/>
      <c r="Y604" s="18"/>
      <c r="Z604" s="18"/>
      <c r="AA604" s="19">
        <f t="shared" si="1"/>
        <v>8</v>
      </c>
      <c r="AB604" s="19" t="str">
        <f t="shared" si="2"/>
        <v/>
      </c>
    </row>
    <row r="605" ht="15.75" customHeight="1">
      <c r="A605" s="12">
        <v>45143.0</v>
      </c>
      <c r="B605" s="13" t="s">
        <v>28</v>
      </c>
      <c r="C605" s="14" t="s">
        <v>2661</v>
      </c>
      <c r="D605" s="14"/>
      <c r="E605" s="14"/>
      <c r="F605" s="14"/>
      <c r="G605" s="14"/>
      <c r="H605" s="15" t="s">
        <v>2662</v>
      </c>
      <c r="I605" s="14"/>
      <c r="J605" s="14"/>
      <c r="K605" s="14"/>
      <c r="L605" s="14" t="s">
        <v>111</v>
      </c>
      <c r="M605" s="14" t="s">
        <v>565</v>
      </c>
      <c r="N605" s="14" t="b">
        <v>0</v>
      </c>
      <c r="O605" s="14"/>
      <c r="P605" s="14"/>
      <c r="Q605" s="14"/>
      <c r="R605" s="14"/>
      <c r="S605" s="14" t="s">
        <v>2663</v>
      </c>
      <c r="T605" s="14" t="s">
        <v>36</v>
      </c>
      <c r="U605" s="17"/>
      <c r="V605" s="14"/>
      <c r="W605" s="14"/>
      <c r="X605" s="18"/>
      <c r="Y605" s="18"/>
      <c r="Z605" s="18"/>
      <c r="AA605" s="19">
        <f t="shared" si="1"/>
        <v>8</v>
      </c>
      <c r="AB605" s="19" t="str">
        <f t="shared" si="2"/>
        <v/>
      </c>
    </row>
    <row r="606" ht="15.75" customHeight="1">
      <c r="A606" s="12">
        <v>45143.0</v>
      </c>
      <c r="B606" s="13" t="s">
        <v>28</v>
      </c>
      <c r="C606" s="14" t="s">
        <v>2664</v>
      </c>
      <c r="D606" s="14" t="s">
        <v>2665</v>
      </c>
      <c r="E606" s="13">
        <v>11.0</v>
      </c>
      <c r="F606" s="14"/>
      <c r="G606" s="14"/>
      <c r="H606" s="15" t="s">
        <v>2666</v>
      </c>
      <c r="I606" s="14"/>
      <c r="J606" s="14"/>
      <c r="K606" s="13" t="s">
        <v>2667</v>
      </c>
      <c r="L606" s="14" t="s">
        <v>48</v>
      </c>
      <c r="M606" s="14" t="s">
        <v>565</v>
      </c>
      <c r="N606" s="14" t="b">
        <v>0</v>
      </c>
      <c r="O606" s="14"/>
      <c r="P606" s="14"/>
      <c r="Q606" s="14"/>
      <c r="R606" s="14"/>
      <c r="S606" s="14" t="s">
        <v>2668</v>
      </c>
      <c r="T606" s="14" t="s">
        <v>36</v>
      </c>
      <c r="U606" s="17"/>
      <c r="V606" s="14"/>
      <c r="W606" s="14"/>
      <c r="X606" s="18"/>
      <c r="Y606" s="18"/>
      <c r="Z606" s="18"/>
      <c r="AA606" s="19">
        <f t="shared" si="1"/>
        <v>8</v>
      </c>
      <c r="AB606" s="19" t="str">
        <f t="shared" si="2"/>
        <v/>
      </c>
    </row>
    <row r="607" ht="15.75" customHeight="1">
      <c r="A607" s="12">
        <v>45143.0</v>
      </c>
      <c r="B607" s="14" t="s">
        <v>703</v>
      </c>
      <c r="C607" s="14" t="s">
        <v>1669</v>
      </c>
      <c r="D607" s="14"/>
      <c r="E607" s="13">
        <v>13.0</v>
      </c>
      <c r="F607" s="14"/>
      <c r="G607" s="14"/>
      <c r="H607" s="15" t="s">
        <v>2669</v>
      </c>
      <c r="I607" s="14"/>
      <c r="J607" s="14"/>
      <c r="K607" s="14"/>
      <c r="L607" s="14" t="s">
        <v>48</v>
      </c>
      <c r="M607" s="14" t="s">
        <v>1484</v>
      </c>
      <c r="N607" s="14" t="b">
        <v>0</v>
      </c>
      <c r="O607" s="14"/>
      <c r="P607" s="14"/>
      <c r="Q607" s="14"/>
      <c r="R607" s="14"/>
      <c r="S607" s="14" t="s">
        <v>2670</v>
      </c>
      <c r="T607" s="14" t="s">
        <v>36</v>
      </c>
      <c r="U607" s="17"/>
      <c r="V607" s="14"/>
      <c r="W607" s="14"/>
      <c r="X607" s="18"/>
      <c r="Y607" s="18"/>
      <c r="Z607" s="18"/>
      <c r="AA607" s="19">
        <f t="shared" si="1"/>
        <v>8</v>
      </c>
      <c r="AB607" s="19" t="str">
        <f t="shared" si="2"/>
        <v/>
      </c>
    </row>
    <row r="608" ht="15.75" customHeight="1">
      <c r="A608" s="12">
        <v>45143.0</v>
      </c>
      <c r="B608" s="14" t="s">
        <v>703</v>
      </c>
      <c r="C608" s="14" t="s">
        <v>2671</v>
      </c>
      <c r="D608" s="14"/>
      <c r="E608" s="14"/>
      <c r="F608" s="14"/>
      <c r="G608" s="14"/>
      <c r="H608" s="179" t="s">
        <v>2672</v>
      </c>
      <c r="I608" s="14"/>
      <c r="J608" s="14"/>
      <c r="K608" s="14"/>
      <c r="L608" s="14" t="s">
        <v>48</v>
      </c>
      <c r="M608" s="14" t="s">
        <v>1484</v>
      </c>
      <c r="N608" s="14" t="b">
        <v>0</v>
      </c>
      <c r="O608" s="14"/>
      <c r="P608" s="14"/>
      <c r="Q608" s="14"/>
      <c r="R608" s="14"/>
      <c r="S608" s="14" t="s">
        <v>2670</v>
      </c>
      <c r="T608" s="14" t="s">
        <v>36</v>
      </c>
      <c r="U608" s="17"/>
      <c r="V608" s="14"/>
      <c r="W608" s="14"/>
      <c r="X608" s="18"/>
      <c r="Y608" s="18"/>
      <c r="Z608" s="18"/>
      <c r="AA608" s="19">
        <f t="shared" si="1"/>
        <v>8</v>
      </c>
      <c r="AB608" s="19" t="str">
        <f t="shared" si="2"/>
        <v/>
      </c>
    </row>
    <row r="609" ht="15.75" customHeight="1">
      <c r="A609" s="12">
        <v>45143.0</v>
      </c>
      <c r="B609" s="14" t="s">
        <v>703</v>
      </c>
      <c r="C609" s="14" t="s">
        <v>2673</v>
      </c>
      <c r="D609" s="14"/>
      <c r="E609" s="13">
        <v>10.0</v>
      </c>
      <c r="F609" s="14"/>
      <c r="G609" s="14"/>
      <c r="H609" s="15" t="s">
        <v>2674</v>
      </c>
      <c r="I609" s="14"/>
      <c r="J609" s="14"/>
      <c r="K609" s="14"/>
      <c r="L609" s="14" t="s">
        <v>48</v>
      </c>
      <c r="M609" s="14" t="s">
        <v>34</v>
      </c>
      <c r="N609" s="14" t="b">
        <v>0</v>
      </c>
      <c r="O609" s="14"/>
      <c r="P609" s="14"/>
      <c r="Q609" s="14"/>
      <c r="R609" s="14"/>
      <c r="S609" s="14" t="s">
        <v>2675</v>
      </c>
      <c r="T609" s="14" t="s">
        <v>36</v>
      </c>
      <c r="U609" s="17"/>
      <c r="V609" s="14"/>
      <c r="W609" s="14"/>
      <c r="X609" s="18"/>
      <c r="Y609" s="18"/>
      <c r="Z609" s="18"/>
      <c r="AA609" s="19">
        <f t="shared" si="1"/>
        <v>8</v>
      </c>
      <c r="AB609" s="19" t="str">
        <f t="shared" si="2"/>
        <v/>
      </c>
    </row>
    <row r="610" ht="15.75" customHeight="1">
      <c r="A610" s="12">
        <v>45143.0</v>
      </c>
      <c r="B610" s="14" t="s">
        <v>703</v>
      </c>
      <c r="C610" s="14" t="s">
        <v>2676</v>
      </c>
      <c r="D610" s="14"/>
      <c r="E610" s="14"/>
      <c r="F610" s="14"/>
      <c r="G610" s="14"/>
      <c r="H610" s="15" t="s">
        <v>2677</v>
      </c>
      <c r="I610" s="14"/>
      <c r="J610" s="14"/>
      <c r="K610" s="14"/>
      <c r="L610" s="14" t="s">
        <v>48</v>
      </c>
      <c r="M610" s="14" t="s">
        <v>1484</v>
      </c>
      <c r="N610" s="14" t="b">
        <v>0</v>
      </c>
      <c r="O610" s="14"/>
      <c r="P610" s="14"/>
      <c r="Q610" s="14"/>
      <c r="R610" s="14"/>
      <c r="S610" s="14" t="s">
        <v>2678</v>
      </c>
      <c r="T610" s="14" t="s">
        <v>36</v>
      </c>
      <c r="U610" s="17"/>
      <c r="V610" s="14"/>
      <c r="W610" s="14"/>
      <c r="X610" s="18"/>
      <c r="Y610" s="18"/>
      <c r="Z610" s="18"/>
      <c r="AA610" s="19">
        <f t="shared" si="1"/>
        <v>8</v>
      </c>
      <c r="AB610" s="19" t="str">
        <f t="shared" si="2"/>
        <v/>
      </c>
    </row>
    <row r="611" ht="15.75" customHeight="1">
      <c r="A611" s="12">
        <v>45143.0</v>
      </c>
      <c r="B611" s="14" t="s">
        <v>703</v>
      </c>
      <c r="C611" s="14" t="s">
        <v>2679</v>
      </c>
      <c r="D611" s="14"/>
      <c r="E611" s="14"/>
      <c r="F611" s="14"/>
      <c r="G611" s="14"/>
      <c r="H611" s="179" t="s">
        <v>2680</v>
      </c>
      <c r="I611" s="14"/>
      <c r="J611" s="14"/>
      <c r="K611" s="14"/>
      <c r="L611" s="14" t="s">
        <v>111</v>
      </c>
      <c r="M611" s="14" t="s">
        <v>34</v>
      </c>
      <c r="N611" s="14" t="b">
        <v>0</v>
      </c>
      <c r="O611" s="14"/>
      <c r="P611" s="14"/>
      <c r="Q611" s="14"/>
      <c r="R611" s="14"/>
      <c r="S611" s="14" t="s">
        <v>2681</v>
      </c>
      <c r="T611" s="14" t="s">
        <v>36</v>
      </c>
      <c r="U611" s="17"/>
      <c r="V611" s="14"/>
      <c r="W611" s="14"/>
      <c r="X611" s="18"/>
      <c r="Y611" s="18"/>
      <c r="Z611" s="18"/>
      <c r="AA611" s="19">
        <f t="shared" si="1"/>
        <v>8</v>
      </c>
      <c r="AB611" s="19" t="str">
        <f t="shared" si="2"/>
        <v/>
      </c>
    </row>
    <row r="612" ht="15.75" customHeight="1">
      <c r="A612" s="12">
        <v>45143.0</v>
      </c>
      <c r="B612" s="14" t="s">
        <v>703</v>
      </c>
      <c r="C612" s="14" t="s">
        <v>2682</v>
      </c>
      <c r="D612" s="14"/>
      <c r="E612" s="14"/>
      <c r="F612" s="14"/>
      <c r="G612" s="14"/>
      <c r="H612" s="15" t="s">
        <v>2683</v>
      </c>
      <c r="I612" s="14"/>
      <c r="J612" s="14"/>
      <c r="K612" s="14"/>
      <c r="L612" s="14" t="s">
        <v>111</v>
      </c>
      <c r="M612" s="14" t="s">
        <v>216</v>
      </c>
      <c r="N612" s="14" t="b">
        <v>0</v>
      </c>
      <c r="O612" s="14"/>
      <c r="P612" s="14"/>
      <c r="Q612" s="14"/>
      <c r="R612" s="14"/>
      <c r="S612" s="14" t="s">
        <v>2684</v>
      </c>
      <c r="T612" s="14" t="s">
        <v>36</v>
      </c>
      <c r="U612" s="17"/>
      <c r="V612" s="14"/>
      <c r="W612" s="14"/>
      <c r="X612" s="18"/>
      <c r="Y612" s="18"/>
      <c r="Z612" s="18"/>
      <c r="AA612" s="19">
        <f t="shared" si="1"/>
        <v>8</v>
      </c>
      <c r="AB612" s="19" t="str">
        <f t="shared" si="2"/>
        <v/>
      </c>
    </row>
    <row r="613" ht="15.75" customHeight="1">
      <c r="A613" s="12">
        <v>45143.0</v>
      </c>
      <c r="B613" s="14" t="s">
        <v>703</v>
      </c>
      <c r="C613" s="14" t="s">
        <v>2685</v>
      </c>
      <c r="D613" s="14"/>
      <c r="E613" s="14"/>
      <c r="F613" s="14"/>
      <c r="G613" s="14"/>
      <c r="H613" s="15" t="s">
        <v>2686</v>
      </c>
      <c r="I613" s="14"/>
      <c r="J613" s="14"/>
      <c r="K613" s="14"/>
      <c r="L613" s="14" t="s">
        <v>111</v>
      </c>
      <c r="M613" s="14" t="s">
        <v>565</v>
      </c>
      <c r="N613" s="14" t="b">
        <v>0</v>
      </c>
      <c r="O613" s="14"/>
      <c r="P613" s="14"/>
      <c r="Q613" s="14"/>
      <c r="R613" s="14"/>
      <c r="S613" s="14" t="s">
        <v>2687</v>
      </c>
      <c r="T613" s="14" t="s">
        <v>36</v>
      </c>
      <c r="U613" s="17"/>
      <c r="V613" s="14"/>
      <c r="W613" s="14"/>
      <c r="X613" s="18"/>
      <c r="Y613" s="18"/>
      <c r="Z613" s="18"/>
      <c r="AA613" s="19">
        <f t="shared" si="1"/>
        <v>8</v>
      </c>
      <c r="AB613" s="19" t="str">
        <f t="shared" si="2"/>
        <v/>
      </c>
    </row>
    <row r="614" ht="15.75" customHeight="1">
      <c r="A614" s="12">
        <v>45143.0</v>
      </c>
      <c r="B614" s="14" t="s">
        <v>703</v>
      </c>
      <c r="C614" s="14" t="s">
        <v>2688</v>
      </c>
      <c r="D614" s="14"/>
      <c r="E614" s="14"/>
      <c r="F614" s="14"/>
      <c r="G614" s="14"/>
      <c r="H614" s="15" t="s">
        <v>2689</v>
      </c>
      <c r="I614" s="14"/>
      <c r="J614" s="14"/>
      <c r="K614" s="14"/>
      <c r="L614" s="14" t="s">
        <v>111</v>
      </c>
      <c r="M614" s="14" t="s">
        <v>34</v>
      </c>
      <c r="N614" s="14" t="b">
        <v>0</v>
      </c>
      <c r="O614" s="14"/>
      <c r="P614" s="14"/>
      <c r="Q614" s="14"/>
      <c r="R614" s="14"/>
      <c r="S614" s="14" t="s">
        <v>2690</v>
      </c>
      <c r="T614" s="14" t="s">
        <v>36</v>
      </c>
      <c r="U614" s="17"/>
      <c r="V614" s="14"/>
      <c r="W614" s="14"/>
      <c r="X614" s="18"/>
      <c r="Y614" s="18"/>
      <c r="Z614" s="18"/>
      <c r="AA614" s="19">
        <f t="shared" si="1"/>
        <v>8</v>
      </c>
      <c r="AB614" s="19" t="str">
        <f t="shared" si="2"/>
        <v/>
      </c>
    </row>
    <row r="615" ht="15.75" customHeight="1">
      <c r="A615" s="12">
        <v>45145.0</v>
      </c>
      <c r="B615" s="14" t="s">
        <v>84</v>
      </c>
      <c r="C615" s="14" t="s">
        <v>2691</v>
      </c>
      <c r="D615" s="14" t="s">
        <v>2692</v>
      </c>
      <c r="E615" s="14"/>
      <c r="F615" s="14"/>
      <c r="G615" s="14"/>
      <c r="H615" s="15" t="s">
        <v>318</v>
      </c>
      <c r="I615" s="14"/>
      <c r="J615" s="14"/>
      <c r="K615" s="14"/>
      <c r="L615" s="14" t="s">
        <v>111</v>
      </c>
      <c r="M615" s="14" t="s">
        <v>13</v>
      </c>
      <c r="N615" s="14" t="b">
        <v>1</v>
      </c>
      <c r="O615" s="13" t="s">
        <v>2693</v>
      </c>
      <c r="P615" s="13" t="s">
        <v>69</v>
      </c>
      <c r="Q615" s="14"/>
      <c r="R615" s="14"/>
      <c r="S615" s="14" t="s">
        <v>2694</v>
      </c>
      <c r="T615" s="13" t="s">
        <v>129</v>
      </c>
      <c r="U615" s="17"/>
      <c r="V615" s="32">
        <v>45152.0</v>
      </c>
      <c r="W615" s="24" t="s">
        <v>130</v>
      </c>
      <c r="X615" s="25">
        <v>4375000.0</v>
      </c>
      <c r="Y615" s="25">
        <v>131250.0</v>
      </c>
      <c r="Z615" s="25">
        <v>4243750.0</v>
      </c>
      <c r="AA615" s="19">
        <f t="shared" si="1"/>
        <v>8</v>
      </c>
      <c r="AB615" s="19" t="str">
        <f t="shared" si="2"/>
        <v/>
      </c>
    </row>
    <row r="616" ht="15.75" customHeight="1">
      <c r="A616" s="26">
        <v>45146.0</v>
      </c>
      <c r="B616" s="27" t="s">
        <v>201</v>
      </c>
      <c r="C616" s="24" t="s">
        <v>86</v>
      </c>
      <c r="D616" s="27" t="s">
        <v>2695</v>
      </c>
      <c r="E616" s="24">
        <v>10.0</v>
      </c>
      <c r="F616" s="27">
        <v>5.0</v>
      </c>
      <c r="G616" s="27"/>
      <c r="H616" s="34" t="s">
        <v>2696</v>
      </c>
      <c r="I616" s="27"/>
      <c r="J616" s="27"/>
      <c r="K616" s="27" t="s">
        <v>2697</v>
      </c>
      <c r="L616" s="27" t="s">
        <v>111</v>
      </c>
      <c r="M616" s="27" t="s">
        <v>67</v>
      </c>
      <c r="N616" s="14" t="b">
        <v>1</v>
      </c>
      <c r="O616" s="24" t="s">
        <v>2698</v>
      </c>
      <c r="P616" s="13" t="s">
        <v>69</v>
      </c>
      <c r="Q616" s="24" t="s">
        <v>91</v>
      </c>
      <c r="R616" s="27" t="s">
        <v>289</v>
      </c>
      <c r="S616" s="27" t="s">
        <v>2699</v>
      </c>
      <c r="T616" s="24" t="s">
        <v>72</v>
      </c>
      <c r="U616" s="26"/>
      <c r="V616" s="32">
        <v>45154.0</v>
      </c>
      <c r="W616" s="24" t="s">
        <v>130</v>
      </c>
      <c r="X616" s="25">
        <v>3062000.0</v>
      </c>
      <c r="Y616" s="25">
        <v>0.0</v>
      </c>
      <c r="Z616" s="25">
        <v>3062000.0</v>
      </c>
      <c r="AA616" s="19">
        <f t="shared" si="1"/>
        <v>8</v>
      </c>
      <c r="AB616" s="19">
        <f t="shared" si="2"/>
        <v>8</v>
      </c>
    </row>
    <row r="617" ht="15.75" customHeight="1">
      <c r="A617" s="26">
        <v>45146.0</v>
      </c>
      <c r="B617" s="27" t="s">
        <v>201</v>
      </c>
      <c r="C617" s="24" t="s">
        <v>2700</v>
      </c>
      <c r="D617" s="27" t="s">
        <v>2701</v>
      </c>
      <c r="E617" s="24">
        <v>11.0</v>
      </c>
      <c r="F617" s="27">
        <v>6.0</v>
      </c>
      <c r="G617" s="27"/>
      <c r="H617" s="34" t="s">
        <v>2702</v>
      </c>
      <c r="I617" s="27"/>
      <c r="J617" s="27"/>
      <c r="K617" s="27" t="s">
        <v>2703</v>
      </c>
      <c r="L617" s="27" t="s">
        <v>412</v>
      </c>
      <c r="M617" s="27" t="s">
        <v>67</v>
      </c>
      <c r="N617" s="14" t="b">
        <v>1</v>
      </c>
      <c r="O617" s="24" t="s">
        <v>2704</v>
      </c>
      <c r="P617" s="13" t="s">
        <v>69</v>
      </c>
      <c r="Q617" s="24" t="s">
        <v>91</v>
      </c>
      <c r="R617" s="27" t="s">
        <v>2705</v>
      </c>
      <c r="S617" s="27" t="s">
        <v>2706</v>
      </c>
      <c r="T617" s="24" t="s">
        <v>72</v>
      </c>
      <c r="U617" s="26"/>
      <c r="V617" s="32">
        <v>45149.0</v>
      </c>
      <c r="W617" s="24" t="s">
        <v>407</v>
      </c>
      <c r="X617" s="25">
        <v>3062000.0</v>
      </c>
      <c r="Y617" s="25">
        <v>91860.0</v>
      </c>
      <c r="Z617" s="25">
        <v>2970140.0</v>
      </c>
      <c r="AA617" s="19">
        <f t="shared" si="1"/>
        <v>8</v>
      </c>
      <c r="AB617" s="19">
        <f t="shared" si="2"/>
        <v>8</v>
      </c>
    </row>
    <row r="618" ht="15.75" customHeight="1">
      <c r="A618" s="26">
        <v>45147.0</v>
      </c>
      <c r="B618" s="27" t="s">
        <v>201</v>
      </c>
      <c r="C618" s="24" t="s">
        <v>2707</v>
      </c>
      <c r="D618" s="27" t="s">
        <v>2708</v>
      </c>
      <c r="E618" s="24">
        <v>9.0</v>
      </c>
      <c r="F618" s="27">
        <v>4.0</v>
      </c>
      <c r="G618" s="27"/>
      <c r="H618" s="34" t="s">
        <v>2709</v>
      </c>
      <c r="I618" s="27"/>
      <c r="J618" s="27"/>
      <c r="K618" s="24" t="s">
        <v>2710</v>
      </c>
      <c r="L618" s="27" t="s">
        <v>111</v>
      </c>
      <c r="M618" s="27" t="s">
        <v>67</v>
      </c>
      <c r="N618" s="14" t="b">
        <v>1</v>
      </c>
      <c r="O618" s="24" t="s">
        <v>2711</v>
      </c>
      <c r="P618" s="13" t="s">
        <v>42</v>
      </c>
      <c r="Q618" s="24" t="s">
        <v>91</v>
      </c>
      <c r="R618" s="27" t="s">
        <v>1785</v>
      </c>
      <c r="S618" s="27" t="s">
        <v>2712</v>
      </c>
      <c r="T618" s="24" t="s">
        <v>72</v>
      </c>
      <c r="U618" s="26"/>
      <c r="V618" s="14"/>
      <c r="W618" s="14"/>
      <c r="X618" s="18"/>
      <c r="Y618" s="18"/>
      <c r="Z618" s="18"/>
      <c r="AA618" s="19">
        <f t="shared" si="1"/>
        <v>8</v>
      </c>
      <c r="AB618" s="19">
        <f t="shared" si="2"/>
        <v>8</v>
      </c>
    </row>
    <row r="619" ht="15.75" customHeight="1">
      <c r="A619" s="12">
        <v>45148.0</v>
      </c>
      <c r="B619" s="13" t="s">
        <v>28</v>
      </c>
      <c r="C619" s="14" t="s">
        <v>2713</v>
      </c>
      <c r="D619" s="180" t="s">
        <v>2714</v>
      </c>
      <c r="E619" s="181">
        <v>8.0</v>
      </c>
      <c r="F619" s="14">
        <v>3.0</v>
      </c>
      <c r="G619" s="14"/>
      <c r="H619" s="15" t="s">
        <v>2715</v>
      </c>
      <c r="I619" s="14"/>
      <c r="J619" s="14"/>
      <c r="K619" s="14"/>
      <c r="L619" s="14" t="s">
        <v>111</v>
      </c>
      <c r="M619" s="14" t="s">
        <v>34</v>
      </c>
      <c r="N619" s="14" t="b">
        <v>0</v>
      </c>
      <c r="O619" s="14"/>
      <c r="P619" s="14"/>
      <c r="Q619" s="14"/>
      <c r="R619" s="14"/>
      <c r="S619" s="14" t="s">
        <v>2716</v>
      </c>
      <c r="T619" s="14" t="s">
        <v>36</v>
      </c>
      <c r="U619" s="17"/>
      <c r="V619" s="14"/>
      <c r="W619" s="14"/>
      <c r="X619" s="18"/>
      <c r="Y619" s="18"/>
      <c r="Z619" s="18"/>
      <c r="AA619" s="19">
        <f t="shared" si="1"/>
        <v>8</v>
      </c>
      <c r="AB619" s="19" t="str">
        <f t="shared" si="2"/>
        <v/>
      </c>
    </row>
    <row r="620" ht="15.75" customHeight="1">
      <c r="A620" s="12">
        <v>45148.0</v>
      </c>
      <c r="B620" s="14" t="s">
        <v>201</v>
      </c>
      <c r="C620" s="13" t="s">
        <v>2717</v>
      </c>
      <c r="D620" s="14" t="s">
        <v>2718</v>
      </c>
      <c r="E620" s="13">
        <v>9.0</v>
      </c>
      <c r="F620" s="14">
        <v>4.0</v>
      </c>
      <c r="G620" s="14"/>
      <c r="H620" s="15" t="s">
        <v>2719</v>
      </c>
      <c r="I620" s="14"/>
      <c r="J620" s="14"/>
      <c r="K620" s="14" t="s">
        <v>2720</v>
      </c>
      <c r="L620" s="14" t="s">
        <v>111</v>
      </c>
      <c r="M620" s="14" t="s">
        <v>565</v>
      </c>
      <c r="N620" s="14" t="b">
        <v>0</v>
      </c>
      <c r="O620" s="14"/>
      <c r="P620" s="14"/>
      <c r="Q620" s="14"/>
      <c r="R620" s="14"/>
      <c r="S620" s="13" t="s">
        <v>2721</v>
      </c>
      <c r="T620" s="13" t="s">
        <v>129</v>
      </c>
      <c r="U620" s="17">
        <v>45162.0</v>
      </c>
      <c r="V620" s="14"/>
      <c r="W620" s="14"/>
      <c r="X620" s="18"/>
      <c r="Y620" s="18"/>
      <c r="Z620" s="18"/>
      <c r="AA620" s="19">
        <f t="shared" si="1"/>
        <v>8</v>
      </c>
      <c r="AB620" s="19" t="str">
        <f t="shared" si="2"/>
        <v/>
      </c>
    </row>
    <row r="621" ht="15.75" customHeight="1">
      <c r="A621" s="12">
        <v>45078.0</v>
      </c>
      <c r="B621" s="13" t="s">
        <v>28</v>
      </c>
      <c r="C621" s="14" t="s">
        <v>2722</v>
      </c>
      <c r="D621" s="14" t="s">
        <v>2723</v>
      </c>
      <c r="E621" s="13">
        <v>8.0</v>
      </c>
      <c r="F621" s="14" t="s">
        <v>176</v>
      </c>
      <c r="G621" s="14"/>
      <c r="H621" s="42" t="s">
        <v>2724</v>
      </c>
      <c r="I621" s="14"/>
      <c r="J621" s="14"/>
      <c r="K621" s="182" t="s">
        <v>2725</v>
      </c>
      <c r="L621" s="14" t="s">
        <v>111</v>
      </c>
      <c r="M621" s="14" t="s">
        <v>216</v>
      </c>
      <c r="N621" s="14" t="b">
        <v>0</v>
      </c>
      <c r="O621" s="14"/>
      <c r="P621" s="14"/>
      <c r="Q621" s="14"/>
      <c r="R621" s="14"/>
      <c r="S621" s="14" t="s">
        <v>2726</v>
      </c>
      <c r="T621" s="14" t="s">
        <v>36</v>
      </c>
      <c r="U621" s="17"/>
      <c r="V621" s="14"/>
      <c r="W621" s="14"/>
      <c r="X621" s="18"/>
      <c r="Y621" s="18"/>
      <c r="Z621" s="18"/>
      <c r="AA621" s="19">
        <f t="shared" si="1"/>
        <v>6</v>
      </c>
      <c r="AB621" s="19" t="str">
        <f t="shared" si="2"/>
        <v/>
      </c>
    </row>
    <row r="622" ht="15.75" customHeight="1">
      <c r="A622" s="12">
        <v>45149.0</v>
      </c>
      <c r="B622" s="13" t="s">
        <v>28</v>
      </c>
      <c r="C622" s="14" t="s">
        <v>2727</v>
      </c>
      <c r="D622" s="14"/>
      <c r="E622" s="14"/>
      <c r="F622" s="14"/>
      <c r="G622" s="14"/>
      <c r="H622" s="15" t="s">
        <v>2728</v>
      </c>
      <c r="I622" s="14"/>
      <c r="J622" s="14"/>
      <c r="K622" s="14" t="s">
        <v>2729</v>
      </c>
      <c r="L622" s="14" t="s">
        <v>111</v>
      </c>
      <c r="M622" s="14" t="s">
        <v>565</v>
      </c>
      <c r="N622" s="14" t="b">
        <v>0</v>
      </c>
      <c r="O622" s="14"/>
      <c r="P622" s="14"/>
      <c r="Q622" s="14"/>
      <c r="R622" s="14"/>
      <c r="S622" s="14" t="s">
        <v>2730</v>
      </c>
      <c r="T622" s="14" t="s">
        <v>36</v>
      </c>
      <c r="U622" s="17"/>
      <c r="V622" s="14"/>
      <c r="W622" s="14"/>
      <c r="X622" s="18"/>
      <c r="Y622" s="18"/>
      <c r="Z622" s="18"/>
      <c r="AA622" s="19">
        <f t="shared" si="1"/>
        <v>8</v>
      </c>
      <c r="AB622" s="19" t="str">
        <f t="shared" si="2"/>
        <v/>
      </c>
    </row>
    <row r="623" ht="15.75" customHeight="1">
      <c r="A623" s="12">
        <v>45149.0</v>
      </c>
      <c r="B623" s="14" t="s">
        <v>73</v>
      </c>
      <c r="C623" s="14" t="s">
        <v>2731</v>
      </c>
      <c r="D623" s="14" t="s">
        <v>2732</v>
      </c>
      <c r="E623" s="13">
        <v>9.0</v>
      </c>
      <c r="F623" s="14">
        <v>4.0</v>
      </c>
      <c r="G623" s="14"/>
      <c r="H623" s="15" t="s">
        <v>2733</v>
      </c>
      <c r="I623" s="14"/>
      <c r="J623" s="14"/>
      <c r="K623" s="14"/>
      <c r="L623" s="14" t="s">
        <v>111</v>
      </c>
      <c r="M623" s="14" t="s">
        <v>13</v>
      </c>
      <c r="N623" s="14" t="b">
        <v>1</v>
      </c>
      <c r="O623" s="13" t="s">
        <v>2734</v>
      </c>
      <c r="P623" s="13" t="s">
        <v>42</v>
      </c>
      <c r="Q623" s="14"/>
      <c r="R623" s="14"/>
      <c r="S623" s="14" t="s">
        <v>2735</v>
      </c>
      <c r="T623" s="13" t="s">
        <v>129</v>
      </c>
      <c r="U623" s="17"/>
      <c r="V623" s="14"/>
      <c r="W623" s="14"/>
      <c r="X623" s="18"/>
      <c r="Y623" s="18"/>
      <c r="Z623" s="18"/>
      <c r="AA623" s="19">
        <f t="shared" si="1"/>
        <v>8</v>
      </c>
      <c r="AB623" s="19" t="str">
        <f t="shared" si="2"/>
        <v/>
      </c>
    </row>
    <row r="624" ht="15.75" customHeight="1">
      <c r="A624" s="12">
        <v>45151.0</v>
      </c>
      <c r="B624" s="13" t="s">
        <v>28</v>
      </c>
      <c r="C624" s="14" t="s">
        <v>2736</v>
      </c>
      <c r="D624" s="14" t="s">
        <v>2737</v>
      </c>
      <c r="E624" s="13">
        <v>11.0</v>
      </c>
      <c r="F624" s="14">
        <v>6.0</v>
      </c>
      <c r="G624" s="14"/>
      <c r="H624" s="15" t="s">
        <v>2738</v>
      </c>
      <c r="I624" s="14"/>
      <c r="J624" s="14"/>
      <c r="K624" s="14"/>
      <c r="L624" s="14" t="s">
        <v>111</v>
      </c>
      <c r="M624" s="14" t="s">
        <v>13</v>
      </c>
      <c r="N624" s="14" t="b">
        <v>1</v>
      </c>
      <c r="O624" s="13" t="s">
        <v>2739</v>
      </c>
      <c r="P624" s="13" t="s">
        <v>42</v>
      </c>
      <c r="Q624" s="14"/>
      <c r="R624" s="14"/>
      <c r="S624" s="14" t="s">
        <v>2740</v>
      </c>
      <c r="T624" s="13" t="s">
        <v>129</v>
      </c>
      <c r="U624" s="17"/>
      <c r="V624" s="14"/>
      <c r="W624" s="14"/>
      <c r="X624" s="18"/>
      <c r="Y624" s="18"/>
      <c r="Z624" s="18"/>
      <c r="AA624" s="19">
        <f t="shared" si="1"/>
        <v>8</v>
      </c>
      <c r="AB624" s="19" t="str">
        <f t="shared" si="2"/>
        <v/>
      </c>
    </row>
    <row r="625" ht="15.75" customHeight="1">
      <c r="A625" s="12">
        <v>45151.0</v>
      </c>
      <c r="B625" s="24" t="s">
        <v>28</v>
      </c>
      <c r="C625" s="14"/>
      <c r="D625" s="14" t="s">
        <v>2741</v>
      </c>
      <c r="E625" s="14"/>
      <c r="F625" s="14"/>
      <c r="G625" s="14"/>
      <c r="H625" s="15" t="s">
        <v>2742</v>
      </c>
      <c r="I625" s="14"/>
      <c r="J625" s="14"/>
      <c r="K625" s="14" t="s">
        <v>2743</v>
      </c>
      <c r="L625" s="14" t="s">
        <v>111</v>
      </c>
      <c r="M625" s="14" t="s">
        <v>34</v>
      </c>
      <c r="N625" s="14" t="b">
        <v>0</v>
      </c>
      <c r="O625" s="14"/>
      <c r="P625" s="14"/>
      <c r="Q625" s="14"/>
      <c r="R625" s="14"/>
      <c r="S625" s="14" t="s">
        <v>2744</v>
      </c>
      <c r="T625" s="14" t="s">
        <v>36</v>
      </c>
      <c r="U625" s="17"/>
      <c r="V625" s="32">
        <v>45160.0</v>
      </c>
      <c r="W625" s="24" t="s">
        <v>1376</v>
      </c>
      <c r="X625" s="25">
        <v>6124000.0</v>
      </c>
      <c r="Y625" s="25">
        <v>896120.0</v>
      </c>
      <c r="Z625" s="25">
        <v>5227880.0</v>
      </c>
      <c r="AA625" s="19">
        <f t="shared" si="1"/>
        <v>8</v>
      </c>
      <c r="AB625" s="19" t="str">
        <f t="shared" si="2"/>
        <v/>
      </c>
    </row>
    <row r="626" ht="15.75" customHeight="1">
      <c r="A626" s="26">
        <v>45150.0</v>
      </c>
      <c r="B626" s="27" t="s">
        <v>201</v>
      </c>
      <c r="C626" s="24" t="s">
        <v>2745</v>
      </c>
      <c r="D626" s="27" t="s">
        <v>2746</v>
      </c>
      <c r="E626" s="24">
        <v>12.0</v>
      </c>
      <c r="F626" s="27">
        <v>7.0</v>
      </c>
      <c r="G626" s="27" t="s">
        <v>2747</v>
      </c>
      <c r="H626" s="34" t="s">
        <v>2748</v>
      </c>
      <c r="I626" s="27"/>
      <c r="J626" s="27"/>
      <c r="K626" s="27"/>
      <c r="L626" s="27" t="s">
        <v>111</v>
      </c>
      <c r="M626" s="27" t="s">
        <v>67</v>
      </c>
      <c r="N626" s="14" t="b">
        <v>1</v>
      </c>
      <c r="O626" s="31" t="s">
        <v>2749</v>
      </c>
      <c r="P626" s="13" t="s">
        <v>42</v>
      </c>
      <c r="Q626" s="24" t="s">
        <v>91</v>
      </c>
      <c r="R626" s="27"/>
      <c r="S626" s="24" t="s">
        <v>2750</v>
      </c>
      <c r="T626" s="24" t="s">
        <v>72</v>
      </c>
      <c r="U626" s="26"/>
      <c r="V626" s="32">
        <v>45160.0</v>
      </c>
      <c r="W626" s="24" t="s">
        <v>407</v>
      </c>
      <c r="X626" s="25">
        <v>6124000.0</v>
      </c>
      <c r="Y626" s="25">
        <v>896120.0</v>
      </c>
      <c r="Z626" s="25">
        <v>5227880.0</v>
      </c>
      <c r="AA626" s="19">
        <f t="shared" si="1"/>
        <v>8</v>
      </c>
      <c r="AB626" s="19">
        <f t="shared" si="2"/>
        <v>8</v>
      </c>
    </row>
    <row r="627" ht="15.75" customHeight="1">
      <c r="A627" s="26">
        <v>45151.0</v>
      </c>
      <c r="B627" s="27" t="s">
        <v>201</v>
      </c>
      <c r="C627" s="24" t="s">
        <v>2745</v>
      </c>
      <c r="D627" s="27" t="s">
        <v>2352</v>
      </c>
      <c r="E627" s="24">
        <v>8.0</v>
      </c>
      <c r="F627" s="27">
        <v>3.0</v>
      </c>
      <c r="G627" s="27"/>
      <c r="H627" s="34" t="s">
        <v>2748</v>
      </c>
      <c r="I627" s="27"/>
      <c r="J627" s="27"/>
      <c r="K627" s="27"/>
      <c r="L627" s="27" t="s">
        <v>111</v>
      </c>
      <c r="M627" s="27" t="s">
        <v>67</v>
      </c>
      <c r="N627" s="14" t="b">
        <v>1</v>
      </c>
      <c r="O627" s="24" t="s">
        <v>2751</v>
      </c>
      <c r="P627" s="13" t="s">
        <v>69</v>
      </c>
      <c r="Q627" s="24" t="s">
        <v>91</v>
      </c>
      <c r="R627" s="27"/>
      <c r="S627" s="24" t="s">
        <v>2752</v>
      </c>
      <c r="T627" s="24" t="s">
        <v>72</v>
      </c>
      <c r="U627" s="26"/>
      <c r="V627" s="14"/>
      <c r="W627" s="14"/>
      <c r="X627" s="18"/>
      <c r="Y627" s="18"/>
      <c r="Z627" s="18"/>
      <c r="AA627" s="19">
        <f t="shared" si="1"/>
        <v>8</v>
      </c>
      <c r="AB627" s="19">
        <f t="shared" si="2"/>
        <v>8</v>
      </c>
    </row>
    <row r="628" ht="15.75" customHeight="1">
      <c r="A628" s="12">
        <v>45152.0</v>
      </c>
      <c r="B628" s="13" t="s">
        <v>28</v>
      </c>
      <c r="C628" s="14" t="s">
        <v>2753</v>
      </c>
      <c r="D628" s="14"/>
      <c r="E628" s="14"/>
      <c r="F628" s="14"/>
      <c r="G628" s="14"/>
      <c r="H628" s="15" t="s">
        <v>2754</v>
      </c>
      <c r="I628" s="14"/>
      <c r="J628" s="14"/>
      <c r="K628" s="14"/>
      <c r="L628" s="14" t="s">
        <v>111</v>
      </c>
      <c r="M628" s="14" t="s">
        <v>565</v>
      </c>
      <c r="N628" s="14" t="b">
        <v>0</v>
      </c>
      <c r="O628" s="14"/>
      <c r="P628" s="14"/>
      <c r="Q628" s="14"/>
      <c r="R628" s="14"/>
      <c r="S628" s="14" t="s">
        <v>2755</v>
      </c>
      <c r="T628" s="13" t="s">
        <v>129</v>
      </c>
      <c r="U628" s="17">
        <v>45161.0</v>
      </c>
      <c r="V628" s="14"/>
      <c r="W628" s="14"/>
      <c r="X628" s="18"/>
      <c r="Y628" s="18"/>
      <c r="Z628" s="18"/>
      <c r="AA628" s="19">
        <f t="shared" si="1"/>
        <v>8</v>
      </c>
      <c r="AB628" s="19" t="str">
        <f t="shared" si="2"/>
        <v/>
      </c>
    </row>
    <row r="629" ht="15.75" customHeight="1">
      <c r="A629" s="12">
        <v>45152.0</v>
      </c>
      <c r="B629" s="13" t="s">
        <v>28</v>
      </c>
      <c r="C629" s="14" t="s">
        <v>2756</v>
      </c>
      <c r="D629" s="14" t="s">
        <v>2757</v>
      </c>
      <c r="E629" s="13">
        <v>9.0</v>
      </c>
      <c r="F629" s="14">
        <v>4.0</v>
      </c>
      <c r="G629" s="14"/>
      <c r="H629" s="15" t="s">
        <v>2758</v>
      </c>
      <c r="I629" s="14"/>
      <c r="J629" s="14"/>
      <c r="K629" s="14"/>
      <c r="L629" s="14" t="s">
        <v>111</v>
      </c>
      <c r="M629" s="14" t="s">
        <v>13</v>
      </c>
      <c r="N629" s="14" t="b">
        <v>1</v>
      </c>
      <c r="O629" s="13" t="s">
        <v>2759</v>
      </c>
      <c r="P629" s="13" t="s">
        <v>42</v>
      </c>
      <c r="Q629" s="14"/>
      <c r="R629" s="14"/>
      <c r="S629" s="14" t="s">
        <v>2760</v>
      </c>
      <c r="T629" s="13" t="s">
        <v>129</v>
      </c>
      <c r="U629" s="17">
        <v>45169.0</v>
      </c>
      <c r="V629" s="14"/>
      <c r="W629" s="14"/>
      <c r="X629" s="18"/>
      <c r="Y629" s="18"/>
      <c r="Z629" s="18"/>
      <c r="AA629" s="19">
        <f t="shared" si="1"/>
        <v>8</v>
      </c>
      <c r="AB629" s="19" t="str">
        <f t="shared" si="2"/>
        <v/>
      </c>
    </row>
    <row r="630" ht="15.75" customHeight="1">
      <c r="A630" s="12">
        <v>45152.0</v>
      </c>
      <c r="B630" s="13" t="s">
        <v>28</v>
      </c>
      <c r="C630" s="14"/>
      <c r="D630" s="14" t="s">
        <v>2761</v>
      </c>
      <c r="E630" s="14"/>
      <c r="F630" s="14"/>
      <c r="G630" s="14"/>
      <c r="H630" s="15" t="s">
        <v>2762</v>
      </c>
      <c r="I630" s="14"/>
      <c r="J630" s="14"/>
      <c r="K630" s="16" t="s">
        <v>2763</v>
      </c>
      <c r="L630" s="14" t="s">
        <v>111</v>
      </c>
      <c r="M630" s="14" t="s">
        <v>565</v>
      </c>
      <c r="N630" s="14" t="b">
        <v>0</v>
      </c>
      <c r="O630" s="14"/>
      <c r="P630" s="14"/>
      <c r="Q630" s="14"/>
      <c r="R630" s="14"/>
      <c r="S630" s="14" t="s">
        <v>2764</v>
      </c>
      <c r="T630" s="13" t="s">
        <v>229</v>
      </c>
      <c r="U630" s="17">
        <v>45161.0</v>
      </c>
      <c r="V630" s="14"/>
      <c r="W630" s="14"/>
      <c r="X630" s="18"/>
      <c r="Y630" s="18"/>
      <c r="Z630" s="18"/>
      <c r="AA630" s="19">
        <f t="shared" si="1"/>
        <v>8</v>
      </c>
      <c r="AB630" s="19" t="str">
        <f t="shared" si="2"/>
        <v/>
      </c>
    </row>
    <row r="631" ht="15.75" customHeight="1">
      <c r="A631" s="12">
        <v>45153.0</v>
      </c>
      <c r="B631" s="13" t="s">
        <v>28</v>
      </c>
      <c r="C631" s="14" t="s">
        <v>2765</v>
      </c>
      <c r="D631" s="14" t="s">
        <v>1168</v>
      </c>
      <c r="E631" s="181">
        <v>8.0</v>
      </c>
      <c r="F631" s="14"/>
      <c r="G631" s="14"/>
      <c r="H631" s="15" t="s">
        <v>2766</v>
      </c>
      <c r="I631" s="14"/>
      <c r="J631" s="14"/>
      <c r="K631" s="14" t="s">
        <v>2767</v>
      </c>
      <c r="L631" s="14" t="s">
        <v>111</v>
      </c>
      <c r="M631" s="14" t="s">
        <v>34</v>
      </c>
      <c r="N631" s="14" t="b">
        <v>1</v>
      </c>
      <c r="O631" s="13" t="s">
        <v>2768</v>
      </c>
      <c r="P631" s="13" t="s">
        <v>42</v>
      </c>
      <c r="Q631" s="14"/>
      <c r="R631" s="14"/>
      <c r="S631" s="14" t="s">
        <v>2769</v>
      </c>
      <c r="T631" s="14" t="s">
        <v>36</v>
      </c>
      <c r="U631" s="17"/>
      <c r="V631" s="32">
        <v>45161.0</v>
      </c>
      <c r="W631" s="24" t="s">
        <v>311</v>
      </c>
      <c r="X631" s="25">
        <v>6124000.0</v>
      </c>
      <c r="Y631" s="25">
        <v>796120.0</v>
      </c>
      <c r="Z631" s="25">
        <v>5327880.0</v>
      </c>
      <c r="AA631" s="19">
        <f t="shared" si="1"/>
        <v>8</v>
      </c>
      <c r="AB631" s="19" t="str">
        <f t="shared" si="2"/>
        <v/>
      </c>
    </row>
    <row r="632" ht="15.75" customHeight="1">
      <c r="A632" s="26">
        <v>45155.0</v>
      </c>
      <c r="B632" s="13" t="s">
        <v>28</v>
      </c>
      <c r="C632" s="183" t="s">
        <v>2770</v>
      </c>
      <c r="D632" s="27" t="s">
        <v>2771</v>
      </c>
      <c r="E632" s="24">
        <v>8.0</v>
      </c>
      <c r="F632" s="27"/>
      <c r="G632" s="27"/>
      <c r="H632" s="184" t="s">
        <v>2772</v>
      </c>
      <c r="I632" s="27"/>
      <c r="J632" s="27"/>
      <c r="K632" s="27"/>
      <c r="L632" s="27" t="s">
        <v>111</v>
      </c>
      <c r="M632" s="27" t="s">
        <v>67</v>
      </c>
      <c r="N632" s="14" t="b">
        <v>1</v>
      </c>
      <c r="O632" s="24" t="s">
        <v>2773</v>
      </c>
      <c r="P632" s="13" t="s">
        <v>69</v>
      </c>
      <c r="Q632" s="24" t="s">
        <v>91</v>
      </c>
      <c r="R632" s="27"/>
      <c r="S632" s="27" t="s">
        <v>2774</v>
      </c>
      <c r="T632" s="24" t="s">
        <v>72</v>
      </c>
      <c r="U632" s="26"/>
      <c r="V632" s="185">
        <v>45161.0</v>
      </c>
      <c r="W632" s="86" t="s">
        <v>407</v>
      </c>
      <c r="X632" s="186">
        <v>6124000.0</v>
      </c>
      <c r="Y632" s="186">
        <v>612400.0</v>
      </c>
      <c r="Z632" s="186">
        <v>5511600.0</v>
      </c>
      <c r="AA632" s="19">
        <f t="shared" si="1"/>
        <v>8</v>
      </c>
      <c r="AB632" s="19">
        <f t="shared" si="2"/>
        <v>8</v>
      </c>
    </row>
    <row r="633" ht="15.75" customHeight="1">
      <c r="A633" s="187">
        <v>45156.0</v>
      </c>
      <c r="B633" s="87" t="s">
        <v>84</v>
      </c>
      <c r="C633" s="86" t="s">
        <v>2765</v>
      </c>
      <c r="D633" s="87" t="s">
        <v>2775</v>
      </c>
      <c r="E633" s="86">
        <v>9.0</v>
      </c>
      <c r="F633" s="87">
        <v>4.0</v>
      </c>
      <c r="G633" s="87"/>
      <c r="H633" s="188" t="s">
        <v>2776</v>
      </c>
      <c r="I633" s="87"/>
      <c r="J633" s="87"/>
      <c r="K633" s="87" t="s">
        <v>2777</v>
      </c>
      <c r="L633" s="87" t="s">
        <v>111</v>
      </c>
      <c r="M633" s="87" t="s">
        <v>67</v>
      </c>
      <c r="N633" s="14" t="b">
        <v>1</v>
      </c>
      <c r="O633" s="86" t="s">
        <v>2778</v>
      </c>
      <c r="P633" s="13" t="s">
        <v>42</v>
      </c>
      <c r="Q633" s="24" t="s">
        <v>91</v>
      </c>
      <c r="R633" s="87"/>
      <c r="S633" s="87" t="s">
        <v>2779</v>
      </c>
      <c r="T633" s="24" t="s">
        <v>72</v>
      </c>
      <c r="U633" s="187"/>
      <c r="V633" s="14"/>
      <c r="W633" s="14"/>
      <c r="X633" s="18"/>
      <c r="Y633" s="18"/>
      <c r="Z633" s="18"/>
      <c r="AA633" s="19">
        <f t="shared" si="1"/>
        <v>8</v>
      </c>
      <c r="AB633" s="19">
        <f t="shared" si="2"/>
        <v>8</v>
      </c>
    </row>
    <row r="634" ht="15.75" customHeight="1">
      <c r="A634" s="12">
        <v>45157.0</v>
      </c>
      <c r="B634" s="13" t="s">
        <v>28</v>
      </c>
      <c r="C634" s="14"/>
      <c r="D634" s="180" t="s">
        <v>2780</v>
      </c>
      <c r="E634" s="181">
        <v>10.0</v>
      </c>
      <c r="F634" s="14"/>
      <c r="G634" s="14"/>
      <c r="H634" s="189" t="s">
        <v>2781</v>
      </c>
      <c r="I634" s="14"/>
      <c r="J634" s="14"/>
      <c r="K634" s="14" t="s">
        <v>2782</v>
      </c>
      <c r="L634" s="14" t="s">
        <v>111</v>
      </c>
      <c r="M634" s="14" t="s">
        <v>565</v>
      </c>
      <c r="N634" s="14" t="b">
        <v>0</v>
      </c>
      <c r="O634" s="14"/>
      <c r="P634" s="14"/>
      <c r="Q634" s="14"/>
      <c r="R634" s="14"/>
      <c r="S634" s="14" t="s">
        <v>2783</v>
      </c>
      <c r="T634" s="14" t="s">
        <v>36</v>
      </c>
      <c r="U634" s="17"/>
      <c r="V634" s="14"/>
      <c r="W634" s="14"/>
      <c r="X634" s="18"/>
      <c r="Y634" s="18"/>
      <c r="Z634" s="18"/>
      <c r="AA634" s="19">
        <f t="shared" si="1"/>
        <v>8</v>
      </c>
      <c r="AB634" s="19" t="str">
        <f t="shared" si="2"/>
        <v/>
      </c>
    </row>
    <row r="635" ht="15.75" customHeight="1">
      <c r="A635" s="12">
        <v>45157.0</v>
      </c>
      <c r="B635" s="14" t="s">
        <v>84</v>
      </c>
      <c r="C635" s="13" t="s">
        <v>2784</v>
      </c>
      <c r="D635" s="14" t="s">
        <v>2785</v>
      </c>
      <c r="E635" s="13">
        <v>13.0</v>
      </c>
      <c r="F635" s="14">
        <v>8.0</v>
      </c>
      <c r="G635" s="14"/>
      <c r="H635" s="15" t="s">
        <v>2786</v>
      </c>
      <c r="I635" s="14"/>
      <c r="J635" s="14"/>
      <c r="K635" s="14" t="s">
        <v>2787</v>
      </c>
      <c r="L635" s="14" t="s">
        <v>111</v>
      </c>
      <c r="M635" s="14" t="s">
        <v>13</v>
      </c>
      <c r="N635" s="14" t="b">
        <v>1</v>
      </c>
      <c r="O635" s="13" t="s">
        <v>2788</v>
      </c>
      <c r="P635" s="13" t="s">
        <v>42</v>
      </c>
      <c r="Q635" s="14"/>
      <c r="R635" s="14"/>
      <c r="S635" s="14" t="s">
        <v>2789</v>
      </c>
      <c r="T635" s="13" t="s">
        <v>129</v>
      </c>
      <c r="U635" s="17"/>
      <c r="V635" s="14"/>
      <c r="W635" s="14"/>
      <c r="X635" s="18"/>
      <c r="Y635" s="18"/>
      <c r="Z635" s="18"/>
      <c r="AA635" s="19">
        <f t="shared" si="1"/>
        <v>8</v>
      </c>
      <c r="AB635" s="19" t="str">
        <f t="shared" si="2"/>
        <v/>
      </c>
    </row>
    <row r="636" ht="15.75" customHeight="1">
      <c r="A636" s="12">
        <v>45157.0</v>
      </c>
      <c r="B636" s="14" t="s">
        <v>703</v>
      </c>
      <c r="C636" s="14" t="s">
        <v>2790</v>
      </c>
      <c r="D636" s="14"/>
      <c r="E636" s="13">
        <v>12.0</v>
      </c>
      <c r="F636" s="14" t="s">
        <v>2791</v>
      </c>
      <c r="G636" s="14"/>
      <c r="H636" s="15" t="s">
        <v>2792</v>
      </c>
      <c r="I636" s="14"/>
      <c r="J636" s="14"/>
      <c r="K636" s="14"/>
      <c r="L636" s="14" t="s">
        <v>111</v>
      </c>
      <c r="M636" s="14" t="s">
        <v>34</v>
      </c>
      <c r="N636" s="14" t="b">
        <v>0</v>
      </c>
      <c r="O636" s="14"/>
      <c r="P636" s="14"/>
      <c r="Q636" s="14"/>
      <c r="R636" s="14"/>
      <c r="S636" s="14" t="s">
        <v>2793</v>
      </c>
      <c r="T636" s="14" t="s">
        <v>36</v>
      </c>
      <c r="U636" s="17"/>
      <c r="V636" s="14"/>
      <c r="W636" s="14"/>
      <c r="X636" s="18"/>
      <c r="Y636" s="18"/>
      <c r="Z636" s="18"/>
      <c r="AA636" s="19">
        <f t="shared" si="1"/>
        <v>8</v>
      </c>
      <c r="AB636" s="19" t="str">
        <f t="shared" si="2"/>
        <v/>
      </c>
    </row>
    <row r="637" ht="15.75" customHeight="1">
      <c r="A637" s="12">
        <v>45157.0</v>
      </c>
      <c r="B637" s="14" t="s">
        <v>703</v>
      </c>
      <c r="C637" s="14" t="s">
        <v>2794</v>
      </c>
      <c r="D637" s="14"/>
      <c r="E637" s="13">
        <v>11.0</v>
      </c>
      <c r="F637" s="14">
        <v>5.0</v>
      </c>
      <c r="G637" s="14"/>
      <c r="H637" s="15" t="s">
        <v>2795</v>
      </c>
      <c r="I637" s="14"/>
      <c r="J637" s="14"/>
      <c r="K637" s="14"/>
      <c r="L637" s="14" t="s">
        <v>111</v>
      </c>
      <c r="M637" s="14" t="s">
        <v>216</v>
      </c>
      <c r="N637" s="14" t="b">
        <v>0</v>
      </c>
      <c r="O637" s="14"/>
      <c r="P637" s="14"/>
      <c r="Q637" s="14"/>
      <c r="R637" s="14"/>
      <c r="S637" s="14" t="s">
        <v>2796</v>
      </c>
      <c r="T637" s="13" t="s">
        <v>229</v>
      </c>
      <c r="U637" s="17">
        <v>45162.0</v>
      </c>
      <c r="V637" s="14"/>
      <c r="W637" s="14"/>
      <c r="X637" s="18"/>
      <c r="Y637" s="18"/>
      <c r="Z637" s="18"/>
      <c r="AA637" s="19">
        <f t="shared" si="1"/>
        <v>8</v>
      </c>
      <c r="AB637" s="19" t="str">
        <f t="shared" si="2"/>
        <v/>
      </c>
    </row>
    <row r="638" ht="15.75" customHeight="1">
      <c r="A638" s="12">
        <v>45157.0</v>
      </c>
      <c r="B638" s="13" t="s">
        <v>28</v>
      </c>
      <c r="C638" s="14"/>
      <c r="D638" s="180" t="s">
        <v>2797</v>
      </c>
      <c r="E638" s="181">
        <v>10.0</v>
      </c>
      <c r="F638" s="14"/>
      <c r="G638" s="14"/>
      <c r="H638" s="189" t="s">
        <v>2798</v>
      </c>
      <c r="I638" s="14"/>
      <c r="J638" s="14"/>
      <c r="K638" s="14" t="s">
        <v>2799</v>
      </c>
      <c r="L638" s="14" t="s">
        <v>111</v>
      </c>
      <c r="M638" s="14" t="s">
        <v>565</v>
      </c>
      <c r="N638" s="14" t="b">
        <v>0</v>
      </c>
      <c r="O638" s="14"/>
      <c r="P638" s="14"/>
      <c r="Q638" s="14"/>
      <c r="R638" s="14"/>
      <c r="S638" s="14" t="s">
        <v>2800</v>
      </c>
      <c r="T638" s="14" t="s">
        <v>36</v>
      </c>
      <c r="U638" s="17"/>
      <c r="V638" s="14"/>
      <c r="W638" s="14"/>
      <c r="X638" s="18"/>
      <c r="Y638" s="18"/>
      <c r="Z638" s="18"/>
      <c r="AA638" s="19">
        <f t="shared" si="1"/>
        <v>8</v>
      </c>
      <c r="AB638" s="19" t="str">
        <f t="shared" si="2"/>
        <v/>
      </c>
    </row>
    <row r="639" ht="15.75" customHeight="1">
      <c r="A639" s="12">
        <v>45159.0</v>
      </c>
      <c r="B639" s="13" t="s">
        <v>28</v>
      </c>
      <c r="C639" s="14" t="s">
        <v>2801</v>
      </c>
      <c r="D639" s="14"/>
      <c r="E639" s="14"/>
      <c r="F639" s="14"/>
      <c r="G639" s="14"/>
      <c r="H639" s="14" t="s">
        <v>2802</v>
      </c>
      <c r="I639" s="14"/>
      <c r="J639" s="14"/>
      <c r="K639" s="13" t="s">
        <v>2803</v>
      </c>
      <c r="L639" s="14" t="s">
        <v>111</v>
      </c>
      <c r="M639" s="14" t="s">
        <v>34</v>
      </c>
      <c r="N639" s="14" t="b">
        <v>0</v>
      </c>
      <c r="O639" s="14"/>
      <c r="P639" s="14"/>
      <c r="Q639" s="14"/>
      <c r="R639" s="14"/>
      <c r="S639" s="14" t="s">
        <v>2804</v>
      </c>
      <c r="T639" s="14" t="s">
        <v>36</v>
      </c>
      <c r="U639" s="17"/>
      <c r="V639" s="14"/>
      <c r="W639" s="14"/>
      <c r="X639" s="18"/>
      <c r="Y639" s="18"/>
      <c r="Z639" s="18"/>
      <c r="AA639" s="19">
        <f t="shared" si="1"/>
        <v>8</v>
      </c>
      <c r="AB639" s="19" t="str">
        <f t="shared" si="2"/>
        <v/>
      </c>
    </row>
    <row r="640" ht="15.75" customHeight="1">
      <c r="A640" s="12">
        <v>45159.0</v>
      </c>
      <c r="B640" s="13" t="s">
        <v>28</v>
      </c>
      <c r="C640" s="14" t="s">
        <v>2805</v>
      </c>
      <c r="D640" s="14"/>
      <c r="E640" s="14"/>
      <c r="F640" s="14"/>
      <c r="G640" s="14"/>
      <c r="H640" s="14" t="s">
        <v>2806</v>
      </c>
      <c r="I640" s="14"/>
      <c r="J640" s="14"/>
      <c r="K640" s="14" t="s">
        <v>2807</v>
      </c>
      <c r="L640" s="14" t="s">
        <v>111</v>
      </c>
      <c r="M640" s="14" t="s">
        <v>216</v>
      </c>
      <c r="N640" s="14" t="b">
        <v>0</v>
      </c>
      <c r="O640" s="14"/>
      <c r="P640" s="14"/>
      <c r="Q640" s="14"/>
      <c r="R640" s="14"/>
      <c r="S640" s="14" t="s">
        <v>2808</v>
      </c>
      <c r="T640" s="14" t="s">
        <v>36</v>
      </c>
      <c r="U640" s="17"/>
      <c r="V640" s="14"/>
      <c r="W640" s="14"/>
      <c r="X640" s="18"/>
      <c r="Y640" s="18"/>
      <c r="Z640" s="18"/>
      <c r="AA640" s="19">
        <f t="shared" si="1"/>
        <v>8</v>
      </c>
      <c r="AB640" s="19" t="str">
        <f t="shared" si="2"/>
        <v/>
      </c>
    </row>
    <row r="641" ht="15.75" customHeight="1">
      <c r="A641" s="12">
        <v>45159.0</v>
      </c>
      <c r="B641" s="13" t="s">
        <v>28</v>
      </c>
      <c r="C641" s="14" t="s">
        <v>2809</v>
      </c>
      <c r="D641" s="14" t="s">
        <v>2810</v>
      </c>
      <c r="E641" s="13">
        <v>16.0</v>
      </c>
      <c r="F641" s="14">
        <v>10.0</v>
      </c>
      <c r="G641" s="14"/>
      <c r="H641" s="14" t="s">
        <v>2811</v>
      </c>
      <c r="I641" s="14"/>
      <c r="J641" s="14"/>
      <c r="K641" s="14" t="s">
        <v>2812</v>
      </c>
      <c r="L641" s="14" t="s">
        <v>111</v>
      </c>
      <c r="M641" s="14" t="s">
        <v>565</v>
      </c>
      <c r="N641" s="14" t="b">
        <v>0</v>
      </c>
      <c r="O641" s="14"/>
      <c r="P641" s="14"/>
      <c r="Q641" s="14"/>
      <c r="R641" s="14"/>
      <c r="S641" s="14" t="s">
        <v>2813</v>
      </c>
      <c r="T641" s="13" t="s">
        <v>129</v>
      </c>
      <c r="U641" s="17">
        <v>45163.0</v>
      </c>
      <c r="V641" s="32">
        <v>45162.0</v>
      </c>
      <c r="W641" s="24" t="s">
        <v>407</v>
      </c>
      <c r="X641" s="25">
        <v>6124000.0</v>
      </c>
      <c r="Y641" s="25">
        <v>796120.0</v>
      </c>
      <c r="Z641" s="25">
        <v>5327880.0</v>
      </c>
      <c r="AA641" s="19">
        <f t="shared" si="1"/>
        <v>8</v>
      </c>
      <c r="AB641" s="19" t="str">
        <f t="shared" si="2"/>
        <v/>
      </c>
    </row>
    <row r="642" ht="15.75" customHeight="1">
      <c r="A642" s="26">
        <v>45159.0</v>
      </c>
      <c r="B642" s="13" t="s">
        <v>28</v>
      </c>
      <c r="C642" s="27" t="s">
        <v>2809</v>
      </c>
      <c r="D642" s="27" t="s">
        <v>2814</v>
      </c>
      <c r="E642" s="24">
        <v>10.0</v>
      </c>
      <c r="F642" s="27">
        <v>5.0</v>
      </c>
      <c r="G642" s="27"/>
      <c r="H642" s="27" t="s">
        <v>2811</v>
      </c>
      <c r="I642" s="27"/>
      <c r="J642" s="27"/>
      <c r="K642" s="27" t="s">
        <v>2815</v>
      </c>
      <c r="L642" s="27" t="s">
        <v>111</v>
      </c>
      <c r="M642" s="27" t="s">
        <v>67</v>
      </c>
      <c r="N642" s="14" t="b">
        <v>1</v>
      </c>
      <c r="O642" s="24" t="s">
        <v>2816</v>
      </c>
      <c r="P642" s="13" t="s">
        <v>42</v>
      </c>
      <c r="Q642" s="24" t="s">
        <v>91</v>
      </c>
      <c r="R642" s="27"/>
      <c r="S642" s="27" t="s">
        <v>2817</v>
      </c>
      <c r="T642" s="24" t="s">
        <v>72</v>
      </c>
      <c r="U642" s="26"/>
      <c r="V642" s="14"/>
      <c r="W642" s="14"/>
      <c r="X642" s="18"/>
      <c r="Y642" s="18"/>
      <c r="Z642" s="18"/>
      <c r="AA642" s="19">
        <f t="shared" si="1"/>
        <v>8</v>
      </c>
      <c r="AB642" s="19">
        <f t="shared" si="2"/>
        <v>8</v>
      </c>
    </row>
    <row r="643" ht="15.75" customHeight="1">
      <c r="A643" s="12">
        <v>45160.0</v>
      </c>
      <c r="B643" s="13" t="s">
        <v>28</v>
      </c>
      <c r="C643" s="14" t="s">
        <v>2818</v>
      </c>
      <c r="D643" s="14"/>
      <c r="E643" s="14"/>
      <c r="F643" s="14"/>
      <c r="G643" s="14"/>
      <c r="H643" s="14" t="s">
        <v>2819</v>
      </c>
      <c r="I643" s="14"/>
      <c r="J643" s="14"/>
      <c r="K643" s="13" t="s">
        <v>91</v>
      </c>
      <c r="L643" s="14" t="s">
        <v>111</v>
      </c>
      <c r="M643" s="14" t="s">
        <v>565</v>
      </c>
      <c r="N643" s="14" t="b">
        <v>0</v>
      </c>
      <c r="O643" s="14"/>
      <c r="P643" s="14"/>
      <c r="Q643" s="14"/>
      <c r="R643" s="14"/>
      <c r="S643" s="14"/>
      <c r="T643" s="13" t="s">
        <v>129</v>
      </c>
      <c r="U643" s="17">
        <v>45161.0</v>
      </c>
      <c r="V643" s="14"/>
      <c r="W643" s="14"/>
      <c r="X643" s="18"/>
      <c r="Y643" s="18"/>
      <c r="Z643" s="18"/>
      <c r="AA643" s="19">
        <f t="shared" si="1"/>
        <v>8</v>
      </c>
      <c r="AB643" s="19" t="str">
        <f t="shared" si="2"/>
        <v/>
      </c>
    </row>
    <row r="644" ht="15.75" customHeight="1">
      <c r="A644" s="12">
        <v>45160.0</v>
      </c>
      <c r="B644" s="13" t="s">
        <v>28</v>
      </c>
      <c r="C644" s="14" t="s">
        <v>2820</v>
      </c>
      <c r="D644" s="14" t="s">
        <v>2821</v>
      </c>
      <c r="E644" s="13">
        <v>12.0</v>
      </c>
      <c r="F644" s="14"/>
      <c r="G644" s="14"/>
      <c r="H644" s="14" t="s">
        <v>2822</v>
      </c>
      <c r="I644" s="14"/>
      <c r="J644" s="14"/>
      <c r="K644" s="13" t="s">
        <v>2823</v>
      </c>
      <c r="L644" s="14" t="s">
        <v>111</v>
      </c>
      <c r="M644" s="14" t="s">
        <v>13</v>
      </c>
      <c r="N644" s="14" t="b">
        <v>1</v>
      </c>
      <c r="O644" s="13" t="s">
        <v>2824</v>
      </c>
      <c r="P644" s="13" t="s">
        <v>42</v>
      </c>
      <c r="Q644" s="14"/>
      <c r="R644" s="14"/>
      <c r="S644" s="14" t="s">
        <v>2825</v>
      </c>
      <c r="T644" s="13" t="s">
        <v>129</v>
      </c>
      <c r="U644" s="17">
        <v>45161.0</v>
      </c>
      <c r="V644" s="14"/>
      <c r="W644" s="14"/>
      <c r="X644" s="18"/>
      <c r="Y644" s="18"/>
      <c r="Z644" s="18"/>
      <c r="AA644" s="19">
        <f t="shared" si="1"/>
        <v>8</v>
      </c>
      <c r="AB644" s="19" t="str">
        <f t="shared" si="2"/>
        <v/>
      </c>
    </row>
    <row r="645" ht="15.75" customHeight="1">
      <c r="A645" s="12">
        <v>45160.0</v>
      </c>
      <c r="B645" s="13" t="s">
        <v>28</v>
      </c>
      <c r="C645" s="14" t="s">
        <v>2826</v>
      </c>
      <c r="D645" s="14"/>
      <c r="E645" s="14"/>
      <c r="F645" s="14"/>
      <c r="G645" s="14"/>
      <c r="H645" s="15" t="s">
        <v>2827</v>
      </c>
      <c r="I645" s="14"/>
      <c r="J645" s="14"/>
      <c r="K645" s="14"/>
      <c r="L645" s="14" t="s">
        <v>111</v>
      </c>
      <c r="M645" s="14" t="s">
        <v>216</v>
      </c>
      <c r="N645" s="14" t="b">
        <v>0</v>
      </c>
      <c r="O645" s="14"/>
      <c r="P645" s="14"/>
      <c r="Q645" s="14"/>
      <c r="R645" s="14"/>
      <c r="S645" s="14" t="s">
        <v>2828</v>
      </c>
      <c r="T645" s="13" t="s">
        <v>129</v>
      </c>
      <c r="U645" s="17">
        <v>45161.0</v>
      </c>
      <c r="V645" s="14"/>
      <c r="W645" s="14"/>
      <c r="X645" s="18"/>
      <c r="Y645" s="18"/>
      <c r="Z645" s="18"/>
      <c r="AA645" s="19">
        <f t="shared" si="1"/>
        <v>8</v>
      </c>
      <c r="AB645" s="19" t="str">
        <f t="shared" si="2"/>
        <v/>
      </c>
    </row>
    <row r="646" ht="15.75" customHeight="1">
      <c r="A646" s="12">
        <v>45160.0</v>
      </c>
      <c r="B646" s="13" t="s">
        <v>28</v>
      </c>
      <c r="C646" s="14" t="s">
        <v>2829</v>
      </c>
      <c r="D646" s="14"/>
      <c r="E646" s="14"/>
      <c r="F646" s="14"/>
      <c r="G646" s="14"/>
      <c r="H646" s="15" t="s">
        <v>2830</v>
      </c>
      <c r="I646" s="14"/>
      <c r="J646" s="14"/>
      <c r="K646" s="14"/>
      <c r="L646" s="14" t="s">
        <v>111</v>
      </c>
      <c r="M646" s="14" t="s">
        <v>216</v>
      </c>
      <c r="N646" s="14" t="b">
        <v>0</v>
      </c>
      <c r="O646" s="14"/>
      <c r="P646" s="14"/>
      <c r="Q646" s="14"/>
      <c r="R646" s="14"/>
      <c r="S646" s="14" t="s">
        <v>2828</v>
      </c>
      <c r="T646" s="13" t="s">
        <v>129</v>
      </c>
      <c r="U646" s="17">
        <v>45161.0</v>
      </c>
      <c r="V646" s="14"/>
      <c r="W646" s="14"/>
      <c r="X646" s="18"/>
      <c r="Y646" s="18"/>
      <c r="Z646" s="18"/>
      <c r="AA646" s="19">
        <f t="shared" si="1"/>
        <v>8</v>
      </c>
      <c r="AB646" s="19" t="str">
        <f t="shared" si="2"/>
        <v/>
      </c>
    </row>
    <row r="647" ht="15.75" customHeight="1">
      <c r="A647" s="12">
        <v>45160.0</v>
      </c>
      <c r="B647" s="13" t="s">
        <v>28</v>
      </c>
      <c r="C647" s="14" t="s">
        <v>2831</v>
      </c>
      <c r="D647" s="14"/>
      <c r="E647" s="14"/>
      <c r="F647" s="14"/>
      <c r="G647" s="14"/>
      <c r="H647" s="15" t="s">
        <v>2832</v>
      </c>
      <c r="I647" s="14"/>
      <c r="J647" s="14"/>
      <c r="K647" s="14" t="s">
        <v>2833</v>
      </c>
      <c r="L647" s="14" t="s">
        <v>111</v>
      </c>
      <c r="M647" s="14" t="s">
        <v>565</v>
      </c>
      <c r="N647" s="14" t="b">
        <v>0</v>
      </c>
      <c r="O647" s="14"/>
      <c r="P647" s="14"/>
      <c r="Q647" s="14"/>
      <c r="R647" s="14"/>
      <c r="S647" s="14" t="s">
        <v>2834</v>
      </c>
      <c r="T647" s="13" t="s">
        <v>129</v>
      </c>
      <c r="U647" s="17">
        <v>45161.0</v>
      </c>
      <c r="V647" s="14"/>
      <c r="W647" s="14"/>
      <c r="X647" s="18"/>
      <c r="Y647" s="18"/>
      <c r="Z647" s="18"/>
      <c r="AA647" s="19">
        <f t="shared" si="1"/>
        <v>8</v>
      </c>
      <c r="AB647" s="19" t="str">
        <f t="shared" si="2"/>
        <v/>
      </c>
    </row>
    <row r="648" ht="15.75" customHeight="1">
      <c r="A648" s="12">
        <v>45160.0</v>
      </c>
      <c r="B648" s="13" t="s">
        <v>28</v>
      </c>
      <c r="C648" s="14" t="s">
        <v>2835</v>
      </c>
      <c r="D648" s="14"/>
      <c r="E648" s="14"/>
      <c r="F648" s="14"/>
      <c r="G648" s="14"/>
      <c r="H648" s="15" t="s">
        <v>2836</v>
      </c>
      <c r="I648" s="14"/>
      <c r="J648" s="14"/>
      <c r="K648" s="14"/>
      <c r="L648" s="14" t="s">
        <v>111</v>
      </c>
      <c r="M648" s="14" t="s">
        <v>216</v>
      </c>
      <c r="N648" s="14" t="b">
        <v>0</v>
      </c>
      <c r="O648" s="14"/>
      <c r="P648" s="14"/>
      <c r="Q648" s="14"/>
      <c r="R648" s="14"/>
      <c r="S648" s="14" t="s">
        <v>2837</v>
      </c>
      <c r="T648" s="13" t="s">
        <v>129</v>
      </c>
      <c r="U648" s="17">
        <v>45161.0</v>
      </c>
      <c r="V648" s="14"/>
      <c r="W648" s="14"/>
      <c r="X648" s="18"/>
      <c r="Y648" s="18"/>
      <c r="Z648" s="18"/>
      <c r="AA648" s="19">
        <f t="shared" si="1"/>
        <v>8</v>
      </c>
      <c r="AB648" s="19" t="str">
        <f t="shared" si="2"/>
        <v/>
      </c>
    </row>
    <row r="649" ht="15.75" customHeight="1">
      <c r="A649" s="12">
        <v>45160.0</v>
      </c>
      <c r="B649" s="14" t="s">
        <v>73</v>
      </c>
      <c r="C649" s="14" t="s">
        <v>2838</v>
      </c>
      <c r="D649" s="14" t="s">
        <v>2839</v>
      </c>
      <c r="E649" s="13">
        <v>11.0</v>
      </c>
      <c r="F649" s="14">
        <v>6.0</v>
      </c>
      <c r="G649" s="14"/>
      <c r="H649" s="15" t="s">
        <v>2840</v>
      </c>
      <c r="I649" s="14"/>
      <c r="J649" s="14"/>
      <c r="K649" s="14"/>
      <c r="L649" s="14" t="s">
        <v>111</v>
      </c>
      <c r="M649" s="14" t="s">
        <v>13</v>
      </c>
      <c r="N649" s="14" t="b">
        <v>1</v>
      </c>
      <c r="O649" s="13" t="s">
        <v>2841</v>
      </c>
      <c r="P649" s="13" t="s">
        <v>42</v>
      </c>
      <c r="Q649" s="14"/>
      <c r="R649" s="14"/>
      <c r="S649" s="14" t="s">
        <v>2842</v>
      </c>
      <c r="T649" s="13" t="s">
        <v>129</v>
      </c>
      <c r="U649" s="17">
        <v>45161.0</v>
      </c>
      <c r="V649" s="14"/>
      <c r="W649" s="14"/>
      <c r="X649" s="18"/>
      <c r="Y649" s="18"/>
      <c r="Z649" s="18"/>
      <c r="AA649" s="19">
        <f t="shared" si="1"/>
        <v>8</v>
      </c>
      <c r="AB649" s="19" t="str">
        <f t="shared" si="2"/>
        <v/>
      </c>
    </row>
    <row r="650" ht="15.75" customHeight="1">
      <c r="A650" s="12">
        <v>45161.0</v>
      </c>
      <c r="B650" s="13" t="s">
        <v>28</v>
      </c>
      <c r="C650" s="14" t="s">
        <v>2843</v>
      </c>
      <c r="D650" s="14"/>
      <c r="E650" s="14"/>
      <c r="F650" s="14"/>
      <c r="G650" s="14"/>
      <c r="H650" s="15" t="s">
        <v>2844</v>
      </c>
      <c r="I650" s="14"/>
      <c r="J650" s="14"/>
      <c r="K650" s="14"/>
      <c r="L650" s="14" t="s">
        <v>111</v>
      </c>
      <c r="M650" s="14" t="s">
        <v>216</v>
      </c>
      <c r="N650" s="14" t="b">
        <v>0</v>
      </c>
      <c r="O650" s="14"/>
      <c r="P650" s="14"/>
      <c r="Q650" s="14"/>
      <c r="R650" s="14"/>
      <c r="S650" s="62" t="s">
        <v>2845</v>
      </c>
      <c r="T650" s="13" t="s">
        <v>129</v>
      </c>
      <c r="U650" s="17"/>
      <c r="V650" s="14"/>
      <c r="W650" s="14"/>
      <c r="X650" s="18"/>
      <c r="Y650" s="18"/>
      <c r="Z650" s="18"/>
      <c r="AA650" s="19">
        <f t="shared" si="1"/>
        <v>8</v>
      </c>
      <c r="AB650" s="19" t="str">
        <f t="shared" si="2"/>
        <v/>
      </c>
    </row>
    <row r="651" ht="15.75" customHeight="1">
      <c r="A651" s="12">
        <v>45161.0</v>
      </c>
      <c r="B651" s="14" t="s">
        <v>703</v>
      </c>
      <c r="C651" s="14" t="s">
        <v>66</v>
      </c>
      <c r="D651" s="14"/>
      <c r="E651" s="14"/>
      <c r="F651" s="14"/>
      <c r="G651" s="14"/>
      <c r="H651" s="15" t="s">
        <v>2846</v>
      </c>
      <c r="I651" s="14"/>
      <c r="J651" s="14"/>
      <c r="K651" s="14"/>
      <c r="L651" s="14" t="s">
        <v>111</v>
      </c>
      <c r="M651" s="14" t="s">
        <v>216</v>
      </c>
      <c r="N651" s="14" t="b">
        <v>0</v>
      </c>
      <c r="O651" s="14"/>
      <c r="P651" s="14"/>
      <c r="Q651" s="14"/>
      <c r="R651" s="14"/>
      <c r="S651" s="62" t="s">
        <v>2845</v>
      </c>
      <c r="T651" s="13" t="s">
        <v>129</v>
      </c>
      <c r="U651" s="17"/>
      <c r="V651" s="14"/>
      <c r="W651" s="14"/>
      <c r="X651" s="18"/>
      <c r="Y651" s="18"/>
      <c r="Z651" s="18"/>
      <c r="AA651" s="19">
        <f t="shared" si="1"/>
        <v>8</v>
      </c>
      <c r="AB651" s="19" t="str">
        <f t="shared" si="2"/>
        <v/>
      </c>
    </row>
    <row r="652" ht="15.75" customHeight="1">
      <c r="A652" s="12">
        <v>45161.0</v>
      </c>
      <c r="B652" s="14" t="s">
        <v>703</v>
      </c>
      <c r="C652" s="14" t="s">
        <v>2847</v>
      </c>
      <c r="D652" s="14"/>
      <c r="E652" s="14"/>
      <c r="F652" s="14"/>
      <c r="G652" s="14"/>
      <c r="H652" s="15" t="s">
        <v>2848</v>
      </c>
      <c r="I652" s="14"/>
      <c r="J652" s="14"/>
      <c r="K652" s="14"/>
      <c r="L652" s="14" t="s">
        <v>111</v>
      </c>
      <c r="M652" s="14" t="s">
        <v>216</v>
      </c>
      <c r="N652" s="14" t="b">
        <v>0</v>
      </c>
      <c r="O652" s="14"/>
      <c r="P652" s="14"/>
      <c r="Q652" s="14"/>
      <c r="R652" s="14"/>
      <c r="S652" s="62" t="s">
        <v>2845</v>
      </c>
      <c r="T652" s="13" t="s">
        <v>129</v>
      </c>
      <c r="U652" s="17"/>
      <c r="V652" s="14"/>
      <c r="W652" s="14"/>
      <c r="X652" s="18"/>
      <c r="Y652" s="18"/>
      <c r="Z652" s="18"/>
      <c r="AA652" s="19">
        <f t="shared" si="1"/>
        <v>8</v>
      </c>
      <c r="AB652" s="19" t="str">
        <f t="shared" si="2"/>
        <v/>
      </c>
    </row>
    <row r="653" ht="15.75" customHeight="1">
      <c r="A653" s="12">
        <v>45162.0</v>
      </c>
      <c r="B653" s="13" t="s">
        <v>28</v>
      </c>
      <c r="C653" s="14" t="s">
        <v>2849</v>
      </c>
      <c r="D653" s="14" t="s">
        <v>2850</v>
      </c>
      <c r="E653" s="181">
        <v>10.0</v>
      </c>
      <c r="F653" s="14">
        <v>5.0</v>
      </c>
      <c r="G653" s="14"/>
      <c r="H653" s="15" t="s">
        <v>2851</v>
      </c>
      <c r="I653" s="14"/>
      <c r="J653" s="14"/>
      <c r="K653" s="14" t="s">
        <v>2852</v>
      </c>
      <c r="L653" s="14" t="s">
        <v>111</v>
      </c>
      <c r="M653" s="14" t="s">
        <v>34</v>
      </c>
      <c r="N653" s="14" t="b">
        <v>1</v>
      </c>
      <c r="O653" s="13" t="s">
        <v>2853</v>
      </c>
      <c r="P653" s="13" t="s">
        <v>42</v>
      </c>
      <c r="Q653" s="14"/>
      <c r="R653" s="14"/>
      <c r="S653" s="14" t="s">
        <v>2854</v>
      </c>
      <c r="T653" s="14" t="s">
        <v>36</v>
      </c>
      <c r="U653" s="17"/>
      <c r="V653" s="14"/>
      <c r="W653" s="14"/>
      <c r="X653" s="18"/>
      <c r="Y653" s="18"/>
      <c r="Z653" s="18"/>
      <c r="AA653" s="19">
        <f t="shared" si="1"/>
        <v>8</v>
      </c>
      <c r="AB653" s="19" t="str">
        <f t="shared" si="2"/>
        <v/>
      </c>
    </row>
    <row r="654" ht="15.75" customHeight="1">
      <c r="A654" s="12">
        <v>45162.0</v>
      </c>
      <c r="B654" s="13" t="s">
        <v>28</v>
      </c>
      <c r="C654" s="14" t="s">
        <v>2855</v>
      </c>
      <c r="D654" s="14" t="s">
        <v>2855</v>
      </c>
      <c r="E654" s="14"/>
      <c r="F654" s="14"/>
      <c r="G654" s="14"/>
      <c r="H654" s="15" t="s">
        <v>2856</v>
      </c>
      <c r="I654" s="14"/>
      <c r="J654" s="14"/>
      <c r="K654" s="14" t="s">
        <v>2857</v>
      </c>
      <c r="L654" s="14" t="s">
        <v>111</v>
      </c>
      <c r="M654" s="14" t="s">
        <v>565</v>
      </c>
      <c r="N654" s="14" t="b">
        <v>0</v>
      </c>
      <c r="O654" s="14"/>
      <c r="P654" s="14"/>
      <c r="Q654" s="14"/>
      <c r="R654" s="14"/>
      <c r="S654" s="14"/>
      <c r="T654" s="14" t="s">
        <v>36</v>
      </c>
      <c r="U654" s="17"/>
      <c r="V654" s="32">
        <v>45180.0</v>
      </c>
      <c r="W654" s="24" t="s">
        <v>311</v>
      </c>
      <c r="X654" s="25">
        <v>6124000.0</v>
      </c>
      <c r="Y654" s="25">
        <v>612000.0</v>
      </c>
      <c r="Z654" s="25">
        <v>5512000.0</v>
      </c>
      <c r="AA654" s="19">
        <f t="shared" si="1"/>
        <v>8</v>
      </c>
      <c r="AB654" s="19" t="str">
        <f t="shared" si="2"/>
        <v/>
      </c>
    </row>
    <row r="655" ht="15.75" customHeight="1">
      <c r="A655" s="26">
        <v>45162.0</v>
      </c>
      <c r="B655" s="27" t="s">
        <v>201</v>
      </c>
      <c r="C655" s="24" t="s">
        <v>671</v>
      </c>
      <c r="D655" s="27" t="s">
        <v>2858</v>
      </c>
      <c r="E655" s="24">
        <v>6.0</v>
      </c>
      <c r="F655" s="27"/>
      <c r="G655" s="27"/>
      <c r="H655" s="34" t="s">
        <v>2859</v>
      </c>
      <c r="I655" s="27"/>
      <c r="J655" s="27"/>
      <c r="K655" s="27"/>
      <c r="L655" s="27" t="s">
        <v>111</v>
      </c>
      <c r="M655" s="27" t="s">
        <v>67</v>
      </c>
      <c r="N655" s="14" t="b">
        <v>1</v>
      </c>
      <c r="O655" s="24" t="s">
        <v>2860</v>
      </c>
      <c r="P655" s="13" t="s">
        <v>69</v>
      </c>
      <c r="Q655" s="24" t="s">
        <v>91</v>
      </c>
      <c r="R655" s="27"/>
      <c r="S655" s="27" t="s">
        <v>2861</v>
      </c>
      <c r="T655" s="24" t="s">
        <v>72</v>
      </c>
      <c r="U655" s="26"/>
      <c r="V655" s="14"/>
      <c r="W655" s="14"/>
      <c r="X655" s="18"/>
      <c r="Y655" s="18"/>
      <c r="Z655" s="18"/>
      <c r="AA655" s="19">
        <f t="shared" si="1"/>
        <v>8</v>
      </c>
      <c r="AB655" s="19">
        <f t="shared" si="2"/>
        <v>9</v>
      </c>
    </row>
    <row r="656" ht="15.75" customHeight="1">
      <c r="A656" s="12">
        <v>45162.0</v>
      </c>
      <c r="B656" s="24" t="s">
        <v>28</v>
      </c>
      <c r="C656" s="14" t="s">
        <v>443</v>
      </c>
      <c r="D656" s="14"/>
      <c r="E656" s="14"/>
      <c r="F656" s="14"/>
      <c r="G656" s="14"/>
      <c r="H656" s="15" t="s">
        <v>2862</v>
      </c>
      <c r="I656" s="14"/>
      <c r="J656" s="14"/>
      <c r="K656" s="14" t="s">
        <v>2863</v>
      </c>
      <c r="L656" s="14" t="s">
        <v>111</v>
      </c>
      <c r="M656" s="14" t="s">
        <v>565</v>
      </c>
      <c r="N656" s="14" t="b">
        <v>0</v>
      </c>
      <c r="O656" s="14"/>
      <c r="P656" s="14"/>
      <c r="Q656" s="14"/>
      <c r="R656" s="14"/>
      <c r="S656" s="14" t="s">
        <v>2864</v>
      </c>
      <c r="T656" s="14" t="s">
        <v>36</v>
      </c>
      <c r="U656" s="17"/>
      <c r="V656" s="32">
        <v>45219.0</v>
      </c>
      <c r="W656" s="24" t="s">
        <v>1230</v>
      </c>
      <c r="X656" s="25">
        <v>3120000.0</v>
      </c>
      <c r="Y656" s="25">
        <v>624000.0</v>
      </c>
      <c r="Z656" s="25">
        <v>2496000.0</v>
      </c>
      <c r="AA656" s="19">
        <f t="shared" si="1"/>
        <v>8</v>
      </c>
      <c r="AB656" s="19" t="str">
        <f t="shared" si="2"/>
        <v/>
      </c>
    </row>
    <row r="657" ht="15.75" customHeight="1">
      <c r="A657" s="26">
        <v>45162.0</v>
      </c>
      <c r="B657" s="13" t="s">
        <v>28</v>
      </c>
      <c r="C657" s="27" t="s">
        <v>2865</v>
      </c>
      <c r="D657" s="27" t="s">
        <v>2866</v>
      </c>
      <c r="E657" s="190">
        <v>10.0</v>
      </c>
      <c r="F657" s="27">
        <v>5.0</v>
      </c>
      <c r="G657" s="27"/>
      <c r="H657" s="34" t="s">
        <v>2867</v>
      </c>
      <c r="I657" s="27"/>
      <c r="J657" s="27"/>
      <c r="K657" s="27"/>
      <c r="L657" s="27" t="s">
        <v>111</v>
      </c>
      <c r="M657" s="27" t="s">
        <v>67</v>
      </c>
      <c r="N657" s="14" t="b">
        <v>1</v>
      </c>
      <c r="O657" s="24" t="s">
        <v>2868</v>
      </c>
      <c r="P657" s="13" t="s">
        <v>42</v>
      </c>
      <c r="Q657" s="24" t="s">
        <v>1230</v>
      </c>
      <c r="R657" s="27"/>
      <c r="S657" s="27" t="s">
        <v>2869</v>
      </c>
      <c r="T657" s="24" t="s">
        <v>72</v>
      </c>
      <c r="U657" s="26"/>
      <c r="V657" s="14"/>
      <c r="W657" s="14"/>
      <c r="X657" s="18"/>
      <c r="Y657" s="18"/>
      <c r="Z657" s="18"/>
      <c r="AA657" s="19">
        <f t="shared" si="1"/>
        <v>8</v>
      </c>
      <c r="AB657" s="19">
        <f t="shared" si="2"/>
        <v>10</v>
      </c>
    </row>
    <row r="658" ht="15.75" customHeight="1">
      <c r="A658" s="12">
        <v>45162.0</v>
      </c>
      <c r="B658" s="13" t="s">
        <v>28</v>
      </c>
      <c r="C658" s="14" t="s">
        <v>2870</v>
      </c>
      <c r="D658" s="14" t="s">
        <v>2871</v>
      </c>
      <c r="E658" s="191">
        <v>9.0</v>
      </c>
      <c r="F658" s="14">
        <v>4.0</v>
      </c>
      <c r="G658" s="14"/>
      <c r="H658" s="15" t="s">
        <v>2872</v>
      </c>
      <c r="I658" s="14"/>
      <c r="J658" s="14"/>
      <c r="K658" s="14"/>
      <c r="L658" s="14" t="s">
        <v>111</v>
      </c>
      <c r="M658" s="14" t="s">
        <v>13</v>
      </c>
      <c r="N658" s="14" t="b">
        <v>1</v>
      </c>
      <c r="O658" s="13" t="s">
        <v>2873</v>
      </c>
      <c r="P658" s="13" t="s">
        <v>69</v>
      </c>
      <c r="Q658" s="14"/>
      <c r="R658" s="14"/>
      <c r="S658" s="14" t="s">
        <v>2874</v>
      </c>
      <c r="T658" s="13" t="s">
        <v>129</v>
      </c>
      <c r="U658" s="17">
        <v>45164.0</v>
      </c>
      <c r="V658" s="14"/>
      <c r="W658" s="14"/>
      <c r="X658" s="18"/>
      <c r="Y658" s="18"/>
      <c r="Z658" s="18"/>
      <c r="AA658" s="19">
        <f t="shared" si="1"/>
        <v>8</v>
      </c>
      <c r="AB658" s="19" t="str">
        <f t="shared" si="2"/>
        <v/>
      </c>
    </row>
    <row r="659" ht="15.75" customHeight="1">
      <c r="A659" s="12">
        <v>45163.0</v>
      </c>
      <c r="B659" s="13" t="s">
        <v>28</v>
      </c>
      <c r="C659" s="14" t="s">
        <v>2875</v>
      </c>
      <c r="D659" s="14" t="s">
        <v>2876</v>
      </c>
      <c r="E659" s="13">
        <v>10.0</v>
      </c>
      <c r="F659" s="14"/>
      <c r="G659" s="14"/>
      <c r="H659" s="15" t="s">
        <v>2877</v>
      </c>
      <c r="I659" s="14"/>
      <c r="J659" s="14"/>
      <c r="K659" s="14"/>
      <c r="L659" s="14" t="s">
        <v>111</v>
      </c>
      <c r="M659" s="14" t="s">
        <v>13</v>
      </c>
      <c r="N659" s="14" t="b">
        <v>1</v>
      </c>
      <c r="O659" s="13" t="s">
        <v>2878</v>
      </c>
      <c r="P659" s="13" t="s">
        <v>69</v>
      </c>
      <c r="Q659" s="14"/>
      <c r="R659" s="14"/>
      <c r="S659" s="14" t="s">
        <v>2879</v>
      </c>
      <c r="T659" s="13" t="s">
        <v>129</v>
      </c>
      <c r="U659" s="17">
        <v>45174.0</v>
      </c>
      <c r="V659" s="14"/>
      <c r="W659" s="14"/>
      <c r="X659" s="18"/>
      <c r="Y659" s="18"/>
      <c r="Z659" s="18"/>
      <c r="AA659" s="19">
        <f t="shared" si="1"/>
        <v>8</v>
      </c>
      <c r="AB659" s="19" t="str">
        <f t="shared" si="2"/>
        <v/>
      </c>
    </row>
    <row r="660" ht="15.75" customHeight="1">
      <c r="A660" s="12">
        <v>45163.0</v>
      </c>
      <c r="B660" s="13" t="s">
        <v>28</v>
      </c>
      <c r="C660" s="14" t="s">
        <v>2875</v>
      </c>
      <c r="D660" s="14" t="s">
        <v>2880</v>
      </c>
      <c r="E660" s="13">
        <v>9.0</v>
      </c>
      <c r="F660" s="14"/>
      <c r="G660" s="14"/>
      <c r="H660" s="15" t="s">
        <v>2877</v>
      </c>
      <c r="I660" s="14"/>
      <c r="J660" s="14"/>
      <c r="K660" s="14"/>
      <c r="L660" s="14" t="s">
        <v>111</v>
      </c>
      <c r="M660" s="14" t="s">
        <v>13</v>
      </c>
      <c r="N660" s="14" t="b">
        <v>1</v>
      </c>
      <c r="O660" s="13" t="s">
        <v>2881</v>
      </c>
      <c r="P660" s="13" t="s">
        <v>69</v>
      </c>
      <c r="Q660" s="14"/>
      <c r="R660" s="14"/>
      <c r="S660" s="14" t="s">
        <v>2879</v>
      </c>
      <c r="T660" s="13" t="s">
        <v>129</v>
      </c>
      <c r="U660" s="17">
        <v>45174.0</v>
      </c>
      <c r="V660" s="192"/>
      <c r="W660" s="192"/>
      <c r="X660" s="193"/>
      <c r="Y660" s="193"/>
      <c r="Z660" s="193"/>
      <c r="AA660" s="19">
        <f t="shared" si="1"/>
        <v>8</v>
      </c>
      <c r="AB660" s="19" t="str">
        <f t="shared" si="2"/>
        <v/>
      </c>
    </row>
    <row r="661" ht="15.75" customHeight="1">
      <c r="A661" s="12">
        <v>45163.0</v>
      </c>
      <c r="B661" s="14" t="s">
        <v>73</v>
      </c>
      <c r="C661" s="192" t="s">
        <v>2882</v>
      </c>
      <c r="D661" s="194"/>
      <c r="E661" s="195">
        <v>9.0</v>
      </c>
      <c r="F661" s="192">
        <v>2.0</v>
      </c>
      <c r="G661" s="192"/>
      <c r="H661" s="15">
        <v>9.05438184E8</v>
      </c>
      <c r="I661" s="192"/>
      <c r="J661" s="192"/>
      <c r="K661" s="192"/>
      <c r="L661" s="14" t="s">
        <v>111</v>
      </c>
      <c r="M661" s="14" t="s">
        <v>565</v>
      </c>
      <c r="N661" s="14" t="b">
        <v>0</v>
      </c>
      <c r="O661" s="192"/>
      <c r="P661" s="192"/>
      <c r="Q661" s="192"/>
      <c r="R661" s="192"/>
      <c r="S661" s="195" t="s">
        <v>2883</v>
      </c>
      <c r="T661" s="13" t="s">
        <v>229</v>
      </c>
      <c r="U661" s="192"/>
      <c r="V661" s="32">
        <v>45169.0</v>
      </c>
      <c r="W661" s="24" t="s">
        <v>1376</v>
      </c>
      <c r="X661" s="25">
        <v>3062000.0</v>
      </c>
      <c r="Y661" s="25">
        <v>398060.0</v>
      </c>
      <c r="Z661" s="25">
        <v>2664000.0</v>
      </c>
      <c r="AA661" s="19">
        <f t="shared" si="1"/>
        <v>8</v>
      </c>
      <c r="AB661" s="19" t="str">
        <f t="shared" si="2"/>
        <v/>
      </c>
    </row>
    <row r="662" ht="15.75" customHeight="1">
      <c r="A662" s="26">
        <v>45163.0</v>
      </c>
      <c r="B662" s="27" t="s">
        <v>201</v>
      </c>
      <c r="C662" s="24" t="s">
        <v>2884</v>
      </c>
      <c r="D662" s="27" t="s">
        <v>2885</v>
      </c>
      <c r="E662" s="24">
        <v>10.0</v>
      </c>
      <c r="F662" s="27">
        <v>5.0</v>
      </c>
      <c r="G662" s="27"/>
      <c r="H662" s="34" t="s">
        <v>2886</v>
      </c>
      <c r="I662" s="27"/>
      <c r="J662" s="27"/>
      <c r="K662" s="24" t="s">
        <v>2887</v>
      </c>
      <c r="L662" s="27" t="s">
        <v>111</v>
      </c>
      <c r="M662" s="27" t="s">
        <v>67</v>
      </c>
      <c r="N662" s="14" t="b">
        <v>1</v>
      </c>
      <c r="O662" s="24" t="s">
        <v>2888</v>
      </c>
      <c r="P662" s="13" t="s">
        <v>42</v>
      </c>
      <c r="Q662" s="24" t="s">
        <v>91</v>
      </c>
      <c r="R662" s="27"/>
      <c r="S662" s="27" t="s">
        <v>2889</v>
      </c>
      <c r="T662" s="24" t="s">
        <v>72</v>
      </c>
      <c r="U662" s="26">
        <v>45167.0</v>
      </c>
      <c r="V662" s="14"/>
      <c r="W662" s="14"/>
      <c r="X662" s="18"/>
      <c r="Y662" s="18"/>
      <c r="Z662" s="18"/>
      <c r="AA662" s="19">
        <f t="shared" si="1"/>
        <v>8</v>
      </c>
      <c r="AB662" s="19">
        <f t="shared" si="2"/>
        <v>8</v>
      </c>
    </row>
    <row r="663" ht="15.75" customHeight="1">
      <c r="A663" s="12">
        <v>45164.0</v>
      </c>
      <c r="B663" s="13" t="s">
        <v>28</v>
      </c>
      <c r="C663" s="14" t="s">
        <v>2890</v>
      </c>
      <c r="D663" s="14" t="s">
        <v>2891</v>
      </c>
      <c r="E663" s="13">
        <v>9.0</v>
      </c>
      <c r="F663" s="14"/>
      <c r="G663" s="14"/>
      <c r="H663" s="15" t="s">
        <v>2892</v>
      </c>
      <c r="I663" s="14"/>
      <c r="J663" s="14"/>
      <c r="K663" s="14" t="s">
        <v>2893</v>
      </c>
      <c r="L663" s="14" t="s">
        <v>111</v>
      </c>
      <c r="M663" s="14" t="s">
        <v>565</v>
      </c>
      <c r="N663" s="14" t="b">
        <v>0</v>
      </c>
      <c r="O663" s="14"/>
      <c r="P663" s="14"/>
      <c r="Q663" s="14"/>
      <c r="R663" s="14"/>
      <c r="S663" s="14" t="s">
        <v>2894</v>
      </c>
      <c r="T663" s="13" t="s">
        <v>129</v>
      </c>
      <c r="U663" s="17"/>
      <c r="V663" s="14"/>
      <c r="W663" s="14"/>
      <c r="X663" s="18"/>
      <c r="Y663" s="18"/>
      <c r="Z663" s="18"/>
      <c r="AA663" s="19">
        <f t="shared" si="1"/>
        <v>8</v>
      </c>
      <c r="AB663" s="19" t="str">
        <f t="shared" si="2"/>
        <v/>
      </c>
    </row>
    <row r="664" ht="15.75" customHeight="1">
      <c r="A664" s="12">
        <v>45164.0</v>
      </c>
      <c r="B664" s="24" t="s">
        <v>28</v>
      </c>
      <c r="C664" s="14" t="s">
        <v>2895</v>
      </c>
      <c r="D664" s="14"/>
      <c r="E664" s="14"/>
      <c r="F664" s="14"/>
      <c r="G664" s="14"/>
      <c r="H664" s="15" t="s">
        <v>2896</v>
      </c>
      <c r="I664" s="14"/>
      <c r="J664" s="14"/>
      <c r="K664" s="14" t="s">
        <v>2897</v>
      </c>
      <c r="L664" s="14" t="s">
        <v>111</v>
      </c>
      <c r="M664" s="14" t="s">
        <v>34</v>
      </c>
      <c r="N664" s="14" t="b">
        <v>0</v>
      </c>
      <c r="O664" s="14"/>
      <c r="P664" s="14"/>
      <c r="Q664" s="14"/>
      <c r="R664" s="14"/>
      <c r="S664" s="14" t="s">
        <v>2898</v>
      </c>
      <c r="T664" s="14" t="s">
        <v>36</v>
      </c>
      <c r="U664" s="17"/>
      <c r="V664" s="14"/>
      <c r="W664" s="14"/>
      <c r="X664" s="18"/>
      <c r="Y664" s="18"/>
      <c r="Z664" s="18"/>
      <c r="AA664" s="19">
        <f t="shared" si="1"/>
        <v>8</v>
      </c>
      <c r="AB664" s="19" t="str">
        <f t="shared" si="2"/>
        <v/>
      </c>
    </row>
    <row r="665" ht="15.75" customHeight="1">
      <c r="A665" s="12">
        <v>45164.0</v>
      </c>
      <c r="B665" s="13" t="s">
        <v>28</v>
      </c>
      <c r="C665" s="14" t="s">
        <v>2899</v>
      </c>
      <c r="D665" s="14" t="s">
        <v>2900</v>
      </c>
      <c r="E665" s="13">
        <v>10.0</v>
      </c>
      <c r="F665" s="14"/>
      <c r="G665" s="14"/>
      <c r="H665" s="15" t="s">
        <v>2901</v>
      </c>
      <c r="I665" s="14"/>
      <c r="J665" s="14"/>
      <c r="K665" s="14"/>
      <c r="L665" s="14" t="s">
        <v>111</v>
      </c>
      <c r="M665" s="14" t="s">
        <v>13</v>
      </c>
      <c r="N665" s="14" t="b">
        <v>1</v>
      </c>
      <c r="O665" s="13" t="s">
        <v>2902</v>
      </c>
      <c r="P665" s="13" t="s">
        <v>42</v>
      </c>
      <c r="Q665" s="14"/>
      <c r="R665" s="14"/>
      <c r="S665" s="14" t="s">
        <v>2903</v>
      </c>
      <c r="T665" s="13" t="s">
        <v>229</v>
      </c>
      <c r="U665" s="17"/>
      <c r="V665" s="14"/>
      <c r="W665" s="14"/>
      <c r="X665" s="18"/>
      <c r="Y665" s="18"/>
      <c r="Z665" s="18"/>
      <c r="AA665" s="19">
        <f t="shared" si="1"/>
        <v>8</v>
      </c>
      <c r="AB665" s="19" t="str">
        <f t="shared" si="2"/>
        <v/>
      </c>
    </row>
    <row r="666" ht="15.75" customHeight="1">
      <c r="A666" s="12">
        <v>45164.0</v>
      </c>
      <c r="B666" s="13" t="s">
        <v>28</v>
      </c>
      <c r="C666" s="14" t="s">
        <v>2904</v>
      </c>
      <c r="D666" s="14" t="s">
        <v>2905</v>
      </c>
      <c r="E666" s="14"/>
      <c r="F666" s="14"/>
      <c r="G666" s="14"/>
      <c r="H666" s="15" t="s">
        <v>2906</v>
      </c>
      <c r="I666" s="14"/>
      <c r="J666" s="14"/>
      <c r="K666" s="14" t="s">
        <v>2907</v>
      </c>
      <c r="L666" s="14" t="s">
        <v>111</v>
      </c>
      <c r="M666" s="14" t="s">
        <v>216</v>
      </c>
      <c r="N666" s="14" t="b">
        <v>0</v>
      </c>
      <c r="O666" s="14"/>
      <c r="P666" s="14"/>
      <c r="Q666" s="14"/>
      <c r="R666" s="14"/>
      <c r="S666" s="14" t="s">
        <v>2908</v>
      </c>
      <c r="T666" s="14" t="s">
        <v>36</v>
      </c>
      <c r="U666" s="17"/>
      <c r="V666" s="14"/>
      <c r="W666" s="14"/>
      <c r="X666" s="18"/>
      <c r="Y666" s="18"/>
      <c r="Z666" s="18"/>
      <c r="AA666" s="19">
        <f t="shared" si="1"/>
        <v>8</v>
      </c>
      <c r="AB666" s="19" t="str">
        <f t="shared" si="2"/>
        <v/>
      </c>
    </row>
    <row r="667" ht="15.75" customHeight="1">
      <c r="A667" s="12">
        <v>45164.0</v>
      </c>
      <c r="B667" s="13" t="s">
        <v>28</v>
      </c>
      <c r="C667" s="15" t="s">
        <v>2909</v>
      </c>
      <c r="D667" s="15" t="s">
        <v>2910</v>
      </c>
      <c r="E667" s="56" t="s">
        <v>2911</v>
      </c>
      <c r="F667" s="15"/>
      <c r="G667" s="15"/>
      <c r="H667" s="42" t="s">
        <v>2912</v>
      </c>
      <c r="I667" s="15"/>
      <c r="J667" s="15"/>
      <c r="K667" s="15"/>
      <c r="L667" s="14" t="s">
        <v>111</v>
      </c>
      <c r="M667" s="14" t="s">
        <v>13</v>
      </c>
      <c r="N667" s="14" t="b">
        <v>1</v>
      </c>
      <c r="O667" s="196" t="s">
        <v>2913</v>
      </c>
      <c r="P667" s="13" t="s">
        <v>42</v>
      </c>
      <c r="Q667" s="14"/>
      <c r="R667" s="14"/>
      <c r="S667" s="14" t="s">
        <v>2914</v>
      </c>
      <c r="T667" s="13" t="s">
        <v>129</v>
      </c>
      <c r="U667" s="17"/>
      <c r="V667" s="14"/>
      <c r="W667" s="14"/>
      <c r="X667" s="18"/>
      <c r="Y667" s="18"/>
      <c r="Z667" s="18"/>
      <c r="AA667" s="19">
        <f t="shared" si="1"/>
        <v>8</v>
      </c>
      <c r="AB667" s="19" t="str">
        <f t="shared" si="2"/>
        <v/>
      </c>
    </row>
    <row r="668" ht="15.75" customHeight="1">
      <c r="A668" s="12">
        <v>45165.0</v>
      </c>
      <c r="B668" s="13" t="s">
        <v>28</v>
      </c>
      <c r="C668" s="14" t="s">
        <v>2915</v>
      </c>
      <c r="D668" s="14"/>
      <c r="E668" s="14"/>
      <c r="F668" s="14"/>
      <c r="G668" s="14"/>
      <c r="H668" s="15" t="s">
        <v>2916</v>
      </c>
      <c r="I668" s="14"/>
      <c r="J668" s="14"/>
      <c r="K668" s="13" t="s">
        <v>2917</v>
      </c>
      <c r="L668" s="14" t="s">
        <v>111</v>
      </c>
      <c r="M668" s="14" t="s">
        <v>565</v>
      </c>
      <c r="N668" s="14" t="b">
        <v>0</v>
      </c>
      <c r="O668" s="14"/>
      <c r="P668" s="14"/>
      <c r="Q668" s="14"/>
      <c r="R668" s="14"/>
      <c r="S668" s="14" t="s">
        <v>2918</v>
      </c>
      <c r="T668" s="14" t="s">
        <v>36</v>
      </c>
      <c r="U668" s="17"/>
      <c r="V668" s="32">
        <v>45183.0</v>
      </c>
      <c r="W668" s="24" t="s">
        <v>575</v>
      </c>
      <c r="X668" s="25">
        <v>3062000.0</v>
      </c>
      <c r="Y668" s="25">
        <v>398000.0</v>
      </c>
      <c r="Z668" s="25">
        <v>2664000.0</v>
      </c>
      <c r="AA668" s="19">
        <f t="shared" si="1"/>
        <v>8</v>
      </c>
      <c r="AB668" s="19" t="str">
        <f t="shared" si="2"/>
        <v/>
      </c>
    </row>
    <row r="669" ht="15.75" customHeight="1">
      <c r="A669" s="26">
        <v>45165.0</v>
      </c>
      <c r="B669" s="13" t="s">
        <v>28</v>
      </c>
      <c r="C669" s="27" t="s">
        <v>2919</v>
      </c>
      <c r="D669" s="27" t="s">
        <v>2920</v>
      </c>
      <c r="E669" s="24">
        <v>8.0</v>
      </c>
      <c r="F669" s="27">
        <v>3.0</v>
      </c>
      <c r="G669" s="27"/>
      <c r="H669" s="34" t="s">
        <v>2921</v>
      </c>
      <c r="I669" s="27"/>
      <c r="J669" s="27"/>
      <c r="K669" s="27"/>
      <c r="L669" s="27" t="s">
        <v>111</v>
      </c>
      <c r="M669" s="27" t="s">
        <v>67</v>
      </c>
      <c r="N669" s="14" t="b">
        <v>1</v>
      </c>
      <c r="O669" s="24" t="s">
        <v>2922</v>
      </c>
      <c r="P669" s="13" t="s">
        <v>69</v>
      </c>
      <c r="Q669" s="24" t="s">
        <v>91</v>
      </c>
      <c r="R669" s="27"/>
      <c r="S669" s="27" t="s">
        <v>2923</v>
      </c>
      <c r="T669" s="24" t="s">
        <v>72</v>
      </c>
      <c r="U669" s="26"/>
      <c r="V669" s="14"/>
      <c r="W669" s="14"/>
      <c r="X669" s="18"/>
      <c r="Y669" s="18"/>
      <c r="Z669" s="18"/>
      <c r="AA669" s="19">
        <f t="shared" si="1"/>
        <v>8</v>
      </c>
      <c r="AB669" s="19">
        <f t="shared" si="2"/>
        <v>9</v>
      </c>
    </row>
    <row r="670" ht="15.75" customHeight="1">
      <c r="A670" s="12">
        <v>45166.0</v>
      </c>
      <c r="B670" s="13" t="s">
        <v>28</v>
      </c>
      <c r="C670" s="14"/>
      <c r="D670" s="14" t="s">
        <v>2924</v>
      </c>
      <c r="E670" s="13">
        <v>10.0</v>
      </c>
      <c r="F670" s="14"/>
      <c r="G670" s="14"/>
      <c r="H670" s="15">
        <v>9.03926853E8</v>
      </c>
      <c r="I670" s="14"/>
      <c r="J670" s="14"/>
      <c r="K670" s="14" t="s">
        <v>2925</v>
      </c>
      <c r="L670" s="14" t="s">
        <v>111</v>
      </c>
      <c r="M670" s="14" t="s">
        <v>34</v>
      </c>
      <c r="N670" s="14" t="b">
        <v>0</v>
      </c>
      <c r="O670" s="14"/>
      <c r="P670" s="14"/>
      <c r="Q670" s="14"/>
      <c r="R670" s="14"/>
      <c r="S670" s="14" t="s">
        <v>2926</v>
      </c>
      <c r="T670" s="14" t="s">
        <v>36</v>
      </c>
      <c r="U670" s="17"/>
      <c r="V670" s="14"/>
      <c r="W670" s="14"/>
      <c r="X670" s="18"/>
      <c r="Y670" s="18"/>
      <c r="Z670" s="18"/>
      <c r="AA670" s="19">
        <f t="shared" si="1"/>
        <v>8</v>
      </c>
      <c r="AB670" s="19" t="str">
        <f t="shared" si="2"/>
        <v/>
      </c>
    </row>
    <row r="671" ht="15.75" customHeight="1">
      <c r="A671" s="12">
        <v>45166.0</v>
      </c>
      <c r="B671" s="13" t="s">
        <v>28</v>
      </c>
      <c r="C671" s="14" t="s">
        <v>2927</v>
      </c>
      <c r="D671" s="14"/>
      <c r="E671" s="14"/>
      <c r="F671" s="14"/>
      <c r="G671" s="14"/>
      <c r="H671" s="15" t="s">
        <v>2928</v>
      </c>
      <c r="I671" s="14"/>
      <c r="J671" s="14"/>
      <c r="K671" s="14" t="s">
        <v>2929</v>
      </c>
      <c r="L671" s="14" t="s">
        <v>111</v>
      </c>
      <c r="M671" s="14" t="s">
        <v>565</v>
      </c>
      <c r="N671" s="14" t="b">
        <v>0</v>
      </c>
      <c r="O671" s="14"/>
      <c r="P671" s="14"/>
      <c r="Q671" s="14"/>
      <c r="R671" s="14"/>
      <c r="S671" s="14" t="s">
        <v>2930</v>
      </c>
      <c r="T671" s="14" t="s">
        <v>36</v>
      </c>
      <c r="U671" s="17"/>
      <c r="V671" s="14"/>
      <c r="W671" s="14"/>
      <c r="X671" s="18"/>
      <c r="Y671" s="18"/>
      <c r="Z671" s="18"/>
      <c r="AA671" s="19">
        <f t="shared" si="1"/>
        <v>8</v>
      </c>
      <c r="AB671" s="19" t="str">
        <f t="shared" si="2"/>
        <v/>
      </c>
    </row>
    <row r="672" ht="15.75" customHeight="1">
      <c r="A672" s="12">
        <v>45166.0</v>
      </c>
      <c r="B672" s="13" t="s">
        <v>28</v>
      </c>
      <c r="C672" s="14" t="s">
        <v>2931</v>
      </c>
      <c r="D672" s="14"/>
      <c r="E672" s="14"/>
      <c r="F672" s="14"/>
      <c r="G672" s="14"/>
      <c r="H672" s="15" t="s">
        <v>2932</v>
      </c>
      <c r="I672" s="14"/>
      <c r="J672" s="14"/>
      <c r="K672" s="14"/>
      <c r="L672" s="14" t="s">
        <v>111</v>
      </c>
      <c r="M672" s="14" t="s">
        <v>565</v>
      </c>
      <c r="N672" s="14" t="b">
        <v>0</v>
      </c>
      <c r="O672" s="14"/>
      <c r="P672" s="14"/>
      <c r="Q672" s="14"/>
      <c r="R672" s="14"/>
      <c r="S672" s="14" t="s">
        <v>2933</v>
      </c>
      <c r="T672" s="14" t="s">
        <v>36</v>
      </c>
      <c r="U672" s="17"/>
      <c r="V672" s="14"/>
      <c r="W672" s="14"/>
      <c r="X672" s="18"/>
      <c r="Y672" s="18"/>
      <c r="Z672" s="18"/>
      <c r="AA672" s="19">
        <f t="shared" si="1"/>
        <v>8</v>
      </c>
      <c r="AB672" s="19" t="str">
        <f t="shared" si="2"/>
        <v/>
      </c>
    </row>
    <row r="673" ht="15.75" customHeight="1">
      <c r="A673" s="12">
        <v>45166.0</v>
      </c>
      <c r="B673" s="13" t="s">
        <v>28</v>
      </c>
      <c r="C673" s="14" t="s">
        <v>2934</v>
      </c>
      <c r="D673" s="14" t="s">
        <v>2935</v>
      </c>
      <c r="E673" s="13">
        <v>8.0</v>
      </c>
      <c r="F673" s="14"/>
      <c r="G673" s="14"/>
      <c r="H673" s="15" t="s">
        <v>2936</v>
      </c>
      <c r="I673" s="14"/>
      <c r="J673" s="197">
        <v>9.12384616E8</v>
      </c>
      <c r="K673" s="14" t="s">
        <v>2937</v>
      </c>
      <c r="L673" s="14" t="s">
        <v>111</v>
      </c>
      <c r="M673" s="14" t="s">
        <v>565</v>
      </c>
      <c r="N673" s="14" t="b">
        <v>0</v>
      </c>
      <c r="O673" s="14"/>
      <c r="P673" s="14"/>
      <c r="Q673" s="14"/>
      <c r="R673" s="14"/>
      <c r="S673" s="14" t="s">
        <v>2938</v>
      </c>
      <c r="T673" s="13" t="s">
        <v>129</v>
      </c>
      <c r="U673" s="17"/>
      <c r="V673" s="14"/>
      <c r="W673" s="14"/>
      <c r="X673" s="18"/>
      <c r="Y673" s="18"/>
      <c r="Z673" s="18"/>
      <c r="AA673" s="19">
        <f t="shared" si="1"/>
        <v>8</v>
      </c>
      <c r="AB673" s="19" t="str">
        <f t="shared" si="2"/>
        <v/>
      </c>
    </row>
    <row r="674" ht="15.75" customHeight="1">
      <c r="A674" s="12">
        <v>45166.0</v>
      </c>
      <c r="B674" s="13" t="s">
        <v>28</v>
      </c>
      <c r="C674" s="14" t="s">
        <v>2939</v>
      </c>
      <c r="D674" s="14"/>
      <c r="E674" s="14"/>
      <c r="F674" s="14"/>
      <c r="G674" s="14"/>
      <c r="H674" s="15" t="s">
        <v>2940</v>
      </c>
      <c r="I674" s="14"/>
      <c r="J674" s="14"/>
      <c r="K674" s="14" t="s">
        <v>2941</v>
      </c>
      <c r="L674" s="14" t="s">
        <v>111</v>
      </c>
      <c r="M674" s="14" t="s">
        <v>216</v>
      </c>
      <c r="N674" s="14" t="b">
        <v>0</v>
      </c>
      <c r="O674" s="14"/>
      <c r="P674" s="14"/>
      <c r="Q674" s="14"/>
      <c r="R674" s="14"/>
      <c r="S674" s="14" t="s">
        <v>2942</v>
      </c>
      <c r="T674" s="13" t="s">
        <v>129</v>
      </c>
      <c r="U674" s="17"/>
      <c r="V674" s="14"/>
      <c r="W674" s="14"/>
      <c r="X674" s="18"/>
      <c r="Y674" s="18"/>
      <c r="Z674" s="18"/>
      <c r="AA674" s="19">
        <f t="shared" si="1"/>
        <v>8</v>
      </c>
      <c r="AB674" s="19" t="str">
        <f t="shared" si="2"/>
        <v/>
      </c>
    </row>
    <row r="675" ht="15.75" customHeight="1">
      <c r="A675" s="12">
        <v>45167.0</v>
      </c>
      <c r="B675" s="13" t="s">
        <v>28</v>
      </c>
      <c r="C675" s="14" t="s">
        <v>2943</v>
      </c>
      <c r="D675" s="14"/>
      <c r="E675" s="14"/>
      <c r="F675" s="14"/>
      <c r="G675" s="14"/>
      <c r="H675" s="15" t="s">
        <v>2944</v>
      </c>
      <c r="I675" s="14"/>
      <c r="J675" s="14"/>
      <c r="K675" s="14" t="s">
        <v>2941</v>
      </c>
      <c r="L675" s="14" t="s">
        <v>111</v>
      </c>
      <c r="M675" s="14" t="s">
        <v>216</v>
      </c>
      <c r="N675" s="14" t="b">
        <v>0</v>
      </c>
      <c r="O675" s="14"/>
      <c r="P675" s="14"/>
      <c r="Q675" s="14"/>
      <c r="R675" s="14"/>
      <c r="S675" s="14" t="s">
        <v>2942</v>
      </c>
      <c r="T675" s="13" t="s">
        <v>129</v>
      </c>
      <c r="U675" s="17"/>
      <c r="V675" s="14"/>
      <c r="W675" s="14"/>
      <c r="X675" s="18"/>
      <c r="Y675" s="18"/>
      <c r="Z675" s="18"/>
      <c r="AA675" s="19">
        <f t="shared" si="1"/>
        <v>8</v>
      </c>
      <c r="AB675" s="19" t="str">
        <f t="shared" si="2"/>
        <v/>
      </c>
    </row>
    <row r="676" ht="15.75" customHeight="1">
      <c r="A676" s="12">
        <v>45167.0</v>
      </c>
      <c r="B676" s="13" t="s">
        <v>28</v>
      </c>
      <c r="C676" s="14" t="s">
        <v>2945</v>
      </c>
      <c r="D676" s="14" t="s">
        <v>2946</v>
      </c>
      <c r="E676" s="13">
        <v>11.0</v>
      </c>
      <c r="F676" s="14">
        <v>6.0</v>
      </c>
      <c r="G676" s="14"/>
      <c r="H676" s="15" t="s">
        <v>2947</v>
      </c>
      <c r="I676" s="14"/>
      <c r="J676" s="14"/>
      <c r="K676" s="14"/>
      <c r="L676" s="14" t="s">
        <v>111</v>
      </c>
      <c r="M676" s="14" t="s">
        <v>13</v>
      </c>
      <c r="N676" s="14" t="b">
        <v>1</v>
      </c>
      <c r="O676" s="13" t="s">
        <v>2948</v>
      </c>
      <c r="P676" s="13" t="s">
        <v>42</v>
      </c>
      <c r="Q676" s="14"/>
      <c r="R676" s="14"/>
      <c r="S676" s="14" t="s">
        <v>2949</v>
      </c>
      <c r="T676" s="13" t="s">
        <v>129</v>
      </c>
      <c r="U676" s="17"/>
      <c r="V676" s="14"/>
      <c r="W676" s="14"/>
      <c r="X676" s="18"/>
      <c r="Y676" s="18"/>
      <c r="Z676" s="18"/>
      <c r="AA676" s="19">
        <f t="shared" si="1"/>
        <v>8</v>
      </c>
      <c r="AB676" s="19" t="str">
        <f t="shared" si="2"/>
        <v/>
      </c>
    </row>
    <row r="677" ht="15.75" customHeight="1">
      <c r="A677" s="12">
        <v>45167.0</v>
      </c>
      <c r="B677" s="13" t="s">
        <v>28</v>
      </c>
      <c r="C677" s="14" t="s">
        <v>2945</v>
      </c>
      <c r="D677" s="14" t="s">
        <v>2950</v>
      </c>
      <c r="E677" s="13">
        <v>9.0</v>
      </c>
      <c r="F677" s="14">
        <v>4.0</v>
      </c>
      <c r="G677" s="14"/>
      <c r="H677" s="15" t="s">
        <v>2947</v>
      </c>
      <c r="I677" s="14"/>
      <c r="J677" s="14"/>
      <c r="K677" s="14"/>
      <c r="L677" s="14" t="s">
        <v>111</v>
      </c>
      <c r="M677" s="14" t="s">
        <v>13</v>
      </c>
      <c r="N677" s="14" t="b">
        <v>1</v>
      </c>
      <c r="O677" s="13" t="s">
        <v>2951</v>
      </c>
      <c r="P677" s="13" t="s">
        <v>42</v>
      </c>
      <c r="Q677" s="14"/>
      <c r="R677" s="14"/>
      <c r="S677" s="14" t="s">
        <v>2949</v>
      </c>
      <c r="T677" s="13" t="s">
        <v>129</v>
      </c>
      <c r="U677" s="17"/>
      <c r="V677" s="14"/>
      <c r="W677" s="14"/>
      <c r="X677" s="18"/>
      <c r="Y677" s="18"/>
      <c r="Z677" s="18"/>
      <c r="AA677" s="19">
        <f t="shared" si="1"/>
        <v>8</v>
      </c>
      <c r="AB677" s="19" t="str">
        <f t="shared" si="2"/>
        <v/>
      </c>
    </row>
    <row r="678" ht="15.75" customHeight="1">
      <c r="A678" s="12">
        <v>45168.0</v>
      </c>
      <c r="B678" s="13" t="s">
        <v>28</v>
      </c>
      <c r="C678" s="14" t="s">
        <v>2952</v>
      </c>
      <c r="D678" s="14"/>
      <c r="E678" s="14"/>
      <c r="F678" s="14"/>
      <c r="G678" s="14"/>
      <c r="H678" s="15" t="s">
        <v>2953</v>
      </c>
      <c r="I678" s="14"/>
      <c r="J678" s="14"/>
      <c r="K678" s="14"/>
      <c r="L678" s="14" t="s">
        <v>111</v>
      </c>
      <c r="M678" s="14" t="s">
        <v>565</v>
      </c>
      <c r="N678" s="14" t="b">
        <v>0</v>
      </c>
      <c r="O678" s="14"/>
      <c r="P678" s="14"/>
      <c r="Q678" s="14"/>
      <c r="R678" s="14"/>
      <c r="S678" s="14" t="s">
        <v>2954</v>
      </c>
      <c r="T678" s="13" t="s">
        <v>129</v>
      </c>
      <c r="U678" s="17"/>
      <c r="V678" s="32">
        <v>45177.0</v>
      </c>
      <c r="W678" s="24" t="s">
        <v>83</v>
      </c>
      <c r="X678" s="25">
        <v>3062000.0</v>
      </c>
      <c r="Y678" s="25">
        <v>398000.0</v>
      </c>
      <c r="Z678" s="25">
        <v>2664000.0</v>
      </c>
      <c r="AA678" s="19">
        <f t="shared" si="1"/>
        <v>8</v>
      </c>
      <c r="AB678" s="19" t="str">
        <f t="shared" si="2"/>
        <v/>
      </c>
    </row>
    <row r="679" ht="15.75" customHeight="1">
      <c r="A679" s="26">
        <v>45169.0</v>
      </c>
      <c r="B679" s="13" t="s">
        <v>28</v>
      </c>
      <c r="C679" s="27" t="s">
        <v>2955</v>
      </c>
      <c r="D679" s="27" t="s">
        <v>2956</v>
      </c>
      <c r="E679" s="24">
        <v>9.0</v>
      </c>
      <c r="F679" s="27">
        <v>4.0</v>
      </c>
      <c r="G679" s="27"/>
      <c r="H679" s="34" t="s">
        <v>2957</v>
      </c>
      <c r="I679" s="27"/>
      <c r="J679" s="27"/>
      <c r="K679" s="27"/>
      <c r="L679" s="27" t="s">
        <v>111</v>
      </c>
      <c r="M679" s="27" t="s">
        <v>67</v>
      </c>
      <c r="N679" s="14" t="b">
        <v>1</v>
      </c>
      <c r="O679" s="24" t="s">
        <v>2958</v>
      </c>
      <c r="P679" s="13" t="s">
        <v>42</v>
      </c>
      <c r="Q679" s="24" t="s">
        <v>91</v>
      </c>
      <c r="R679" s="27"/>
      <c r="S679" s="27" t="s">
        <v>2959</v>
      </c>
      <c r="T679" s="24" t="s">
        <v>72</v>
      </c>
      <c r="U679" s="26"/>
      <c r="V679" s="14"/>
      <c r="W679" s="14"/>
      <c r="X679" s="18"/>
      <c r="Y679" s="18"/>
      <c r="Z679" s="18"/>
      <c r="AA679" s="19">
        <f t="shared" si="1"/>
        <v>8</v>
      </c>
      <c r="AB679" s="19">
        <f t="shared" si="2"/>
        <v>9</v>
      </c>
    </row>
    <row r="680" ht="15.75" customHeight="1">
      <c r="A680" s="12">
        <v>45170.0</v>
      </c>
      <c r="B680" s="13" t="s">
        <v>28</v>
      </c>
      <c r="C680" s="14" t="s">
        <v>2960</v>
      </c>
      <c r="D680" s="14"/>
      <c r="E680" s="14"/>
      <c r="F680" s="14"/>
      <c r="G680" s="14"/>
      <c r="H680" s="15" t="s">
        <v>2961</v>
      </c>
      <c r="I680" s="14"/>
      <c r="J680" s="14"/>
      <c r="K680" s="14"/>
      <c r="L680" s="14" t="s">
        <v>111</v>
      </c>
      <c r="M680" s="14" t="s">
        <v>216</v>
      </c>
      <c r="N680" s="14" t="b">
        <v>0</v>
      </c>
      <c r="O680" s="14"/>
      <c r="P680" s="14"/>
      <c r="Q680" s="14"/>
      <c r="R680" s="14"/>
      <c r="S680" s="14" t="s">
        <v>2962</v>
      </c>
      <c r="T680" s="13" t="s">
        <v>129</v>
      </c>
      <c r="U680" s="17"/>
      <c r="V680" s="32">
        <v>45181.0</v>
      </c>
      <c r="W680" s="24" t="s">
        <v>130</v>
      </c>
      <c r="X680" s="25">
        <v>3062000.0</v>
      </c>
      <c r="Y680" s="25">
        <v>398000.0</v>
      </c>
      <c r="Z680" s="25">
        <v>2664000.0</v>
      </c>
      <c r="AA680" s="19">
        <f t="shared" si="1"/>
        <v>9</v>
      </c>
      <c r="AB680" s="19" t="str">
        <f t="shared" si="2"/>
        <v/>
      </c>
    </row>
    <row r="681" ht="15.75" customHeight="1">
      <c r="A681" s="26">
        <v>45171.0</v>
      </c>
      <c r="B681" s="27" t="s">
        <v>84</v>
      </c>
      <c r="C681" s="27" t="s">
        <v>2963</v>
      </c>
      <c r="D681" s="27" t="s">
        <v>2964</v>
      </c>
      <c r="E681" s="24">
        <v>8.0</v>
      </c>
      <c r="F681" s="27">
        <v>3.0</v>
      </c>
      <c r="G681" s="27"/>
      <c r="H681" s="34" t="s">
        <v>2965</v>
      </c>
      <c r="I681" s="27"/>
      <c r="J681" s="27"/>
      <c r="K681" s="27" t="s">
        <v>2966</v>
      </c>
      <c r="L681" s="27" t="s">
        <v>111</v>
      </c>
      <c r="M681" s="27" t="s">
        <v>67</v>
      </c>
      <c r="N681" s="14" t="b">
        <v>1</v>
      </c>
      <c r="O681" s="24" t="s">
        <v>2967</v>
      </c>
      <c r="P681" s="13" t="s">
        <v>69</v>
      </c>
      <c r="Q681" s="24" t="s">
        <v>91</v>
      </c>
      <c r="R681" s="27"/>
      <c r="S681" s="27" t="s">
        <v>2968</v>
      </c>
      <c r="T681" s="24" t="s">
        <v>72</v>
      </c>
      <c r="U681" s="26">
        <v>45176.0</v>
      </c>
      <c r="V681" s="32">
        <v>45178.0</v>
      </c>
      <c r="W681" s="24" t="s">
        <v>862</v>
      </c>
      <c r="X681" s="25">
        <v>5116000.0</v>
      </c>
      <c r="Y681" s="25">
        <v>767000.0</v>
      </c>
      <c r="Z681" s="25">
        <v>4349000.0</v>
      </c>
      <c r="AA681" s="19">
        <f t="shared" si="1"/>
        <v>9</v>
      </c>
      <c r="AB681" s="19">
        <f t="shared" si="2"/>
        <v>9</v>
      </c>
    </row>
    <row r="682" ht="15.75" customHeight="1">
      <c r="A682" s="26">
        <v>45174.0</v>
      </c>
      <c r="B682" s="27" t="s">
        <v>201</v>
      </c>
      <c r="C682" s="24" t="s">
        <v>2969</v>
      </c>
      <c r="D682" s="27" t="s">
        <v>2970</v>
      </c>
      <c r="E682" s="27"/>
      <c r="F682" s="27"/>
      <c r="G682" s="27"/>
      <c r="H682" s="34" t="s">
        <v>2971</v>
      </c>
      <c r="I682" s="27"/>
      <c r="J682" s="27"/>
      <c r="K682" s="27" t="s">
        <v>2972</v>
      </c>
      <c r="L682" s="27" t="s">
        <v>111</v>
      </c>
      <c r="M682" s="27" t="s">
        <v>67</v>
      </c>
      <c r="N682" s="14" t="b">
        <v>1</v>
      </c>
      <c r="O682" s="27" t="s">
        <v>2973</v>
      </c>
      <c r="P682" s="13" t="s">
        <v>42</v>
      </c>
      <c r="Q682" s="24" t="s">
        <v>238</v>
      </c>
      <c r="R682" s="27"/>
      <c r="S682" s="27" t="s">
        <v>2974</v>
      </c>
      <c r="T682" s="24" t="s">
        <v>72</v>
      </c>
      <c r="U682" s="26"/>
      <c r="V682" s="32">
        <v>45176.0</v>
      </c>
      <c r="W682" s="24" t="s">
        <v>1376</v>
      </c>
      <c r="X682" s="25">
        <v>6124000.0</v>
      </c>
      <c r="Y682" s="25">
        <v>796000.0</v>
      </c>
      <c r="Z682" s="25">
        <v>5328000.0</v>
      </c>
      <c r="AA682" s="19">
        <f t="shared" si="1"/>
        <v>9</v>
      </c>
      <c r="AB682" s="19">
        <f t="shared" si="2"/>
        <v>9</v>
      </c>
    </row>
    <row r="683" ht="15.75" customHeight="1">
      <c r="A683" s="26">
        <v>45174.0</v>
      </c>
      <c r="B683" s="13" t="s">
        <v>28</v>
      </c>
      <c r="C683" s="27" t="s">
        <v>2975</v>
      </c>
      <c r="D683" s="27" t="s">
        <v>2976</v>
      </c>
      <c r="E683" s="24">
        <v>11.0</v>
      </c>
      <c r="F683" s="27"/>
      <c r="G683" s="27"/>
      <c r="H683" s="34" t="s">
        <v>2977</v>
      </c>
      <c r="I683" s="27"/>
      <c r="J683" s="27"/>
      <c r="K683" s="183"/>
      <c r="L683" s="27" t="s">
        <v>111</v>
      </c>
      <c r="M683" s="27" t="s">
        <v>67</v>
      </c>
      <c r="N683" s="14" t="b">
        <v>1</v>
      </c>
      <c r="O683" s="24" t="s">
        <v>2978</v>
      </c>
      <c r="P683" s="13" t="s">
        <v>42</v>
      </c>
      <c r="Q683" s="24" t="s">
        <v>91</v>
      </c>
      <c r="R683" s="27"/>
      <c r="S683" s="27" t="s">
        <v>2979</v>
      </c>
      <c r="T683" s="24" t="s">
        <v>72</v>
      </c>
      <c r="U683" s="26"/>
      <c r="V683" s="14"/>
      <c r="W683" s="14"/>
      <c r="X683" s="18"/>
      <c r="Y683" s="18"/>
      <c r="Z683" s="18"/>
      <c r="AA683" s="19">
        <f t="shared" si="1"/>
        <v>9</v>
      </c>
      <c r="AB683" s="19">
        <f t="shared" si="2"/>
        <v>9</v>
      </c>
    </row>
    <row r="684" ht="15.75" customHeight="1">
      <c r="A684" s="12">
        <v>45175.0</v>
      </c>
      <c r="B684" s="13" t="s">
        <v>28</v>
      </c>
      <c r="C684" s="14" t="s">
        <v>2980</v>
      </c>
      <c r="D684" s="14" t="s">
        <v>2981</v>
      </c>
      <c r="E684" s="13">
        <v>11.0</v>
      </c>
      <c r="F684" s="14">
        <v>6.0</v>
      </c>
      <c r="G684" s="14"/>
      <c r="H684" s="15" t="s">
        <v>2982</v>
      </c>
      <c r="I684" s="14"/>
      <c r="J684" s="14"/>
      <c r="K684" s="14" t="s">
        <v>2983</v>
      </c>
      <c r="L684" s="14" t="s">
        <v>111</v>
      </c>
      <c r="M684" s="14" t="s">
        <v>565</v>
      </c>
      <c r="N684" s="14" t="b">
        <v>0</v>
      </c>
      <c r="O684" s="14"/>
      <c r="P684" s="14"/>
      <c r="Q684" s="14"/>
      <c r="R684" s="14"/>
      <c r="S684" s="14" t="s">
        <v>2984</v>
      </c>
      <c r="T684" s="13" t="s">
        <v>129</v>
      </c>
      <c r="U684" s="17"/>
      <c r="V684" s="14"/>
      <c r="W684" s="14"/>
      <c r="X684" s="18"/>
      <c r="Y684" s="18"/>
      <c r="Z684" s="18"/>
      <c r="AA684" s="19">
        <f t="shared" si="1"/>
        <v>9</v>
      </c>
      <c r="AB684" s="19" t="str">
        <f t="shared" si="2"/>
        <v/>
      </c>
    </row>
    <row r="685" ht="15.75" customHeight="1">
      <c r="A685" s="12">
        <v>45175.0</v>
      </c>
      <c r="B685" s="13" t="s">
        <v>28</v>
      </c>
      <c r="C685" s="198"/>
      <c r="D685" s="14" t="s">
        <v>2985</v>
      </c>
      <c r="E685" s="13">
        <v>11.0</v>
      </c>
      <c r="F685" s="14"/>
      <c r="G685" s="14"/>
      <c r="H685" s="15" t="s">
        <v>2986</v>
      </c>
      <c r="I685" s="14"/>
      <c r="J685" s="14"/>
      <c r="K685" s="14" t="s">
        <v>2987</v>
      </c>
      <c r="L685" s="14" t="s">
        <v>111</v>
      </c>
      <c r="M685" s="14" t="s">
        <v>216</v>
      </c>
      <c r="N685" s="14" t="b">
        <v>0</v>
      </c>
      <c r="O685" s="14"/>
      <c r="P685" s="14"/>
      <c r="Q685" s="14"/>
      <c r="R685" s="14"/>
      <c r="S685" s="199" t="s">
        <v>2988</v>
      </c>
      <c r="T685" s="14" t="s">
        <v>36</v>
      </c>
      <c r="U685" s="17"/>
      <c r="V685" s="14"/>
      <c r="W685" s="14"/>
      <c r="X685" s="18"/>
      <c r="Y685" s="18"/>
      <c r="Z685" s="18"/>
      <c r="AA685" s="19">
        <f t="shared" si="1"/>
        <v>9</v>
      </c>
      <c r="AB685" s="19" t="str">
        <f t="shared" si="2"/>
        <v/>
      </c>
    </row>
    <row r="686" ht="15.75" customHeight="1">
      <c r="A686" s="12">
        <v>45175.0</v>
      </c>
      <c r="B686" s="14" t="s">
        <v>84</v>
      </c>
      <c r="C686" s="14" t="s">
        <v>2989</v>
      </c>
      <c r="D686" s="14" t="s">
        <v>2990</v>
      </c>
      <c r="E686" s="142"/>
      <c r="F686" s="14"/>
      <c r="G686" s="14"/>
      <c r="H686" s="15" t="s">
        <v>2991</v>
      </c>
      <c r="I686" s="14"/>
      <c r="J686" s="14"/>
      <c r="K686" s="14" t="s">
        <v>2992</v>
      </c>
      <c r="L686" s="14" t="s">
        <v>111</v>
      </c>
      <c r="M686" s="14" t="s">
        <v>34</v>
      </c>
      <c r="N686" s="14" t="b">
        <v>0</v>
      </c>
      <c r="O686" s="14"/>
      <c r="P686" s="14"/>
      <c r="Q686" s="14"/>
      <c r="R686" s="14"/>
      <c r="S686" s="199" t="s">
        <v>2993</v>
      </c>
      <c r="T686" s="14" t="s">
        <v>36</v>
      </c>
      <c r="U686" s="17"/>
      <c r="V686" s="32">
        <v>45177.0</v>
      </c>
      <c r="W686" s="24" t="s">
        <v>130</v>
      </c>
      <c r="X686" s="25">
        <v>3062000.0</v>
      </c>
      <c r="Y686" s="25">
        <v>398000.0</v>
      </c>
      <c r="Z686" s="25">
        <v>2664000.0</v>
      </c>
      <c r="AA686" s="19">
        <f t="shared" si="1"/>
        <v>9</v>
      </c>
      <c r="AB686" s="19" t="str">
        <f t="shared" si="2"/>
        <v/>
      </c>
    </row>
    <row r="687" ht="15.75" customHeight="1">
      <c r="A687" s="26">
        <v>45175.0</v>
      </c>
      <c r="B687" s="27" t="s">
        <v>60</v>
      </c>
      <c r="C687" s="24" t="s">
        <v>2994</v>
      </c>
      <c r="D687" s="24" t="s">
        <v>2995</v>
      </c>
      <c r="E687" s="24">
        <v>11.0</v>
      </c>
      <c r="F687" s="27">
        <v>6.0</v>
      </c>
      <c r="G687" s="27"/>
      <c r="H687" s="34" t="s">
        <v>2996</v>
      </c>
      <c r="I687" s="27"/>
      <c r="J687" s="27"/>
      <c r="K687" s="27" t="s">
        <v>2997</v>
      </c>
      <c r="L687" s="27" t="s">
        <v>111</v>
      </c>
      <c r="M687" s="27" t="s">
        <v>67</v>
      </c>
      <c r="N687" s="14" t="b">
        <v>1</v>
      </c>
      <c r="O687" s="24" t="s">
        <v>2998</v>
      </c>
      <c r="P687" s="13" t="s">
        <v>69</v>
      </c>
      <c r="Q687" s="24" t="s">
        <v>91</v>
      </c>
      <c r="R687" s="27"/>
      <c r="S687" s="200" t="s">
        <v>2999</v>
      </c>
      <c r="T687" s="24" t="s">
        <v>72</v>
      </c>
      <c r="U687" s="26"/>
      <c r="V687" s="32">
        <v>45178.0</v>
      </c>
      <c r="W687" s="24" t="s">
        <v>575</v>
      </c>
      <c r="X687" s="25">
        <v>3062000.0</v>
      </c>
      <c r="Y687" s="25">
        <v>398000.0</v>
      </c>
      <c r="Z687" s="25">
        <v>2664000.0</v>
      </c>
      <c r="AA687" s="19">
        <f t="shared" si="1"/>
        <v>9</v>
      </c>
      <c r="AB687" s="19">
        <f t="shared" si="2"/>
        <v>9</v>
      </c>
    </row>
    <row r="688" ht="15.75" customHeight="1">
      <c r="A688" s="26">
        <v>45175.0</v>
      </c>
      <c r="B688" s="13" t="s">
        <v>28</v>
      </c>
      <c r="C688" s="27" t="s">
        <v>3000</v>
      </c>
      <c r="D688" s="27" t="s">
        <v>3001</v>
      </c>
      <c r="E688" s="24">
        <v>8.0</v>
      </c>
      <c r="F688" s="27">
        <v>3.0</v>
      </c>
      <c r="G688" s="27"/>
      <c r="H688" s="34" t="s">
        <v>3002</v>
      </c>
      <c r="I688" s="27"/>
      <c r="J688" s="27"/>
      <c r="K688" s="24" t="s">
        <v>91</v>
      </c>
      <c r="L688" s="27" t="s">
        <v>111</v>
      </c>
      <c r="M688" s="27" t="s">
        <v>67</v>
      </c>
      <c r="N688" s="14" t="b">
        <v>1</v>
      </c>
      <c r="O688" s="24" t="s">
        <v>3003</v>
      </c>
      <c r="P688" s="13" t="s">
        <v>69</v>
      </c>
      <c r="Q688" s="24" t="s">
        <v>91</v>
      </c>
      <c r="R688" s="27"/>
      <c r="S688" s="200" t="s">
        <v>3004</v>
      </c>
      <c r="T688" s="24" t="s">
        <v>72</v>
      </c>
      <c r="U688" s="26"/>
      <c r="V688" s="14"/>
      <c r="W688" s="14"/>
      <c r="X688" s="18"/>
      <c r="Y688" s="18"/>
      <c r="Z688" s="18"/>
      <c r="AA688" s="19">
        <f t="shared" si="1"/>
        <v>9</v>
      </c>
      <c r="AB688" s="19">
        <f t="shared" si="2"/>
        <v>9</v>
      </c>
    </row>
    <row r="689" ht="15.75" customHeight="1">
      <c r="A689" s="12">
        <v>45175.0</v>
      </c>
      <c r="B689" s="14" t="s">
        <v>73</v>
      </c>
      <c r="C689" s="14" t="s">
        <v>3005</v>
      </c>
      <c r="D689" s="14" t="s">
        <v>3006</v>
      </c>
      <c r="E689" s="13">
        <v>12.0</v>
      </c>
      <c r="F689" s="14">
        <v>7.0</v>
      </c>
      <c r="G689" s="14"/>
      <c r="H689" s="15" t="s">
        <v>3007</v>
      </c>
      <c r="I689" s="14"/>
      <c r="J689" s="14"/>
      <c r="K689" s="14" t="s">
        <v>3008</v>
      </c>
      <c r="L689" s="14" t="s">
        <v>111</v>
      </c>
      <c r="M689" s="14" t="s">
        <v>565</v>
      </c>
      <c r="N689" s="14" t="b">
        <v>0</v>
      </c>
      <c r="O689" s="14"/>
      <c r="P689" s="14"/>
      <c r="Q689" s="14"/>
      <c r="R689" s="14"/>
      <c r="S689" s="199" t="s">
        <v>3009</v>
      </c>
      <c r="T689" s="13" t="s">
        <v>129</v>
      </c>
      <c r="U689" s="17"/>
      <c r="V689" s="14"/>
      <c r="W689" s="14"/>
      <c r="X689" s="18"/>
      <c r="Y689" s="18"/>
      <c r="Z689" s="18"/>
      <c r="AA689" s="19">
        <f t="shared" si="1"/>
        <v>9</v>
      </c>
      <c r="AB689" s="19" t="str">
        <f t="shared" si="2"/>
        <v/>
      </c>
    </row>
    <row r="690" ht="15.75" customHeight="1">
      <c r="A690" s="12">
        <v>45175.0</v>
      </c>
      <c r="B690" s="13" t="s">
        <v>28</v>
      </c>
      <c r="C690" s="14" t="s">
        <v>3010</v>
      </c>
      <c r="D690" s="14" t="s">
        <v>3011</v>
      </c>
      <c r="E690" s="13">
        <v>8.0</v>
      </c>
      <c r="F690" s="14"/>
      <c r="G690" s="14"/>
      <c r="H690" s="15" t="s">
        <v>3012</v>
      </c>
      <c r="I690" s="14"/>
      <c r="J690" s="14"/>
      <c r="K690" s="13" t="s">
        <v>91</v>
      </c>
      <c r="L690" s="14" t="s">
        <v>111</v>
      </c>
      <c r="M690" s="14" t="s">
        <v>13</v>
      </c>
      <c r="N690" s="14" t="b">
        <v>1</v>
      </c>
      <c r="O690" s="56" t="s">
        <v>3013</v>
      </c>
      <c r="P690" s="13" t="s">
        <v>69</v>
      </c>
      <c r="Q690" s="14"/>
      <c r="R690" s="14"/>
      <c r="S690" s="199" t="s">
        <v>3014</v>
      </c>
      <c r="T690" s="14" t="s">
        <v>36</v>
      </c>
      <c r="U690" s="17"/>
      <c r="V690" s="32">
        <v>45178.0</v>
      </c>
      <c r="W690" s="24" t="s">
        <v>575</v>
      </c>
      <c r="X690" s="25">
        <v>6124000.0</v>
      </c>
      <c r="Y690" s="25">
        <v>1102000.0</v>
      </c>
      <c r="Z690" s="25">
        <v>5022000.0</v>
      </c>
      <c r="AA690" s="19">
        <f t="shared" si="1"/>
        <v>9</v>
      </c>
      <c r="AB690" s="19" t="str">
        <f t="shared" si="2"/>
        <v/>
      </c>
    </row>
    <row r="691" ht="15.75" customHeight="1">
      <c r="A691" s="26">
        <v>45175.0</v>
      </c>
      <c r="B691" s="13" t="s">
        <v>28</v>
      </c>
      <c r="C691" s="27" t="s">
        <v>3015</v>
      </c>
      <c r="D691" s="27" t="s">
        <v>3016</v>
      </c>
      <c r="E691" s="24">
        <v>9.0</v>
      </c>
      <c r="F691" s="27">
        <v>4.0</v>
      </c>
      <c r="G691" s="27"/>
      <c r="H691" s="34" t="s">
        <v>3017</v>
      </c>
      <c r="I691" s="27"/>
      <c r="J691" s="27"/>
      <c r="K691" s="24" t="s">
        <v>91</v>
      </c>
      <c r="L691" s="27" t="s">
        <v>111</v>
      </c>
      <c r="M691" s="27" t="s">
        <v>67</v>
      </c>
      <c r="N691" s="14" t="b">
        <v>1</v>
      </c>
      <c r="O691" s="24" t="s">
        <v>3018</v>
      </c>
      <c r="P691" s="13" t="s">
        <v>69</v>
      </c>
      <c r="Q691" s="24" t="s">
        <v>91</v>
      </c>
      <c r="R691" s="27"/>
      <c r="S691" s="200" t="s">
        <v>3019</v>
      </c>
      <c r="T691" s="24" t="s">
        <v>72</v>
      </c>
      <c r="U691" s="26"/>
      <c r="V691" s="32">
        <v>45184.0</v>
      </c>
      <c r="W691" s="24" t="s">
        <v>311</v>
      </c>
      <c r="X691" s="25">
        <v>6124000.0</v>
      </c>
      <c r="Y691" s="25">
        <v>796000.0</v>
      </c>
      <c r="Z691" s="25">
        <v>5328000.0</v>
      </c>
      <c r="AA691" s="19">
        <f t="shared" si="1"/>
        <v>9</v>
      </c>
      <c r="AB691" s="19">
        <f t="shared" si="2"/>
        <v>9</v>
      </c>
    </row>
    <row r="692" ht="15.75" customHeight="1">
      <c r="A692" s="26">
        <v>45176.0</v>
      </c>
      <c r="B692" s="27" t="s">
        <v>201</v>
      </c>
      <c r="C692" s="27" t="s">
        <v>3020</v>
      </c>
      <c r="D692" s="27" t="s">
        <v>3021</v>
      </c>
      <c r="E692" s="24">
        <v>6.0</v>
      </c>
      <c r="F692" s="27" t="s">
        <v>1073</v>
      </c>
      <c r="G692" s="27"/>
      <c r="H692" s="34" t="s">
        <v>3022</v>
      </c>
      <c r="I692" s="27"/>
      <c r="J692" s="27"/>
      <c r="K692" s="24" t="s">
        <v>91</v>
      </c>
      <c r="L692" s="27" t="s">
        <v>111</v>
      </c>
      <c r="M692" s="27" t="s">
        <v>67</v>
      </c>
      <c r="N692" s="13" t="b">
        <v>1</v>
      </c>
      <c r="O692" s="24" t="s">
        <v>3023</v>
      </c>
      <c r="P692" s="13" t="s">
        <v>69</v>
      </c>
      <c r="Q692" s="24" t="s">
        <v>91</v>
      </c>
      <c r="R692" s="27"/>
      <c r="S692" s="200" t="s">
        <v>3024</v>
      </c>
      <c r="T692" s="24" t="s">
        <v>72</v>
      </c>
      <c r="U692" s="26"/>
      <c r="V692" s="32">
        <v>45179.0</v>
      </c>
      <c r="W692" s="24" t="s">
        <v>1230</v>
      </c>
      <c r="X692" s="25">
        <v>4800000.0</v>
      </c>
      <c r="Y692" s="25">
        <v>624000.0</v>
      </c>
      <c r="Z692" s="25">
        <v>4176000.0</v>
      </c>
      <c r="AA692" s="19">
        <f t="shared" si="1"/>
        <v>9</v>
      </c>
      <c r="AB692" s="19">
        <f t="shared" si="2"/>
        <v>9</v>
      </c>
    </row>
    <row r="693" ht="15.75" customHeight="1">
      <c r="A693" s="26">
        <v>45176.0</v>
      </c>
      <c r="B693" s="13" t="s">
        <v>28</v>
      </c>
      <c r="C693" s="27" t="s">
        <v>2765</v>
      </c>
      <c r="D693" s="27" t="s">
        <v>3025</v>
      </c>
      <c r="E693" s="24">
        <v>10.0</v>
      </c>
      <c r="F693" s="27" t="s">
        <v>474</v>
      </c>
      <c r="G693" s="27"/>
      <c r="H693" s="34" t="s">
        <v>3026</v>
      </c>
      <c r="I693" s="27"/>
      <c r="J693" s="27"/>
      <c r="K693" s="27" t="s">
        <v>3027</v>
      </c>
      <c r="L693" s="27" t="s">
        <v>111</v>
      </c>
      <c r="M693" s="27" t="s">
        <v>67</v>
      </c>
      <c r="N693" s="13" t="b">
        <v>1</v>
      </c>
      <c r="O693" s="24" t="s">
        <v>3028</v>
      </c>
      <c r="P693" s="13" t="s">
        <v>42</v>
      </c>
      <c r="Q693" s="24" t="s">
        <v>1230</v>
      </c>
      <c r="R693" s="27"/>
      <c r="S693" s="200" t="s">
        <v>3029</v>
      </c>
      <c r="T693" s="24" t="s">
        <v>72</v>
      </c>
      <c r="U693" s="26"/>
      <c r="V693" s="14"/>
      <c r="W693" s="14"/>
      <c r="X693" s="18"/>
      <c r="Y693" s="18"/>
      <c r="Z693" s="18"/>
      <c r="AA693" s="19">
        <f t="shared" si="1"/>
        <v>9</v>
      </c>
      <c r="AB693" s="19">
        <f t="shared" si="2"/>
        <v>9</v>
      </c>
    </row>
    <row r="694" ht="15.75" customHeight="1">
      <c r="A694" s="12">
        <v>45176.0</v>
      </c>
      <c r="B694" s="13" t="s">
        <v>28</v>
      </c>
      <c r="C694" s="14" t="s">
        <v>3030</v>
      </c>
      <c r="D694" s="14" t="s">
        <v>3031</v>
      </c>
      <c r="E694" s="13">
        <v>36.0</v>
      </c>
      <c r="F694" s="14"/>
      <c r="G694" s="14"/>
      <c r="H694" s="15" t="s">
        <v>3032</v>
      </c>
      <c r="I694" s="14"/>
      <c r="J694" s="14"/>
      <c r="K694" s="14" t="s">
        <v>3033</v>
      </c>
      <c r="L694" s="14" t="s">
        <v>111</v>
      </c>
      <c r="M694" s="14" t="s">
        <v>34</v>
      </c>
      <c r="N694" s="14" t="b">
        <v>0</v>
      </c>
      <c r="O694" s="14"/>
      <c r="P694" s="14"/>
      <c r="Q694" s="14"/>
      <c r="R694" s="14"/>
      <c r="S694" s="14" t="s">
        <v>3034</v>
      </c>
      <c r="T694" s="14" t="s">
        <v>36</v>
      </c>
      <c r="U694" s="17"/>
      <c r="V694" s="14"/>
      <c r="W694" s="14"/>
      <c r="X694" s="18"/>
      <c r="Y694" s="18"/>
      <c r="Z694" s="18"/>
      <c r="AA694" s="19">
        <f t="shared" si="1"/>
        <v>9</v>
      </c>
      <c r="AB694" s="19" t="str">
        <f t="shared" si="2"/>
        <v/>
      </c>
    </row>
    <row r="695" ht="15.75" customHeight="1">
      <c r="A695" s="12">
        <v>45177.0</v>
      </c>
      <c r="B695" s="13" t="s">
        <v>28</v>
      </c>
      <c r="C695" s="14" t="s">
        <v>3035</v>
      </c>
      <c r="D695" s="14" t="s">
        <v>3036</v>
      </c>
      <c r="E695" s="13">
        <v>14.0</v>
      </c>
      <c r="F695" s="14">
        <v>8.0</v>
      </c>
      <c r="G695" s="14"/>
      <c r="H695" s="15" t="s">
        <v>3037</v>
      </c>
      <c r="I695" s="14"/>
      <c r="J695" s="14"/>
      <c r="K695" s="14" t="s">
        <v>3038</v>
      </c>
      <c r="L695" s="14" t="s">
        <v>111</v>
      </c>
      <c r="M695" s="14" t="s">
        <v>13</v>
      </c>
      <c r="N695" s="14" t="b">
        <v>1</v>
      </c>
      <c r="O695" s="13" t="s">
        <v>3039</v>
      </c>
      <c r="P695" s="13" t="s">
        <v>69</v>
      </c>
      <c r="Q695" s="14"/>
      <c r="R695" s="14"/>
      <c r="S695" s="14" t="s">
        <v>3040</v>
      </c>
      <c r="T695" s="13" t="s">
        <v>129</v>
      </c>
      <c r="U695" s="17"/>
      <c r="V695" s="14"/>
      <c r="W695" s="14"/>
      <c r="X695" s="18"/>
      <c r="Y695" s="18"/>
      <c r="Z695" s="18"/>
      <c r="AA695" s="19">
        <f t="shared" si="1"/>
        <v>9</v>
      </c>
      <c r="AB695" s="19" t="str">
        <f t="shared" si="2"/>
        <v/>
      </c>
    </row>
    <row r="696" ht="15.75" customHeight="1">
      <c r="A696" s="12">
        <v>45180.0</v>
      </c>
      <c r="B696" s="13" t="s">
        <v>28</v>
      </c>
      <c r="C696" s="14" t="s">
        <v>3041</v>
      </c>
      <c r="D696" s="14" t="s">
        <v>3042</v>
      </c>
      <c r="E696" s="14"/>
      <c r="F696" s="14"/>
      <c r="G696" s="14"/>
      <c r="H696" s="15" t="s">
        <v>3043</v>
      </c>
      <c r="I696" s="14"/>
      <c r="J696" s="14"/>
      <c r="K696" s="14"/>
      <c r="L696" s="14" t="s">
        <v>111</v>
      </c>
      <c r="M696" s="14" t="s">
        <v>216</v>
      </c>
      <c r="N696" s="14" t="b">
        <v>0</v>
      </c>
      <c r="O696" s="14"/>
      <c r="P696" s="14"/>
      <c r="Q696" s="14"/>
      <c r="R696" s="14"/>
      <c r="S696" s="14" t="s">
        <v>3044</v>
      </c>
      <c r="T696" s="13" t="s">
        <v>129</v>
      </c>
      <c r="U696" s="17"/>
      <c r="V696" s="14"/>
      <c r="W696" s="14"/>
      <c r="X696" s="18"/>
      <c r="Y696" s="18"/>
      <c r="Z696" s="18"/>
      <c r="AA696" s="19">
        <f t="shared" si="1"/>
        <v>9</v>
      </c>
      <c r="AB696" s="19" t="str">
        <f t="shared" si="2"/>
        <v/>
      </c>
    </row>
    <row r="697" ht="15.75" customHeight="1">
      <c r="A697" s="12">
        <v>45180.0</v>
      </c>
      <c r="B697" s="14" t="s">
        <v>201</v>
      </c>
      <c r="C697" s="13" t="s">
        <v>424</v>
      </c>
      <c r="D697" s="14"/>
      <c r="E697" s="14"/>
      <c r="F697" s="14"/>
      <c r="G697" s="14"/>
      <c r="H697" s="15" t="s">
        <v>3045</v>
      </c>
      <c r="I697" s="14"/>
      <c r="J697" s="14"/>
      <c r="K697" s="14"/>
      <c r="L697" s="14" t="s">
        <v>111</v>
      </c>
      <c r="M697" s="14" t="s">
        <v>34</v>
      </c>
      <c r="N697" s="14" t="b">
        <v>0</v>
      </c>
      <c r="O697" s="14"/>
      <c r="P697" s="14"/>
      <c r="Q697" s="14"/>
      <c r="R697" s="14"/>
      <c r="S697" s="14" t="s">
        <v>3046</v>
      </c>
      <c r="T697" s="13" t="s">
        <v>229</v>
      </c>
      <c r="U697" s="17"/>
      <c r="V697" s="14"/>
      <c r="W697" s="14"/>
      <c r="X697" s="18"/>
      <c r="Y697" s="18"/>
      <c r="Z697" s="18"/>
      <c r="AA697" s="19">
        <f t="shared" si="1"/>
        <v>9</v>
      </c>
      <c r="AB697" s="19" t="str">
        <f t="shared" si="2"/>
        <v/>
      </c>
    </row>
    <row r="698" ht="15.75" customHeight="1">
      <c r="A698" s="12">
        <v>45180.0</v>
      </c>
      <c r="B698" s="13" t="s">
        <v>28</v>
      </c>
      <c r="C698" s="14"/>
      <c r="D698" s="14" t="s">
        <v>3047</v>
      </c>
      <c r="E698" s="14"/>
      <c r="F698" s="14"/>
      <c r="G698" s="14"/>
      <c r="H698" s="116" t="s">
        <v>3048</v>
      </c>
      <c r="I698" s="14"/>
      <c r="J698" s="14"/>
      <c r="K698" s="201" t="s">
        <v>3049</v>
      </c>
      <c r="L698" s="14" t="s">
        <v>111</v>
      </c>
      <c r="M698" s="14" t="s">
        <v>216</v>
      </c>
      <c r="N698" s="14" t="b">
        <v>0</v>
      </c>
      <c r="O698" s="14"/>
      <c r="P698" s="14"/>
      <c r="Q698" s="14"/>
      <c r="R698" s="14"/>
      <c r="S698" s="14" t="s">
        <v>3050</v>
      </c>
      <c r="T698" s="13" t="s">
        <v>229</v>
      </c>
      <c r="U698" s="17"/>
      <c r="V698" s="14"/>
      <c r="W698" s="14"/>
      <c r="X698" s="18"/>
      <c r="Y698" s="18"/>
      <c r="Z698" s="18"/>
      <c r="AA698" s="19">
        <f t="shared" si="1"/>
        <v>9</v>
      </c>
      <c r="AB698" s="19" t="str">
        <f t="shared" si="2"/>
        <v/>
      </c>
    </row>
    <row r="699" ht="15.75" customHeight="1">
      <c r="A699" s="12">
        <v>45180.0</v>
      </c>
      <c r="B699" s="13" t="s">
        <v>28</v>
      </c>
      <c r="C699" s="14"/>
      <c r="D699" s="14" t="s">
        <v>3051</v>
      </c>
      <c r="E699" s="14"/>
      <c r="F699" s="14"/>
      <c r="G699" s="14"/>
      <c r="H699" s="116" t="s">
        <v>3048</v>
      </c>
      <c r="I699" s="14"/>
      <c r="J699" s="14"/>
      <c r="K699" s="201" t="s">
        <v>3049</v>
      </c>
      <c r="L699" s="14" t="s">
        <v>111</v>
      </c>
      <c r="M699" s="14" t="s">
        <v>216</v>
      </c>
      <c r="N699" s="14" t="b">
        <v>0</v>
      </c>
      <c r="O699" s="14"/>
      <c r="P699" s="14"/>
      <c r="Q699" s="14"/>
      <c r="R699" s="14"/>
      <c r="S699" s="14" t="s">
        <v>3052</v>
      </c>
      <c r="T699" s="13" t="s">
        <v>229</v>
      </c>
      <c r="U699" s="17"/>
      <c r="V699" s="14"/>
      <c r="W699" s="14"/>
      <c r="X699" s="18"/>
      <c r="Y699" s="18"/>
      <c r="Z699" s="18"/>
      <c r="AA699" s="19">
        <f t="shared" si="1"/>
        <v>9</v>
      </c>
      <c r="AB699" s="19" t="str">
        <f t="shared" si="2"/>
        <v/>
      </c>
    </row>
    <row r="700" ht="15.75" customHeight="1">
      <c r="A700" s="12">
        <v>45180.0</v>
      </c>
      <c r="B700" s="13" t="s">
        <v>28</v>
      </c>
      <c r="C700" s="14"/>
      <c r="D700" s="14" t="s">
        <v>3053</v>
      </c>
      <c r="E700" s="13">
        <v>4.0</v>
      </c>
      <c r="F700" s="14"/>
      <c r="G700" s="14"/>
      <c r="H700" s="15" t="s">
        <v>3054</v>
      </c>
      <c r="I700" s="14"/>
      <c r="J700" s="14"/>
      <c r="K700" s="201" t="s">
        <v>3049</v>
      </c>
      <c r="L700" s="14" t="s">
        <v>111</v>
      </c>
      <c r="M700" s="14" t="s">
        <v>565</v>
      </c>
      <c r="N700" s="14" t="b">
        <v>0</v>
      </c>
      <c r="O700" s="14"/>
      <c r="P700" s="14"/>
      <c r="Q700" s="14"/>
      <c r="R700" s="14"/>
      <c r="S700" s="14" t="s">
        <v>3055</v>
      </c>
      <c r="T700" s="13" t="s">
        <v>229</v>
      </c>
      <c r="U700" s="17"/>
      <c r="V700" s="14"/>
      <c r="W700" s="14"/>
      <c r="X700" s="18"/>
      <c r="Y700" s="18"/>
      <c r="Z700" s="18"/>
      <c r="AA700" s="19">
        <f t="shared" si="1"/>
        <v>9</v>
      </c>
      <c r="AB700" s="19" t="str">
        <f t="shared" si="2"/>
        <v/>
      </c>
    </row>
    <row r="701" ht="15.75" customHeight="1">
      <c r="A701" s="12">
        <v>45180.0</v>
      </c>
      <c r="B701" s="13" t="s">
        <v>28</v>
      </c>
      <c r="C701" s="14"/>
      <c r="D701" s="14" t="s">
        <v>3056</v>
      </c>
      <c r="E701" s="13">
        <v>11.0</v>
      </c>
      <c r="F701" s="14"/>
      <c r="G701" s="14"/>
      <c r="H701" s="15" t="s">
        <v>3057</v>
      </c>
      <c r="I701" s="14"/>
      <c r="J701" s="14"/>
      <c r="K701" s="201" t="s">
        <v>3049</v>
      </c>
      <c r="L701" s="14" t="s">
        <v>111</v>
      </c>
      <c r="M701" s="14" t="s">
        <v>565</v>
      </c>
      <c r="N701" s="14" t="b">
        <v>0</v>
      </c>
      <c r="O701" s="14"/>
      <c r="P701" s="14"/>
      <c r="Q701" s="14"/>
      <c r="R701" s="14"/>
      <c r="S701" s="14" t="s">
        <v>3058</v>
      </c>
      <c r="T701" s="13" t="s">
        <v>229</v>
      </c>
      <c r="U701" s="17"/>
      <c r="V701" s="14"/>
      <c r="W701" s="14"/>
      <c r="X701" s="18"/>
      <c r="Y701" s="18"/>
      <c r="Z701" s="18"/>
      <c r="AA701" s="19">
        <f t="shared" si="1"/>
        <v>9</v>
      </c>
      <c r="AB701" s="19" t="str">
        <f t="shared" si="2"/>
        <v/>
      </c>
    </row>
    <row r="702" ht="15.75" customHeight="1">
      <c r="A702" s="12">
        <v>45180.0</v>
      </c>
      <c r="B702" s="13" t="s">
        <v>28</v>
      </c>
      <c r="C702" s="14"/>
      <c r="D702" s="14" t="s">
        <v>3059</v>
      </c>
      <c r="E702" s="13">
        <v>10.0</v>
      </c>
      <c r="F702" s="14"/>
      <c r="G702" s="14"/>
      <c r="H702" s="15" t="s">
        <v>3060</v>
      </c>
      <c r="I702" s="14"/>
      <c r="J702" s="14"/>
      <c r="K702" s="201" t="s">
        <v>3049</v>
      </c>
      <c r="L702" s="14" t="s">
        <v>111</v>
      </c>
      <c r="M702" s="14" t="s">
        <v>565</v>
      </c>
      <c r="N702" s="14" t="b">
        <v>0</v>
      </c>
      <c r="O702" s="14"/>
      <c r="P702" s="14"/>
      <c r="Q702" s="14"/>
      <c r="R702" s="14"/>
      <c r="S702" s="14" t="s">
        <v>3061</v>
      </c>
      <c r="T702" s="13" t="s">
        <v>229</v>
      </c>
      <c r="U702" s="17"/>
      <c r="V702" s="14"/>
      <c r="W702" s="14"/>
      <c r="X702" s="18"/>
      <c r="Y702" s="18"/>
      <c r="Z702" s="18"/>
      <c r="AA702" s="19">
        <f t="shared" si="1"/>
        <v>9</v>
      </c>
      <c r="AB702" s="19" t="str">
        <f t="shared" si="2"/>
        <v/>
      </c>
    </row>
    <row r="703" ht="15.75" customHeight="1">
      <c r="A703" s="12">
        <v>45180.0</v>
      </c>
      <c r="B703" s="13" t="s">
        <v>28</v>
      </c>
      <c r="C703" s="14"/>
      <c r="D703" s="14" t="s">
        <v>3062</v>
      </c>
      <c r="E703" s="13">
        <v>8.0</v>
      </c>
      <c r="F703" s="14"/>
      <c r="G703" s="14"/>
      <c r="H703" s="15" t="s">
        <v>3063</v>
      </c>
      <c r="I703" s="14"/>
      <c r="J703" s="14"/>
      <c r="K703" s="201" t="s">
        <v>3049</v>
      </c>
      <c r="L703" s="14" t="s">
        <v>111</v>
      </c>
      <c r="M703" s="14" t="s">
        <v>565</v>
      </c>
      <c r="N703" s="14" t="b">
        <v>0</v>
      </c>
      <c r="O703" s="14"/>
      <c r="P703" s="14"/>
      <c r="Q703" s="14"/>
      <c r="R703" s="14"/>
      <c r="S703" s="14" t="s">
        <v>3064</v>
      </c>
      <c r="T703" s="13" t="s">
        <v>229</v>
      </c>
      <c r="U703" s="17"/>
      <c r="V703" s="14"/>
      <c r="W703" s="14"/>
      <c r="X703" s="18"/>
      <c r="Y703" s="18"/>
      <c r="Z703" s="18"/>
      <c r="AA703" s="19">
        <f t="shared" si="1"/>
        <v>9</v>
      </c>
      <c r="AB703" s="19" t="str">
        <f t="shared" si="2"/>
        <v/>
      </c>
    </row>
    <row r="704" ht="15.75" customHeight="1">
      <c r="A704" s="12">
        <v>45180.0</v>
      </c>
      <c r="B704" s="13" t="s">
        <v>28</v>
      </c>
      <c r="C704" s="14"/>
      <c r="D704" s="14" t="s">
        <v>3065</v>
      </c>
      <c r="E704" s="13">
        <v>6.0</v>
      </c>
      <c r="F704" s="14"/>
      <c r="G704" s="14"/>
      <c r="H704" s="15" t="s">
        <v>3066</v>
      </c>
      <c r="I704" s="14"/>
      <c r="J704" s="14"/>
      <c r="K704" s="201" t="s">
        <v>3049</v>
      </c>
      <c r="L704" s="14" t="s">
        <v>111</v>
      </c>
      <c r="M704" s="14" t="s">
        <v>216</v>
      </c>
      <c r="N704" s="14" t="b">
        <v>0</v>
      </c>
      <c r="O704" s="14"/>
      <c r="P704" s="14"/>
      <c r="Q704" s="14"/>
      <c r="R704" s="14"/>
      <c r="S704" s="14" t="s">
        <v>3067</v>
      </c>
      <c r="T704" s="13" t="s">
        <v>229</v>
      </c>
      <c r="U704" s="17"/>
      <c r="V704" s="14"/>
      <c r="W704" s="14"/>
      <c r="X704" s="18"/>
      <c r="Y704" s="18"/>
      <c r="Z704" s="18"/>
      <c r="AA704" s="19">
        <f t="shared" si="1"/>
        <v>9</v>
      </c>
      <c r="AB704" s="19" t="str">
        <f t="shared" si="2"/>
        <v/>
      </c>
    </row>
    <row r="705" ht="15.75" customHeight="1">
      <c r="A705" s="12">
        <v>45181.0</v>
      </c>
      <c r="B705" s="13" t="s">
        <v>28</v>
      </c>
      <c r="C705" s="14"/>
      <c r="D705" s="14" t="s">
        <v>3068</v>
      </c>
      <c r="E705" s="13">
        <v>10.0</v>
      </c>
      <c r="F705" s="14"/>
      <c r="G705" s="14"/>
      <c r="H705" s="15" t="s">
        <v>3069</v>
      </c>
      <c r="I705" s="14"/>
      <c r="J705" s="14"/>
      <c r="K705" s="201" t="s">
        <v>3049</v>
      </c>
      <c r="L705" s="14" t="s">
        <v>111</v>
      </c>
      <c r="M705" s="14" t="s">
        <v>565</v>
      </c>
      <c r="N705" s="14" t="b">
        <v>0</v>
      </c>
      <c r="O705" s="14"/>
      <c r="P705" s="14"/>
      <c r="Q705" s="14"/>
      <c r="R705" s="14"/>
      <c r="S705" s="14" t="s">
        <v>3070</v>
      </c>
      <c r="T705" s="13" t="s">
        <v>129</v>
      </c>
      <c r="U705" s="17"/>
      <c r="V705" s="14"/>
      <c r="W705" s="14"/>
      <c r="X705" s="18"/>
      <c r="Y705" s="18"/>
      <c r="Z705" s="18"/>
      <c r="AA705" s="19">
        <f t="shared" si="1"/>
        <v>9</v>
      </c>
      <c r="AB705" s="19" t="str">
        <f t="shared" si="2"/>
        <v/>
      </c>
    </row>
    <row r="706" ht="15.75" customHeight="1">
      <c r="A706" s="12">
        <v>45181.0</v>
      </c>
      <c r="B706" s="13" t="s">
        <v>28</v>
      </c>
      <c r="C706" s="14"/>
      <c r="D706" s="14" t="s">
        <v>3071</v>
      </c>
      <c r="E706" s="13">
        <v>8.0</v>
      </c>
      <c r="F706" s="14"/>
      <c r="G706" s="14"/>
      <c r="H706" s="15" t="s">
        <v>3072</v>
      </c>
      <c r="I706" s="14"/>
      <c r="J706" s="14"/>
      <c r="K706" s="201" t="s">
        <v>3049</v>
      </c>
      <c r="L706" s="14" t="s">
        <v>111</v>
      </c>
      <c r="M706" s="14" t="s">
        <v>565</v>
      </c>
      <c r="N706" s="14" t="b">
        <v>0</v>
      </c>
      <c r="O706" s="14"/>
      <c r="P706" s="14"/>
      <c r="Q706" s="14"/>
      <c r="R706" s="14"/>
      <c r="S706" s="14" t="s">
        <v>3073</v>
      </c>
      <c r="T706" s="14" t="s">
        <v>36</v>
      </c>
      <c r="U706" s="17"/>
      <c r="V706" s="14"/>
      <c r="W706" s="14"/>
      <c r="X706" s="18"/>
      <c r="Y706" s="18"/>
      <c r="Z706" s="18"/>
      <c r="AA706" s="19">
        <f t="shared" si="1"/>
        <v>9</v>
      </c>
      <c r="AB706" s="19" t="str">
        <f t="shared" si="2"/>
        <v/>
      </c>
    </row>
    <row r="707" ht="15.75" customHeight="1">
      <c r="A707" s="12">
        <v>45181.0</v>
      </c>
      <c r="B707" s="13" t="s">
        <v>28</v>
      </c>
      <c r="C707" s="14" t="s">
        <v>3074</v>
      </c>
      <c r="D707" s="14" t="s">
        <v>3075</v>
      </c>
      <c r="E707" s="13">
        <v>7.0</v>
      </c>
      <c r="F707" s="14"/>
      <c r="G707" s="14"/>
      <c r="H707" s="15" t="s">
        <v>1478</v>
      </c>
      <c r="I707" s="14"/>
      <c r="J707" s="14"/>
      <c r="K707" s="201" t="s">
        <v>3049</v>
      </c>
      <c r="L707" s="14" t="s">
        <v>111</v>
      </c>
      <c r="M707" s="14" t="s">
        <v>13</v>
      </c>
      <c r="N707" s="14" t="b">
        <v>1</v>
      </c>
      <c r="O707" s="13" t="s">
        <v>3076</v>
      </c>
      <c r="P707" s="13" t="s">
        <v>42</v>
      </c>
      <c r="Q707" s="14"/>
      <c r="R707" s="14"/>
      <c r="S707" s="14" t="s">
        <v>3077</v>
      </c>
      <c r="T707" s="13" t="s">
        <v>229</v>
      </c>
      <c r="U707" s="17"/>
      <c r="V707" s="14"/>
      <c r="W707" s="14"/>
      <c r="X707" s="18"/>
      <c r="Y707" s="18"/>
      <c r="Z707" s="18"/>
      <c r="AA707" s="19">
        <f t="shared" si="1"/>
        <v>9</v>
      </c>
      <c r="AB707" s="19" t="str">
        <f t="shared" si="2"/>
        <v/>
      </c>
    </row>
    <row r="708" ht="15.75" customHeight="1">
      <c r="A708" s="12">
        <v>45181.0</v>
      </c>
      <c r="B708" s="13" t="s">
        <v>28</v>
      </c>
      <c r="C708" s="14" t="s">
        <v>3078</v>
      </c>
      <c r="D708" s="14" t="s">
        <v>3079</v>
      </c>
      <c r="E708" s="13">
        <v>9.0</v>
      </c>
      <c r="F708" s="14">
        <v>4.0</v>
      </c>
      <c r="G708" s="14"/>
      <c r="H708" s="15" t="s">
        <v>3080</v>
      </c>
      <c r="I708" s="14"/>
      <c r="J708" s="14"/>
      <c r="K708" s="14"/>
      <c r="L708" s="14" t="s">
        <v>111</v>
      </c>
      <c r="M708" s="14" t="s">
        <v>13</v>
      </c>
      <c r="N708" s="14" t="b">
        <v>1</v>
      </c>
      <c r="O708" s="13" t="s">
        <v>3081</v>
      </c>
      <c r="P708" s="13" t="s">
        <v>69</v>
      </c>
      <c r="Q708" s="14"/>
      <c r="R708" s="14"/>
      <c r="S708" s="14" t="s">
        <v>3082</v>
      </c>
      <c r="T708" s="13" t="s">
        <v>129</v>
      </c>
      <c r="U708" s="17"/>
      <c r="V708" s="14"/>
      <c r="W708" s="14"/>
      <c r="X708" s="18"/>
      <c r="Y708" s="18"/>
      <c r="Z708" s="18"/>
      <c r="AA708" s="19">
        <f t="shared" si="1"/>
        <v>9</v>
      </c>
      <c r="AB708" s="19" t="str">
        <f t="shared" si="2"/>
        <v/>
      </c>
    </row>
    <row r="709" ht="15.75" customHeight="1">
      <c r="A709" s="12">
        <v>45185.0</v>
      </c>
      <c r="B709" s="13" t="s">
        <v>28</v>
      </c>
      <c r="C709" s="14" t="s">
        <v>3083</v>
      </c>
      <c r="D709" s="14"/>
      <c r="E709" s="14"/>
      <c r="F709" s="14"/>
      <c r="G709" s="14"/>
      <c r="H709" s="15" t="s">
        <v>3084</v>
      </c>
      <c r="I709" s="14"/>
      <c r="J709" s="14"/>
      <c r="K709" s="14" t="s">
        <v>3085</v>
      </c>
      <c r="L709" s="14" t="s">
        <v>111</v>
      </c>
      <c r="M709" s="14" t="s">
        <v>565</v>
      </c>
      <c r="N709" s="14" t="b">
        <v>0</v>
      </c>
      <c r="O709" s="14"/>
      <c r="P709" s="14"/>
      <c r="Q709" s="14"/>
      <c r="R709" s="14"/>
      <c r="S709" s="14" t="s">
        <v>3086</v>
      </c>
      <c r="T709" s="13" t="s">
        <v>129</v>
      </c>
      <c r="U709" s="17"/>
      <c r="V709" s="14"/>
      <c r="W709" s="14"/>
      <c r="X709" s="18"/>
      <c r="Y709" s="18"/>
      <c r="Z709" s="18"/>
      <c r="AA709" s="19">
        <f t="shared" si="1"/>
        <v>9</v>
      </c>
      <c r="AB709" s="19" t="str">
        <f t="shared" si="2"/>
        <v/>
      </c>
    </row>
    <row r="710" ht="15.75" customHeight="1">
      <c r="A710" s="12">
        <v>45185.0</v>
      </c>
      <c r="B710" s="13" t="s">
        <v>28</v>
      </c>
      <c r="C710" s="14" t="s">
        <v>3087</v>
      </c>
      <c r="D710" s="14" t="s">
        <v>3088</v>
      </c>
      <c r="E710" s="13">
        <v>12.0</v>
      </c>
      <c r="F710" s="14">
        <v>7.0</v>
      </c>
      <c r="G710" s="14"/>
      <c r="H710" s="15" t="s">
        <v>3089</v>
      </c>
      <c r="I710" s="14"/>
      <c r="J710" s="14"/>
      <c r="K710" s="14" t="s">
        <v>3090</v>
      </c>
      <c r="L710" s="14" t="s">
        <v>111</v>
      </c>
      <c r="M710" s="14" t="s">
        <v>216</v>
      </c>
      <c r="N710" s="14" t="b">
        <v>0</v>
      </c>
      <c r="O710" s="14"/>
      <c r="P710" s="14"/>
      <c r="Q710" s="14"/>
      <c r="R710" s="14"/>
      <c r="S710" s="14" t="s">
        <v>3091</v>
      </c>
      <c r="T710" s="13" t="s">
        <v>129</v>
      </c>
      <c r="U710" s="17"/>
      <c r="V710" s="14"/>
      <c r="W710" s="14"/>
      <c r="X710" s="18"/>
      <c r="Y710" s="18"/>
      <c r="Z710" s="18"/>
      <c r="AA710" s="19">
        <f t="shared" si="1"/>
        <v>9</v>
      </c>
      <c r="AB710" s="19" t="str">
        <f t="shared" si="2"/>
        <v/>
      </c>
    </row>
    <row r="711" ht="15.75" customHeight="1">
      <c r="A711" s="12">
        <v>45185.0</v>
      </c>
      <c r="B711" s="14" t="s">
        <v>201</v>
      </c>
      <c r="C711" s="13" t="s">
        <v>3092</v>
      </c>
      <c r="D711" s="14" t="s">
        <v>3093</v>
      </c>
      <c r="E711" s="13">
        <v>11.0</v>
      </c>
      <c r="F711" s="14">
        <v>6.0</v>
      </c>
      <c r="G711" s="14"/>
      <c r="H711" s="15" t="s">
        <v>3094</v>
      </c>
      <c r="I711" s="14"/>
      <c r="J711" s="14"/>
      <c r="K711" s="14" t="s">
        <v>3095</v>
      </c>
      <c r="L711" s="14" t="s">
        <v>111</v>
      </c>
      <c r="M711" s="14" t="s">
        <v>565</v>
      </c>
      <c r="N711" s="14" t="b">
        <v>0</v>
      </c>
      <c r="O711" s="14"/>
      <c r="P711" s="14"/>
      <c r="Q711" s="14"/>
      <c r="R711" s="14"/>
      <c r="S711" s="14" t="s">
        <v>3096</v>
      </c>
      <c r="T711" s="13" t="s">
        <v>129</v>
      </c>
      <c r="U711" s="17"/>
      <c r="V711" s="14"/>
      <c r="W711" s="14"/>
      <c r="X711" s="18"/>
      <c r="Y711" s="18"/>
      <c r="Z711" s="18"/>
      <c r="AA711" s="19">
        <f t="shared" si="1"/>
        <v>9</v>
      </c>
      <c r="AB711" s="19" t="str">
        <f t="shared" si="2"/>
        <v/>
      </c>
    </row>
    <row r="712" ht="15.75" customHeight="1">
      <c r="A712" s="12">
        <v>45185.0</v>
      </c>
      <c r="B712" s="14" t="s">
        <v>201</v>
      </c>
      <c r="C712" s="13" t="s">
        <v>3092</v>
      </c>
      <c r="D712" s="14" t="s">
        <v>3097</v>
      </c>
      <c r="E712" s="13">
        <v>10.0</v>
      </c>
      <c r="F712" s="14">
        <v>5.0</v>
      </c>
      <c r="G712" s="14"/>
      <c r="H712" s="15" t="s">
        <v>3094</v>
      </c>
      <c r="I712" s="14"/>
      <c r="J712" s="14"/>
      <c r="K712" s="14" t="s">
        <v>3095</v>
      </c>
      <c r="L712" s="14" t="s">
        <v>111</v>
      </c>
      <c r="M712" s="14" t="s">
        <v>565</v>
      </c>
      <c r="N712" s="14" t="b">
        <v>0</v>
      </c>
      <c r="O712" s="14"/>
      <c r="P712" s="14"/>
      <c r="Q712" s="14"/>
      <c r="R712" s="14"/>
      <c r="S712" s="14" t="s">
        <v>3096</v>
      </c>
      <c r="T712" s="13" t="s">
        <v>129</v>
      </c>
      <c r="U712" s="17"/>
      <c r="V712" s="14"/>
      <c r="W712" s="14"/>
      <c r="X712" s="18"/>
      <c r="Y712" s="18"/>
      <c r="Z712" s="18"/>
      <c r="AA712" s="19">
        <f t="shared" si="1"/>
        <v>9</v>
      </c>
      <c r="AB712" s="19" t="str">
        <f t="shared" si="2"/>
        <v/>
      </c>
    </row>
    <row r="713" ht="15.75" customHeight="1">
      <c r="A713" s="12">
        <v>45186.0</v>
      </c>
      <c r="B713" s="13" t="s">
        <v>28</v>
      </c>
      <c r="C713" s="14" t="s">
        <v>1511</v>
      </c>
      <c r="D713" s="14" t="s">
        <v>3098</v>
      </c>
      <c r="E713" s="13">
        <v>6.0</v>
      </c>
      <c r="F713" s="14">
        <v>1.0</v>
      </c>
      <c r="G713" s="14"/>
      <c r="H713" s="15" t="s">
        <v>3099</v>
      </c>
      <c r="I713" s="14"/>
      <c r="J713" s="14"/>
      <c r="K713" s="14" t="s">
        <v>3100</v>
      </c>
      <c r="L713" s="14" t="s">
        <v>111</v>
      </c>
      <c r="M713" s="14" t="s">
        <v>565</v>
      </c>
      <c r="N713" s="14" t="b">
        <v>0</v>
      </c>
      <c r="O713" s="14"/>
      <c r="P713" s="14"/>
      <c r="Q713" s="14"/>
      <c r="R713" s="14"/>
      <c r="S713" s="14" t="s">
        <v>3101</v>
      </c>
      <c r="T713" s="14" t="s">
        <v>36</v>
      </c>
      <c r="U713" s="17"/>
      <c r="V713" s="14"/>
      <c r="W713" s="14"/>
      <c r="X713" s="18"/>
      <c r="Y713" s="18"/>
      <c r="Z713" s="18"/>
      <c r="AA713" s="19">
        <f t="shared" si="1"/>
        <v>9</v>
      </c>
      <c r="AB713" s="19" t="str">
        <f t="shared" si="2"/>
        <v/>
      </c>
    </row>
    <row r="714" ht="15.75" customHeight="1">
      <c r="A714" s="12">
        <v>45186.0</v>
      </c>
      <c r="B714" s="14" t="s">
        <v>84</v>
      </c>
      <c r="C714" s="14" t="s">
        <v>3102</v>
      </c>
      <c r="D714" s="14" t="s">
        <v>3103</v>
      </c>
      <c r="E714" s="13">
        <v>10.0</v>
      </c>
      <c r="F714" s="14">
        <v>5.0</v>
      </c>
      <c r="G714" s="14"/>
      <c r="H714" s="14">
        <v>9.09310065E8</v>
      </c>
      <c r="I714" s="14"/>
      <c r="J714" s="14"/>
      <c r="K714" s="14" t="s">
        <v>3104</v>
      </c>
      <c r="L714" s="14" t="s">
        <v>111</v>
      </c>
      <c r="M714" s="14" t="s">
        <v>13</v>
      </c>
      <c r="N714" s="14" t="b">
        <v>1</v>
      </c>
      <c r="O714" s="13" t="s">
        <v>3105</v>
      </c>
      <c r="P714" s="13" t="s">
        <v>42</v>
      </c>
      <c r="Q714" s="14"/>
      <c r="R714" s="14"/>
      <c r="S714" s="14" t="s">
        <v>3106</v>
      </c>
      <c r="T714" s="13" t="s">
        <v>129</v>
      </c>
      <c r="U714" s="17"/>
      <c r="V714" s="14"/>
      <c r="W714" s="14"/>
      <c r="X714" s="18"/>
      <c r="Y714" s="18"/>
      <c r="Z714" s="18"/>
      <c r="AA714" s="19">
        <f t="shared" si="1"/>
        <v>9</v>
      </c>
      <c r="AB714" s="19" t="str">
        <f t="shared" si="2"/>
        <v/>
      </c>
    </row>
    <row r="715" ht="15.75" customHeight="1">
      <c r="A715" s="12">
        <v>45186.0</v>
      </c>
      <c r="B715" s="13" t="s">
        <v>28</v>
      </c>
      <c r="C715" s="14" t="s">
        <v>3107</v>
      </c>
      <c r="D715" s="14" t="s">
        <v>3108</v>
      </c>
      <c r="E715" s="13">
        <v>7.0</v>
      </c>
      <c r="F715" s="14">
        <v>2.0</v>
      </c>
      <c r="G715" s="14"/>
      <c r="H715" s="15" t="s">
        <v>3109</v>
      </c>
      <c r="I715" s="14"/>
      <c r="J715" s="14"/>
      <c r="K715" s="14" t="s">
        <v>3110</v>
      </c>
      <c r="L715" s="14" t="s">
        <v>111</v>
      </c>
      <c r="M715" s="14" t="s">
        <v>565</v>
      </c>
      <c r="N715" s="14" t="b">
        <v>0</v>
      </c>
      <c r="O715" s="14"/>
      <c r="P715" s="14"/>
      <c r="Q715" s="14"/>
      <c r="R715" s="14"/>
      <c r="S715" s="14" t="s">
        <v>3111</v>
      </c>
      <c r="T715" s="13" t="s">
        <v>129</v>
      </c>
      <c r="U715" s="17"/>
      <c r="V715" s="14"/>
      <c r="W715" s="14"/>
      <c r="X715" s="18"/>
      <c r="Y715" s="18"/>
      <c r="Z715" s="18"/>
      <c r="AA715" s="19">
        <f t="shared" si="1"/>
        <v>9</v>
      </c>
      <c r="AB715" s="19" t="str">
        <f t="shared" si="2"/>
        <v/>
      </c>
    </row>
    <row r="716" ht="15.75" customHeight="1">
      <c r="A716" s="12">
        <v>45186.0</v>
      </c>
      <c r="B716" s="13" t="s">
        <v>28</v>
      </c>
      <c r="C716" s="14" t="s">
        <v>3112</v>
      </c>
      <c r="D716" s="14" t="s">
        <v>3113</v>
      </c>
      <c r="E716" s="13">
        <v>10.0</v>
      </c>
      <c r="F716" s="14">
        <v>5.0</v>
      </c>
      <c r="G716" s="14"/>
      <c r="H716" s="15" t="s">
        <v>3114</v>
      </c>
      <c r="I716" s="14"/>
      <c r="J716" s="14"/>
      <c r="K716" s="14" t="s">
        <v>3115</v>
      </c>
      <c r="L716" s="14" t="s">
        <v>111</v>
      </c>
      <c r="M716" s="14" t="s">
        <v>216</v>
      </c>
      <c r="N716" s="14" t="b">
        <v>0</v>
      </c>
      <c r="O716" s="14"/>
      <c r="P716" s="14"/>
      <c r="Q716" s="14"/>
      <c r="R716" s="14"/>
      <c r="S716" s="14" t="s">
        <v>3116</v>
      </c>
      <c r="T716" s="13" t="s">
        <v>129</v>
      </c>
      <c r="U716" s="17"/>
      <c r="V716" s="14"/>
      <c r="W716" s="14"/>
      <c r="X716" s="18"/>
      <c r="Y716" s="18"/>
      <c r="Z716" s="18"/>
      <c r="AA716" s="19">
        <f t="shared" si="1"/>
        <v>9</v>
      </c>
      <c r="AB716" s="19" t="str">
        <f t="shared" si="2"/>
        <v/>
      </c>
    </row>
    <row r="717" ht="15.75" customHeight="1">
      <c r="A717" s="12">
        <v>45187.0</v>
      </c>
      <c r="B717" s="13" t="s">
        <v>28</v>
      </c>
      <c r="C717" s="14"/>
      <c r="D717" s="14" t="s">
        <v>3117</v>
      </c>
      <c r="E717" s="14"/>
      <c r="F717" s="14"/>
      <c r="G717" s="14"/>
      <c r="H717" s="15" t="s">
        <v>3118</v>
      </c>
      <c r="I717" s="14"/>
      <c r="J717" s="14"/>
      <c r="K717" s="14" t="s">
        <v>3119</v>
      </c>
      <c r="L717" s="14" t="s">
        <v>111</v>
      </c>
      <c r="M717" s="14" t="s">
        <v>565</v>
      </c>
      <c r="N717" s="13" t="b">
        <v>1</v>
      </c>
      <c r="O717" s="14" t="s">
        <v>3120</v>
      </c>
      <c r="P717" s="13" t="s">
        <v>69</v>
      </c>
      <c r="Q717" s="14"/>
      <c r="R717" s="14"/>
      <c r="S717" s="14" t="s">
        <v>3121</v>
      </c>
      <c r="T717" s="13" t="s">
        <v>129</v>
      </c>
      <c r="U717" s="17"/>
      <c r="V717" s="14"/>
      <c r="W717" s="14"/>
      <c r="X717" s="18"/>
      <c r="Y717" s="18"/>
      <c r="Z717" s="18"/>
      <c r="AA717" s="19">
        <f t="shared" si="1"/>
        <v>9</v>
      </c>
      <c r="AB717" s="19" t="str">
        <f t="shared" si="2"/>
        <v/>
      </c>
    </row>
    <row r="718" ht="15.75" customHeight="1">
      <c r="A718" s="12">
        <v>45187.0</v>
      </c>
      <c r="B718" s="13" t="s">
        <v>28</v>
      </c>
      <c r="C718" s="14" t="s">
        <v>3122</v>
      </c>
      <c r="D718" s="14"/>
      <c r="E718" s="14"/>
      <c r="F718" s="14"/>
      <c r="G718" s="14"/>
      <c r="H718" s="15" t="s">
        <v>3123</v>
      </c>
      <c r="I718" s="14"/>
      <c r="J718" s="14"/>
      <c r="K718" s="14" t="s">
        <v>3124</v>
      </c>
      <c r="L718" s="14" t="s">
        <v>111</v>
      </c>
      <c r="M718" s="14" t="s">
        <v>216</v>
      </c>
      <c r="N718" s="14" t="b">
        <v>0</v>
      </c>
      <c r="O718" s="14"/>
      <c r="P718" s="14"/>
      <c r="Q718" s="14"/>
      <c r="R718" s="14"/>
      <c r="S718" s="14" t="s">
        <v>3125</v>
      </c>
      <c r="T718" s="13" t="s">
        <v>129</v>
      </c>
      <c r="U718" s="17"/>
      <c r="V718" s="14"/>
      <c r="W718" s="14"/>
      <c r="X718" s="18"/>
      <c r="Y718" s="18"/>
      <c r="Z718" s="18"/>
      <c r="AA718" s="19">
        <f t="shared" si="1"/>
        <v>9</v>
      </c>
      <c r="AB718" s="19" t="str">
        <f t="shared" si="2"/>
        <v/>
      </c>
    </row>
    <row r="719" ht="15.75" customHeight="1">
      <c r="A719" s="12">
        <v>45187.0</v>
      </c>
      <c r="B719" s="13" t="s">
        <v>28</v>
      </c>
      <c r="C719" s="14" t="s">
        <v>3126</v>
      </c>
      <c r="D719" s="14"/>
      <c r="E719" s="14"/>
      <c r="F719" s="14"/>
      <c r="G719" s="14"/>
      <c r="H719" s="15" t="s">
        <v>3127</v>
      </c>
      <c r="I719" s="14"/>
      <c r="J719" s="14"/>
      <c r="K719" s="14" t="s">
        <v>3124</v>
      </c>
      <c r="L719" s="14" t="s">
        <v>111</v>
      </c>
      <c r="M719" s="14" t="s">
        <v>216</v>
      </c>
      <c r="N719" s="14" t="b">
        <v>0</v>
      </c>
      <c r="O719" s="14"/>
      <c r="P719" s="14"/>
      <c r="Q719" s="14"/>
      <c r="R719" s="14"/>
      <c r="S719" s="14" t="s">
        <v>3128</v>
      </c>
      <c r="T719" s="13" t="s">
        <v>129</v>
      </c>
      <c r="U719" s="17"/>
      <c r="V719" s="14"/>
      <c r="W719" s="14"/>
      <c r="X719" s="18"/>
      <c r="Y719" s="18"/>
      <c r="Z719" s="18"/>
      <c r="AA719" s="19">
        <f t="shared" si="1"/>
        <v>9</v>
      </c>
      <c r="AB719" s="19" t="str">
        <f t="shared" si="2"/>
        <v/>
      </c>
    </row>
    <row r="720" ht="15.75" customHeight="1">
      <c r="A720" s="12">
        <v>45187.0</v>
      </c>
      <c r="B720" s="13" t="s">
        <v>28</v>
      </c>
      <c r="C720" s="14"/>
      <c r="D720" s="14" t="s">
        <v>3129</v>
      </c>
      <c r="E720" s="13">
        <v>6.0</v>
      </c>
      <c r="F720" s="14"/>
      <c r="G720" s="14"/>
      <c r="H720" s="15" t="s">
        <v>3130</v>
      </c>
      <c r="I720" s="14"/>
      <c r="J720" s="14"/>
      <c r="K720" s="201" t="s">
        <v>3049</v>
      </c>
      <c r="L720" s="14" t="s">
        <v>111</v>
      </c>
      <c r="M720" s="14" t="s">
        <v>565</v>
      </c>
      <c r="N720" s="14" t="b">
        <v>0</v>
      </c>
      <c r="O720" s="14"/>
      <c r="P720" s="14"/>
      <c r="Q720" s="14"/>
      <c r="R720" s="14"/>
      <c r="S720" s="14" t="s">
        <v>3131</v>
      </c>
      <c r="T720" s="13" t="s">
        <v>129</v>
      </c>
      <c r="U720" s="17"/>
      <c r="V720" s="14"/>
      <c r="W720" s="14"/>
      <c r="X720" s="18"/>
      <c r="Y720" s="18"/>
      <c r="Z720" s="18"/>
      <c r="AA720" s="19">
        <f t="shared" si="1"/>
        <v>9</v>
      </c>
      <c r="AB720" s="19" t="str">
        <f t="shared" si="2"/>
        <v/>
      </c>
    </row>
    <row r="721" ht="15.75" customHeight="1">
      <c r="A721" s="12">
        <v>45187.0</v>
      </c>
      <c r="B721" s="14" t="s">
        <v>539</v>
      </c>
      <c r="C721" s="14" t="s">
        <v>3132</v>
      </c>
      <c r="D721" s="14" t="s">
        <v>3133</v>
      </c>
      <c r="E721" s="13">
        <v>8.0</v>
      </c>
      <c r="F721" s="14">
        <v>3.0</v>
      </c>
      <c r="G721" s="14"/>
      <c r="H721" s="202">
        <v>9.4803088E8</v>
      </c>
      <c r="I721" s="14"/>
      <c r="J721" s="14"/>
      <c r="K721" s="14"/>
      <c r="L721" s="14" t="s">
        <v>111</v>
      </c>
      <c r="M721" s="14" t="s">
        <v>13</v>
      </c>
      <c r="N721" s="14" t="b">
        <v>1</v>
      </c>
      <c r="O721" s="13" t="s">
        <v>3134</v>
      </c>
      <c r="P721" s="13" t="s">
        <v>69</v>
      </c>
      <c r="Q721" s="14"/>
      <c r="R721" s="14"/>
      <c r="S721" s="14" t="s">
        <v>3135</v>
      </c>
      <c r="T721" s="13" t="s">
        <v>129</v>
      </c>
      <c r="U721" s="17"/>
      <c r="V721" s="14"/>
      <c r="W721" s="14"/>
      <c r="X721" s="18"/>
      <c r="Y721" s="18"/>
      <c r="Z721" s="18"/>
      <c r="AA721" s="19">
        <f t="shared" si="1"/>
        <v>9</v>
      </c>
      <c r="AB721" s="19" t="str">
        <f t="shared" si="2"/>
        <v/>
      </c>
    </row>
    <row r="722" ht="15.75" customHeight="1">
      <c r="A722" s="12">
        <v>45187.0</v>
      </c>
      <c r="B722" s="14" t="s">
        <v>539</v>
      </c>
      <c r="C722" s="14" t="s">
        <v>3136</v>
      </c>
      <c r="D722" s="14" t="s">
        <v>3137</v>
      </c>
      <c r="E722" s="13">
        <v>8.0</v>
      </c>
      <c r="F722" s="14">
        <v>3.0</v>
      </c>
      <c r="G722" s="14"/>
      <c r="H722" s="202">
        <v>3.83171494E8</v>
      </c>
      <c r="I722" s="14"/>
      <c r="J722" s="14"/>
      <c r="K722" s="14"/>
      <c r="L722" s="14" t="s">
        <v>111</v>
      </c>
      <c r="M722" s="14" t="s">
        <v>13</v>
      </c>
      <c r="N722" s="14" t="b">
        <v>1</v>
      </c>
      <c r="O722" s="56" t="s">
        <v>3138</v>
      </c>
      <c r="P722" s="13" t="s">
        <v>69</v>
      </c>
      <c r="Q722" s="14"/>
      <c r="R722" s="14"/>
      <c r="S722" s="14" t="s">
        <v>3139</v>
      </c>
      <c r="T722" s="13" t="s">
        <v>129</v>
      </c>
      <c r="U722" s="17"/>
      <c r="V722" s="14"/>
      <c r="W722" s="14"/>
      <c r="X722" s="18"/>
      <c r="Y722" s="18"/>
      <c r="Z722" s="18"/>
      <c r="AA722" s="19">
        <f t="shared" si="1"/>
        <v>9</v>
      </c>
      <c r="AB722" s="19" t="str">
        <f t="shared" si="2"/>
        <v/>
      </c>
    </row>
    <row r="723" ht="15.75" customHeight="1">
      <c r="A723" s="12">
        <v>45188.0</v>
      </c>
      <c r="B723" s="13" t="s">
        <v>28</v>
      </c>
      <c r="C723" s="14" t="s">
        <v>3140</v>
      </c>
      <c r="D723" s="14"/>
      <c r="E723" s="14"/>
      <c r="F723" s="14"/>
      <c r="G723" s="14"/>
      <c r="H723" s="15" t="s">
        <v>3141</v>
      </c>
      <c r="I723" s="14"/>
      <c r="J723" s="14"/>
      <c r="K723" s="14" t="s">
        <v>3142</v>
      </c>
      <c r="L723" s="14" t="s">
        <v>111</v>
      </c>
      <c r="M723" s="14" t="s">
        <v>34</v>
      </c>
      <c r="N723" s="14" t="b">
        <v>0</v>
      </c>
      <c r="O723" s="14"/>
      <c r="P723" s="14"/>
      <c r="Q723" s="14"/>
      <c r="R723" s="14"/>
      <c r="S723" s="14" t="s">
        <v>3143</v>
      </c>
      <c r="T723" s="14" t="s">
        <v>36</v>
      </c>
      <c r="U723" s="17"/>
      <c r="V723" s="14"/>
      <c r="W723" s="14"/>
      <c r="X723" s="18"/>
      <c r="Y723" s="18"/>
      <c r="Z723" s="18"/>
      <c r="AA723" s="19">
        <f t="shared" si="1"/>
        <v>9</v>
      </c>
      <c r="AB723" s="19" t="str">
        <f t="shared" si="2"/>
        <v/>
      </c>
    </row>
    <row r="724" ht="15.75" customHeight="1">
      <c r="A724" s="12">
        <v>45188.0</v>
      </c>
      <c r="B724" s="13" t="s">
        <v>28</v>
      </c>
      <c r="C724" s="14" t="s">
        <v>3144</v>
      </c>
      <c r="D724" s="14" t="s">
        <v>3145</v>
      </c>
      <c r="E724" s="13">
        <v>8.0</v>
      </c>
      <c r="F724" s="14">
        <v>5.0</v>
      </c>
      <c r="G724" s="14"/>
      <c r="H724" s="15" t="s">
        <v>3146</v>
      </c>
      <c r="I724" s="14"/>
      <c r="J724" s="14"/>
      <c r="K724" s="14" t="s">
        <v>3147</v>
      </c>
      <c r="L724" s="14" t="s">
        <v>111</v>
      </c>
      <c r="M724" s="14" t="s">
        <v>565</v>
      </c>
      <c r="N724" s="14" t="b">
        <v>0</v>
      </c>
      <c r="O724" s="14"/>
      <c r="P724" s="14"/>
      <c r="Q724" s="14"/>
      <c r="R724" s="14"/>
      <c r="S724" s="14" t="s">
        <v>3148</v>
      </c>
      <c r="T724" s="13" t="s">
        <v>129</v>
      </c>
      <c r="U724" s="17"/>
      <c r="V724" s="14"/>
      <c r="W724" s="14"/>
      <c r="X724" s="18"/>
      <c r="Y724" s="18"/>
      <c r="Z724" s="18"/>
      <c r="AA724" s="19">
        <f t="shared" si="1"/>
        <v>9</v>
      </c>
      <c r="AB724" s="19" t="str">
        <f t="shared" si="2"/>
        <v/>
      </c>
    </row>
    <row r="725" ht="15.75" customHeight="1">
      <c r="A725" s="12">
        <v>45188.0</v>
      </c>
      <c r="B725" s="13" t="s">
        <v>28</v>
      </c>
      <c r="C725" s="14" t="s">
        <v>3149</v>
      </c>
      <c r="D725" s="14"/>
      <c r="E725" s="13">
        <v>5.0</v>
      </c>
      <c r="F725" s="14"/>
      <c r="G725" s="14"/>
      <c r="H725" s="15" t="s">
        <v>3150</v>
      </c>
      <c r="I725" s="14"/>
      <c r="J725" s="14"/>
      <c r="K725" s="14" t="s">
        <v>3151</v>
      </c>
      <c r="L725" s="14" t="s">
        <v>111</v>
      </c>
      <c r="M725" s="14" t="s">
        <v>565</v>
      </c>
      <c r="N725" s="14" t="b">
        <v>0</v>
      </c>
      <c r="O725" s="14"/>
      <c r="P725" s="14"/>
      <c r="Q725" s="14"/>
      <c r="R725" s="14"/>
      <c r="S725" s="14" t="s">
        <v>3152</v>
      </c>
      <c r="T725" s="13" t="s">
        <v>229</v>
      </c>
      <c r="U725" s="17"/>
      <c r="V725" s="14"/>
      <c r="W725" s="14"/>
      <c r="X725" s="18"/>
      <c r="Y725" s="18"/>
      <c r="Z725" s="18"/>
      <c r="AA725" s="19">
        <f t="shared" si="1"/>
        <v>9</v>
      </c>
      <c r="AB725" s="19" t="str">
        <f t="shared" si="2"/>
        <v/>
      </c>
    </row>
    <row r="726" ht="15.75" customHeight="1">
      <c r="A726" s="12">
        <v>45188.0</v>
      </c>
      <c r="B726" s="14" t="s">
        <v>539</v>
      </c>
      <c r="C726" s="14" t="s">
        <v>3153</v>
      </c>
      <c r="D726" s="203" t="s">
        <v>3154</v>
      </c>
      <c r="E726" s="13">
        <v>4.0</v>
      </c>
      <c r="F726" s="14">
        <v>5.0</v>
      </c>
      <c r="G726" s="14"/>
      <c r="H726" s="202">
        <v>9.89349955E8</v>
      </c>
      <c r="I726" s="14"/>
      <c r="J726" s="14"/>
      <c r="K726" s="14"/>
      <c r="L726" s="14" t="s">
        <v>111</v>
      </c>
      <c r="M726" s="14" t="s">
        <v>13</v>
      </c>
      <c r="N726" s="14" t="b">
        <v>1</v>
      </c>
      <c r="O726" s="13" t="s">
        <v>3155</v>
      </c>
      <c r="P726" s="13" t="s">
        <v>69</v>
      </c>
      <c r="Q726" s="14"/>
      <c r="R726" s="14"/>
      <c r="S726" s="14" t="s">
        <v>3156</v>
      </c>
      <c r="T726" s="13" t="s">
        <v>129</v>
      </c>
      <c r="U726" s="17"/>
      <c r="V726" s="14"/>
      <c r="W726" s="14"/>
      <c r="X726" s="18"/>
      <c r="Y726" s="18"/>
      <c r="Z726" s="18"/>
      <c r="AA726" s="19">
        <f t="shared" si="1"/>
        <v>9</v>
      </c>
      <c r="AB726" s="19" t="str">
        <f t="shared" si="2"/>
        <v/>
      </c>
    </row>
    <row r="727" ht="15.75" customHeight="1">
      <c r="A727" s="12">
        <v>45188.0</v>
      </c>
      <c r="B727" s="14" t="s">
        <v>539</v>
      </c>
      <c r="C727" s="14" t="s">
        <v>3157</v>
      </c>
      <c r="D727" s="14" t="s">
        <v>3158</v>
      </c>
      <c r="E727" s="13">
        <v>5.0</v>
      </c>
      <c r="F727" s="14">
        <v>1.0</v>
      </c>
      <c r="G727" s="14"/>
      <c r="H727" s="202">
        <v>3.47527031E8</v>
      </c>
      <c r="I727" s="14"/>
      <c r="J727" s="14"/>
      <c r="K727" s="14"/>
      <c r="L727" s="14" t="s">
        <v>111</v>
      </c>
      <c r="M727" s="14" t="s">
        <v>13</v>
      </c>
      <c r="N727" s="14" t="b">
        <v>1</v>
      </c>
      <c r="O727" s="13" t="s">
        <v>3159</v>
      </c>
      <c r="P727" s="13" t="s">
        <v>42</v>
      </c>
      <c r="Q727" s="14"/>
      <c r="R727" s="14"/>
      <c r="S727" s="14" t="s">
        <v>3160</v>
      </c>
      <c r="T727" s="13" t="s">
        <v>129</v>
      </c>
      <c r="U727" s="17"/>
      <c r="V727" s="14"/>
      <c r="W727" s="14"/>
      <c r="X727" s="18"/>
      <c r="Y727" s="18"/>
      <c r="Z727" s="18"/>
      <c r="AA727" s="19">
        <f t="shared" si="1"/>
        <v>9</v>
      </c>
      <c r="AB727" s="19" t="str">
        <f t="shared" si="2"/>
        <v/>
      </c>
    </row>
    <row r="728" ht="15.75" customHeight="1">
      <c r="A728" s="12">
        <v>45188.0</v>
      </c>
      <c r="B728" s="13" t="s">
        <v>28</v>
      </c>
      <c r="C728" s="14" t="s">
        <v>3161</v>
      </c>
      <c r="D728" s="14"/>
      <c r="E728" s="13">
        <v>12.0</v>
      </c>
      <c r="F728" s="14">
        <v>7.0</v>
      </c>
      <c r="G728" s="14"/>
      <c r="H728" s="15" t="s">
        <v>3162</v>
      </c>
      <c r="I728" s="14"/>
      <c r="J728" s="14"/>
      <c r="K728" s="13" t="s">
        <v>91</v>
      </c>
      <c r="L728" s="14" t="s">
        <v>111</v>
      </c>
      <c r="M728" s="14" t="s">
        <v>565</v>
      </c>
      <c r="N728" s="14" t="b">
        <v>0</v>
      </c>
      <c r="O728" s="14"/>
      <c r="P728" s="14"/>
      <c r="Q728" s="14"/>
      <c r="R728" s="14"/>
      <c r="S728" s="14" t="s">
        <v>3163</v>
      </c>
      <c r="T728" s="13" t="s">
        <v>129</v>
      </c>
      <c r="U728" s="17"/>
      <c r="V728" s="14"/>
      <c r="W728" s="14"/>
      <c r="X728" s="18"/>
      <c r="Y728" s="18"/>
      <c r="Z728" s="18"/>
      <c r="AA728" s="19">
        <f t="shared" si="1"/>
        <v>9</v>
      </c>
      <c r="AB728" s="19" t="str">
        <f t="shared" si="2"/>
        <v/>
      </c>
    </row>
    <row r="729" ht="15.75" customHeight="1">
      <c r="A729" s="12">
        <v>45188.0</v>
      </c>
      <c r="B729" s="13" t="s">
        <v>28</v>
      </c>
      <c r="C729" s="14" t="s">
        <v>3164</v>
      </c>
      <c r="D729" s="14"/>
      <c r="E729" s="14"/>
      <c r="F729" s="14"/>
      <c r="G729" s="14"/>
      <c r="H729" s="15" t="s">
        <v>3165</v>
      </c>
      <c r="I729" s="14"/>
      <c r="J729" s="14"/>
      <c r="K729" s="14"/>
      <c r="L729" s="14" t="s">
        <v>111</v>
      </c>
      <c r="M729" s="14" t="s">
        <v>565</v>
      </c>
      <c r="N729" s="14" t="b">
        <v>0</v>
      </c>
      <c r="O729" s="14"/>
      <c r="P729" s="14"/>
      <c r="Q729" s="14"/>
      <c r="R729" s="14"/>
      <c r="S729" s="14" t="s">
        <v>3166</v>
      </c>
      <c r="T729" s="13" t="s">
        <v>129</v>
      </c>
      <c r="U729" s="17"/>
      <c r="V729" s="14"/>
      <c r="W729" s="14"/>
      <c r="X729" s="18"/>
      <c r="Y729" s="18"/>
      <c r="Z729" s="18"/>
      <c r="AA729" s="19">
        <f t="shared" si="1"/>
        <v>9</v>
      </c>
      <c r="AB729" s="19" t="str">
        <f t="shared" si="2"/>
        <v/>
      </c>
    </row>
    <row r="730" ht="15.75" customHeight="1">
      <c r="A730" s="12">
        <v>45189.0</v>
      </c>
      <c r="B730" s="13" t="s">
        <v>28</v>
      </c>
      <c r="C730" s="14" t="s">
        <v>3167</v>
      </c>
      <c r="D730" s="14"/>
      <c r="E730" s="13">
        <v>14.0</v>
      </c>
      <c r="F730" s="14">
        <v>9.0</v>
      </c>
      <c r="G730" s="14"/>
      <c r="H730" s="15" t="s">
        <v>3168</v>
      </c>
      <c r="I730" s="14"/>
      <c r="J730" s="14"/>
      <c r="K730" s="14" t="s">
        <v>1615</v>
      </c>
      <c r="L730" s="14" t="s">
        <v>111</v>
      </c>
      <c r="M730" s="14" t="s">
        <v>565</v>
      </c>
      <c r="N730" s="14" t="b">
        <v>0</v>
      </c>
      <c r="O730" s="14"/>
      <c r="P730" s="14"/>
      <c r="Q730" s="14"/>
      <c r="R730" s="14"/>
      <c r="S730" s="14" t="s">
        <v>3169</v>
      </c>
      <c r="T730" s="13" t="s">
        <v>129</v>
      </c>
      <c r="U730" s="17"/>
      <c r="V730" s="14"/>
      <c r="W730" s="14"/>
      <c r="X730" s="18"/>
      <c r="Y730" s="18"/>
      <c r="Z730" s="18"/>
      <c r="AA730" s="19">
        <f t="shared" si="1"/>
        <v>9</v>
      </c>
      <c r="AB730" s="19" t="str">
        <f t="shared" si="2"/>
        <v/>
      </c>
    </row>
    <row r="731" ht="15.75" customHeight="1">
      <c r="A731" s="12">
        <v>45189.0</v>
      </c>
      <c r="B731" s="13" t="s">
        <v>28</v>
      </c>
      <c r="C731" s="14"/>
      <c r="D731" s="14" t="s">
        <v>3170</v>
      </c>
      <c r="E731" s="13">
        <v>14.0</v>
      </c>
      <c r="F731" s="14"/>
      <c r="G731" s="14"/>
      <c r="H731" s="15" t="s">
        <v>3171</v>
      </c>
      <c r="I731" s="14"/>
      <c r="J731" s="14"/>
      <c r="K731" s="201" t="s">
        <v>3049</v>
      </c>
      <c r="L731" s="14" t="s">
        <v>111</v>
      </c>
      <c r="M731" s="14" t="s">
        <v>34</v>
      </c>
      <c r="N731" s="14" t="b">
        <v>0</v>
      </c>
      <c r="O731" s="14"/>
      <c r="P731" s="14"/>
      <c r="Q731" s="14"/>
      <c r="R731" s="14"/>
      <c r="S731" s="14" t="s">
        <v>3172</v>
      </c>
      <c r="T731" s="14" t="s">
        <v>36</v>
      </c>
      <c r="U731" s="17"/>
      <c r="V731" s="14"/>
      <c r="W731" s="14"/>
      <c r="X731" s="18"/>
      <c r="Y731" s="18"/>
      <c r="Z731" s="18"/>
      <c r="AA731" s="19">
        <f t="shared" si="1"/>
        <v>9</v>
      </c>
      <c r="AB731" s="19" t="str">
        <f t="shared" si="2"/>
        <v/>
      </c>
    </row>
    <row r="732" ht="15.75" customHeight="1">
      <c r="A732" s="12">
        <v>45189.0</v>
      </c>
      <c r="B732" s="13" t="s">
        <v>28</v>
      </c>
      <c r="C732" s="14"/>
      <c r="D732" s="14" t="s">
        <v>3173</v>
      </c>
      <c r="E732" s="13">
        <v>10.0</v>
      </c>
      <c r="F732" s="14"/>
      <c r="G732" s="14"/>
      <c r="H732" s="15" t="s">
        <v>3174</v>
      </c>
      <c r="I732" s="14"/>
      <c r="J732" s="14"/>
      <c r="K732" s="201" t="s">
        <v>3049</v>
      </c>
      <c r="L732" s="14" t="s">
        <v>111</v>
      </c>
      <c r="M732" s="14" t="s">
        <v>565</v>
      </c>
      <c r="N732" s="14" t="b">
        <v>0</v>
      </c>
      <c r="O732" s="14"/>
      <c r="P732" s="14"/>
      <c r="Q732" s="14"/>
      <c r="R732" s="14"/>
      <c r="S732" s="14" t="s">
        <v>3175</v>
      </c>
      <c r="T732" s="13" t="s">
        <v>129</v>
      </c>
      <c r="U732" s="17"/>
      <c r="V732" s="14"/>
      <c r="W732" s="14"/>
      <c r="X732" s="18"/>
      <c r="Y732" s="18"/>
      <c r="Z732" s="18"/>
      <c r="AA732" s="19">
        <f t="shared" si="1"/>
        <v>9</v>
      </c>
      <c r="AB732" s="19" t="str">
        <f t="shared" si="2"/>
        <v/>
      </c>
    </row>
    <row r="733" ht="15.75" customHeight="1">
      <c r="A733" s="12">
        <v>45189.0</v>
      </c>
      <c r="B733" s="13" t="s">
        <v>28</v>
      </c>
      <c r="C733" s="14"/>
      <c r="D733" s="14" t="s">
        <v>3176</v>
      </c>
      <c r="E733" s="13">
        <v>10.0</v>
      </c>
      <c r="F733" s="14"/>
      <c r="G733" s="14"/>
      <c r="H733" s="15" t="s">
        <v>3177</v>
      </c>
      <c r="I733" s="14"/>
      <c r="J733" s="14"/>
      <c r="K733" s="201" t="s">
        <v>3049</v>
      </c>
      <c r="L733" s="14" t="s">
        <v>111</v>
      </c>
      <c r="M733" s="14" t="s">
        <v>565</v>
      </c>
      <c r="N733" s="14" t="b">
        <v>0</v>
      </c>
      <c r="O733" s="14"/>
      <c r="P733" s="14"/>
      <c r="Q733" s="14"/>
      <c r="R733" s="14"/>
      <c r="S733" s="14" t="s">
        <v>3175</v>
      </c>
      <c r="T733" s="13" t="s">
        <v>129</v>
      </c>
      <c r="U733" s="17"/>
      <c r="V733" s="14"/>
      <c r="W733" s="14"/>
      <c r="X733" s="18"/>
      <c r="Y733" s="18"/>
      <c r="Z733" s="18"/>
      <c r="AA733" s="19">
        <f t="shared" si="1"/>
        <v>9</v>
      </c>
      <c r="AB733" s="19" t="str">
        <f t="shared" si="2"/>
        <v/>
      </c>
    </row>
    <row r="734" ht="15.75" customHeight="1">
      <c r="A734" s="12">
        <v>45189.0</v>
      </c>
      <c r="B734" s="13" t="s">
        <v>28</v>
      </c>
      <c r="C734" s="14"/>
      <c r="D734" s="14" t="s">
        <v>3178</v>
      </c>
      <c r="E734" s="13">
        <v>12.0</v>
      </c>
      <c r="F734" s="14"/>
      <c r="G734" s="14"/>
      <c r="H734" s="15" t="s">
        <v>3179</v>
      </c>
      <c r="I734" s="14"/>
      <c r="J734" s="14"/>
      <c r="K734" s="201" t="s">
        <v>3049</v>
      </c>
      <c r="L734" s="14" t="s">
        <v>111</v>
      </c>
      <c r="M734" s="14" t="s">
        <v>1484</v>
      </c>
      <c r="N734" s="14" t="b">
        <v>0</v>
      </c>
      <c r="O734" s="14"/>
      <c r="P734" s="14"/>
      <c r="Q734" s="14"/>
      <c r="R734" s="14"/>
      <c r="S734" s="14" t="s">
        <v>3180</v>
      </c>
      <c r="T734" s="14" t="s">
        <v>36</v>
      </c>
      <c r="U734" s="17"/>
      <c r="V734" s="14"/>
      <c r="W734" s="14"/>
      <c r="X734" s="18"/>
      <c r="Y734" s="18"/>
      <c r="Z734" s="18"/>
      <c r="AA734" s="19">
        <f t="shared" si="1"/>
        <v>9</v>
      </c>
      <c r="AB734" s="19" t="str">
        <f t="shared" si="2"/>
        <v/>
      </c>
    </row>
    <row r="735" ht="15.75" customHeight="1">
      <c r="A735" s="12">
        <v>45189.0</v>
      </c>
      <c r="B735" s="13" t="s">
        <v>28</v>
      </c>
      <c r="C735" s="14"/>
      <c r="D735" s="14" t="s">
        <v>3181</v>
      </c>
      <c r="E735" s="13">
        <v>7.0</v>
      </c>
      <c r="F735" s="14"/>
      <c r="G735" s="14"/>
      <c r="H735" s="15" t="s">
        <v>3182</v>
      </c>
      <c r="I735" s="14"/>
      <c r="J735" s="14"/>
      <c r="K735" s="201" t="s">
        <v>3049</v>
      </c>
      <c r="L735" s="14" t="s">
        <v>111</v>
      </c>
      <c r="M735" s="14" t="s">
        <v>216</v>
      </c>
      <c r="N735" s="14" t="b">
        <v>0</v>
      </c>
      <c r="O735" s="14"/>
      <c r="P735" s="14"/>
      <c r="Q735" s="14"/>
      <c r="R735" s="14"/>
      <c r="S735" s="14"/>
      <c r="T735" s="14" t="s">
        <v>36</v>
      </c>
      <c r="U735" s="17"/>
      <c r="V735" s="14"/>
      <c r="W735" s="14"/>
      <c r="X735" s="18"/>
      <c r="Y735" s="18"/>
      <c r="Z735" s="18"/>
      <c r="AA735" s="19">
        <f t="shared" si="1"/>
        <v>9</v>
      </c>
      <c r="AB735" s="19" t="str">
        <f t="shared" si="2"/>
        <v/>
      </c>
    </row>
    <row r="736" ht="15.75" customHeight="1">
      <c r="A736" s="12">
        <v>45189.0</v>
      </c>
      <c r="B736" s="13" t="s">
        <v>28</v>
      </c>
      <c r="C736" s="14"/>
      <c r="D736" s="14" t="s">
        <v>3183</v>
      </c>
      <c r="E736" s="14"/>
      <c r="F736" s="14"/>
      <c r="G736" s="14"/>
      <c r="H736" s="15" t="s">
        <v>3184</v>
      </c>
      <c r="I736" s="14"/>
      <c r="J736" s="14"/>
      <c r="K736" s="14" t="s">
        <v>3185</v>
      </c>
      <c r="L736" s="14" t="s">
        <v>111</v>
      </c>
      <c r="M736" s="14" t="s">
        <v>565</v>
      </c>
      <c r="N736" s="14" t="b">
        <v>0</v>
      </c>
      <c r="O736" s="14"/>
      <c r="P736" s="14"/>
      <c r="Q736" s="14"/>
      <c r="R736" s="14"/>
      <c r="S736" s="14" t="s">
        <v>3186</v>
      </c>
      <c r="T736" s="14" t="s">
        <v>36</v>
      </c>
      <c r="U736" s="17"/>
      <c r="V736" s="14"/>
      <c r="W736" s="14"/>
      <c r="X736" s="18"/>
      <c r="Y736" s="18"/>
      <c r="Z736" s="18"/>
      <c r="AA736" s="19">
        <f t="shared" si="1"/>
        <v>9</v>
      </c>
      <c r="AB736" s="19" t="str">
        <f t="shared" si="2"/>
        <v/>
      </c>
    </row>
    <row r="737" ht="15.75" customHeight="1">
      <c r="A737" s="12">
        <v>45189.0</v>
      </c>
      <c r="B737" s="14" t="s">
        <v>539</v>
      </c>
      <c r="C737" s="14" t="s">
        <v>3187</v>
      </c>
      <c r="D737" s="14" t="s">
        <v>3188</v>
      </c>
      <c r="E737" s="13">
        <v>10.0</v>
      </c>
      <c r="F737" s="14">
        <v>5.0</v>
      </c>
      <c r="G737" s="14"/>
      <c r="H737" s="15" t="s">
        <v>3189</v>
      </c>
      <c r="I737" s="14"/>
      <c r="J737" s="14"/>
      <c r="K737" s="14"/>
      <c r="L737" s="14" t="s">
        <v>111</v>
      </c>
      <c r="M737" s="14" t="s">
        <v>13</v>
      </c>
      <c r="N737" s="14" t="b">
        <v>1</v>
      </c>
      <c r="O737" s="13" t="s">
        <v>3190</v>
      </c>
      <c r="P737" s="13" t="s">
        <v>42</v>
      </c>
      <c r="Q737" s="14"/>
      <c r="R737" s="14"/>
      <c r="S737" s="14" t="s">
        <v>3191</v>
      </c>
      <c r="T737" s="13" t="s">
        <v>129</v>
      </c>
      <c r="U737" s="17"/>
      <c r="V737" s="14"/>
      <c r="W737" s="14"/>
      <c r="X737" s="18"/>
      <c r="Y737" s="18"/>
      <c r="Z737" s="18"/>
      <c r="AA737" s="19">
        <f t="shared" si="1"/>
        <v>9</v>
      </c>
      <c r="AB737" s="19" t="str">
        <f t="shared" si="2"/>
        <v/>
      </c>
    </row>
    <row r="738" ht="15.75" customHeight="1">
      <c r="A738" s="12">
        <v>45189.0</v>
      </c>
      <c r="B738" s="14" t="s">
        <v>539</v>
      </c>
      <c r="C738" s="14" t="s">
        <v>3187</v>
      </c>
      <c r="D738" s="14" t="s">
        <v>3192</v>
      </c>
      <c r="E738" s="13">
        <v>7.0</v>
      </c>
      <c r="F738" s="14">
        <v>2.0</v>
      </c>
      <c r="G738" s="14"/>
      <c r="H738" s="15" t="s">
        <v>3189</v>
      </c>
      <c r="I738" s="14"/>
      <c r="J738" s="14"/>
      <c r="K738" s="14"/>
      <c r="L738" s="14" t="s">
        <v>111</v>
      </c>
      <c r="M738" s="14" t="s">
        <v>565</v>
      </c>
      <c r="N738" s="14" t="b">
        <v>0</v>
      </c>
      <c r="O738" s="14"/>
      <c r="P738" s="14"/>
      <c r="Q738" s="14"/>
      <c r="R738" s="14"/>
      <c r="S738" s="14" t="s">
        <v>3193</v>
      </c>
      <c r="T738" s="13" t="s">
        <v>129</v>
      </c>
      <c r="U738" s="17"/>
      <c r="V738" s="14"/>
      <c r="W738" s="14"/>
      <c r="X738" s="18"/>
      <c r="Y738" s="18"/>
      <c r="Z738" s="18"/>
      <c r="AA738" s="19">
        <f t="shared" si="1"/>
        <v>9</v>
      </c>
      <c r="AB738" s="19" t="str">
        <f t="shared" si="2"/>
        <v/>
      </c>
    </row>
    <row r="739" ht="15.75" customHeight="1">
      <c r="A739" s="12">
        <v>45189.0</v>
      </c>
      <c r="B739" s="13" t="s">
        <v>28</v>
      </c>
      <c r="C739" s="14"/>
      <c r="D739" s="14" t="s">
        <v>3194</v>
      </c>
      <c r="E739" s="13">
        <v>13.0</v>
      </c>
      <c r="F739" s="14"/>
      <c r="G739" s="14"/>
      <c r="H739" s="15" t="s">
        <v>3195</v>
      </c>
      <c r="I739" s="14"/>
      <c r="J739" s="14"/>
      <c r="K739" s="201" t="s">
        <v>3049</v>
      </c>
      <c r="L739" s="14" t="s">
        <v>111</v>
      </c>
      <c r="M739" s="14" t="s">
        <v>216</v>
      </c>
      <c r="N739" s="14" t="b">
        <v>0</v>
      </c>
      <c r="O739" s="14"/>
      <c r="P739" s="14"/>
      <c r="Q739" s="14"/>
      <c r="R739" s="14"/>
      <c r="S739" s="14"/>
      <c r="T739" s="14" t="s">
        <v>36</v>
      </c>
      <c r="U739" s="17"/>
      <c r="V739" s="14"/>
      <c r="W739" s="14"/>
      <c r="X739" s="18"/>
      <c r="Y739" s="18"/>
      <c r="Z739" s="18"/>
      <c r="AA739" s="19">
        <f t="shared" si="1"/>
        <v>9</v>
      </c>
      <c r="AB739" s="19" t="str">
        <f t="shared" si="2"/>
        <v/>
      </c>
    </row>
    <row r="740" ht="15.75" customHeight="1">
      <c r="A740" s="12">
        <v>45190.0</v>
      </c>
      <c r="B740" s="13" t="s">
        <v>28</v>
      </c>
      <c r="C740" s="14" t="s">
        <v>3196</v>
      </c>
      <c r="D740" s="14" t="s">
        <v>3197</v>
      </c>
      <c r="E740" s="13">
        <v>10.0</v>
      </c>
      <c r="F740" s="14">
        <v>4.0</v>
      </c>
      <c r="G740" s="14"/>
      <c r="H740" s="15" t="s">
        <v>3198</v>
      </c>
      <c r="I740" s="14"/>
      <c r="J740" s="14"/>
      <c r="K740" s="204" t="s">
        <v>3199</v>
      </c>
      <c r="L740" s="14" t="s">
        <v>111</v>
      </c>
      <c r="M740" s="14" t="s">
        <v>565</v>
      </c>
      <c r="N740" s="14" t="b">
        <v>0</v>
      </c>
      <c r="O740" s="14"/>
      <c r="P740" s="14"/>
      <c r="Q740" s="14"/>
      <c r="R740" s="14"/>
      <c r="S740" s="14" t="s">
        <v>3200</v>
      </c>
      <c r="T740" s="13" t="s">
        <v>129</v>
      </c>
      <c r="U740" s="17"/>
      <c r="V740" s="14"/>
      <c r="W740" s="14"/>
      <c r="X740" s="18"/>
      <c r="Y740" s="18"/>
      <c r="Z740" s="18"/>
      <c r="AA740" s="19">
        <f t="shared" si="1"/>
        <v>9</v>
      </c>
      <c r="AB740" s="19" t="str">
        <f t="shared" si="2"/>
        <v/>
      </c>
    </row>
    <row r="741" ht="15.75" customHeight="1">
      <c r="A741" s="12">
        <v>45190.0</v>
      </c>
      <c r="B741" s="13" t="s">
        <v>28</v>
      </c>
      <c r="C741" s="14" t="s">
        <v>3201</v>
      </c>
      <c r="D741" s="14" t="s">
        <v>3202</v>
      </c>
      <c r="E741" s="13">
        <v>15.0</v>
      </c>
      <c r="F741" s="14" t="s">
        <v>371</v>
      </c>
      <c r="G741" s="14"/>
      <c r="H741" s="15" t="s">
        <v>3203</v>
      </c>
      <c r="I741" s="14"/>
      <c r="J741" s="14"/>
      <c r="K741" s="204" t="s">
        <v>3204</v>
      </c>
      <c r="L741" s="14" t="s">
        <v>111</v>
      </c>
      <c r="M741" s="14" t="s">
        <v>565</v>
      </c>
      <c r="N741" s="14" t="b">
        <v>0</v>
      </c>
      <c r="O741" s="14"/>
      <c r="P741" s="14"/>
      <c r="Q741" s="14"/>
      <c r="R741" s="14"/>
      <c r="S741" s="14" t="s">
        <v>3205</v>
      </c>
      <c r="T741" s="13" t="s">
        <v>129</v>
      </c>
      <c r="U741" s="17"/>
      <c r="V741" s="14"/>
      <c r="W741" s="14"/>
      <c r="X741" s="18"/>
      <c r="Y741" s="18"/>
      <c r="Z741" s="18"/>
      <c r="AA741" s="19">
        <f t="shared" si="1"/>
        <v>9</v>
      </c>
      <c r="AB741" s="19" t="str">
        <f t="shared" si="2"/>
        <v/>
      </c>
    </row>
    <row r="742" ht="15.75" customHeight="1">
      <c r="A742" s="12">
        <v>45190.0</v>
      </c>
      <c r="B742" s="13" t="s">
        <v>28</v>
      </c>
      <c r="C742" s="14" t="s">
        <v>3206</v>
      </c>
      <c r="D742" s="14" t="s">
        <v>3207</v>
      </c>
      <c r="E742" s="13">
        <v>10.0</v>
      </c>
      <c r="F742" s="14">
        <v>4.0</v>
      </c>
      <c r="G742" s="14"/>
      <c r="H742" s="15" t="s">
        <v>3208</v>
      </c>
      <c r="I742" s="14"/>
      <c r="J742" s="14"/>
      <c r="K742" s="204" t="s">
        <v>3209</v>
      </c>
      <c r="L742" s="14" t="s">
        <v>111</v>
      </c>
      <c r="M742" s="14" t="s">
        <v>565</v>
      </c>
      <c r="N742" s="14" t="b">
        <v>0</v>
      </c>
      <c r="O742" s="14"/>
      <c r="P742" s="14"/>
      <c r="Q742" s="14"/>
      <c r="R742" s="14"/>
      <c r="S742" s="14" t="s">
        <v>3210</v>
      </c>
      <c r="T742" s="13" t="s">
        <v>129</v>
      </c>
      <c r="U742" s="17"/>
      <c r="V742" s="14"/>
      <c r="W742" s="14"/>
      <c r="X742" s="18"/>
      <c r="Y742" s="18"/>
      <c r="Z742" s="18"/>
      <c r="AA742" s="19">
        <f t="shared" si="1"/>
        <v>9</v>
      </c>
      <c r="AB742" s="19" t="str">
        <f t="shared" si="2"/>
        <v/>
      </c>
    </row>
    <row r="743" ht="15.75" customHeight="1">
      <c r="A743" s="12">
        <v>45190.0</v>
      </c>
      <c r="B743" s="13" t="s">
        <v>28</v>
      </c>
      <c r="C743" s="14" t="s">
        <v>3211</v>
      </c>
      <c r="D743" s="14"/>
      <c r="E743" s="13">
        <v>12.0</v>
      </c>
      <c r="F743" s="14">
        <v>6.0</v>
      </c>
      <c r="G743" s="14"/>
      <c r="H743" s="15" t="s">
        <v>3212</v>
      </c>
      <c r="I743" s="14"/>
      <c r="J743" s="14"/>
      <c r="K743" s="14" t="s">
        <v>3213</v>
      </c>
      <c r="L743" s="14" t="s">
        <v>111</v>
      </c>
      <c r="M743" s="14" t="s">
        <v>565</v>
      </c>
      <c r="N743" s="14" t="b">
        <v>0</v>
      </c>
      <c r="O743" s="14"/>
      <c r="P743" s="14"/>
      <c r="Q743" s="14"/>
      <c r="R743" s="90"/>
      <c r="S743" s="14" t="s">
        <v>3214</v>
      </c>
      <c r="T743" s="13" t="s">
        <v>129</v>
      </c>
      <c r="U743" s="17"/>
      <c r="V743" s="14"/>
      <c r="W743" s="14"/>
      <c r="X743" s="18"/>
      <c r="Y743" s="18"/>
      <c r="Z743" s="18"/>
      <c r="AA743" s="19">
        <f t="shared" si="1"/>
        <v>9</v>
      </c>
      <c r="AB743" s="19" t="str">
        <f t="shared" si="2"/>
        <v/>
      </c>
    </row>
    <row r="744" ht="15.75" customHeight="1">
      <c r="A744" s="12">
        <v>45190.0</v>
      </c>
      <c r="B744" s="13" t="s">
        <v>28</v>
      </c>
      <c r="C744" s="14" t="s">
        <v>3215</v>
      </c>
      <c r="D744" s="14"/>
      <c r="E744" s="14"/>
      <c r="F744" s="14"/>
      <c r="G744" s="14"/>
      <c r="H744" s="15" t="s">
        <v>3216</v>
      </c>
      <c r="I744" s="14"/>
      <c r="J744" s="14"/>
      <c r="K744" s="14" t="s">
        <v>3217</v>
      </c>
      <c r="L744" s="14" t="s">
        <v>111</v>
      </c>
      <c r="M744" s="14" t="s">
        <v>565</v>
      </c>
      <c r="N744" s="14" t="b">
        <v>0</v>
      </c>
      <c r="O744" s="14"/>
      <c r="P744" s="14"/>
      <c r="Q744" s="14"/>
      <c r="R744" s="14"/>
      <c r="S744" s="14" t="s">
        <v>3218</v>
      </c>
      <c r="T744" s="13" t="s">
        <v>129</v>
      </c>
      <c r="U744" s="17"/>
      <c r="V744" s="14"/>
      <c r="W744" s="14"/>
      <c r="X744" s="18"/>
      <c r="Y744" s="18"/>
      <c r="Z744" s="18"/>
      <c r="AA744" s="19">
        <f t="shared" si="1"/>
        <v>9</v>
      </c>
      <c r="AB744" s="19" t="str">
        <f t="shared" si="2"/>
        <v/>
      </c>
    </row>
    <row r="745" ht="15.75" customHeight="1">
      <c r="A745" s="12">
        <v>45190.0</v>
      </c>
      <c r="B745" s="13" t="s">
        <v>28</v>
      </c>
      <c r="C745" s="14" t="s">
        <v>3219</v>
      </c>
      <c r="D745" s="14"/>
      <c r="E745" s="13">
        <v>8.0</v>
      </c>
      <c r="F745" s="14">
        <v>3.0</v>
      </c>
      <c r="G745" s="14"/>
      <c r="H745" s="15" t="s">
        <v>3220</v>
      </c>
      <c r="I745" s="14"/>
      <c r="J745" s="14"/>
      <c r="K745" s="13" t="s">
        <v>3221</v>
      </c>
      <c r="L745" s="14" t="s">
        <v>111</v>
      </c>
      <c r="M745" s="14" t="s">
        <v>565</v>
      </c>
      <c r="N745" s="14" t="b">
        <v>0</v>
      </c>
      <c r="O745" s="14"/>
      <c r="P745" s="14"/>
      <c r="Q745" s="14"/>
      <c r="R745" s="14"/>
      <c r="S745" s="14" t="s">
        <v>3222</v>
      </c>
      <c r="T745" s="13" t="s">
        <v>129</v>
      </c>
      <c r="U745" s="17"/>
      <c r="V745" s="14"/>
      <c r="W745" s="14"/>
      <c r="X745" s="18"/>
      <c r="Y745" s="18"/>
      <c r="Z745" s="18"/>
      <c r="AA745" s="19">
        <f t="shared" si="1"/>
        <v>9</v>
      </c>
      <c r="AB745" s="19" t="str">
        <f t="shared" si="2"/>
        <v/>
      </c>
    </row>
    <row r="746" ht="15.75" customHeight="1">
      <c r="A746" s="12">
        <v>45190.0</v>
      </c>
      <c r="B746" s="14" t="s">
        <v>201</v>
      </c>
      <c r="C746" s="13" t="s">
        <v>3223</v>
      </c>
      <c r="D746" s="14"/>
      <c r="E746" s="13">
        <v>13.0</v>
      </c>
      <c r="F746" s="14">
        <v>8.0</v>
      </c>
      <c r="G746" s="14"/>
      <c r="H746" s="15" t="s">
        <v>3224</v>
      </c>
      <c r="I746" s="14"/>
      <c r="J746" s="14"/>
      <c r="K746" s="14" t="s">
        <v>3225</v>
      </c>
      <c r="L746" s="14" t="s">
        <v>111</v>
      </c>
      <c r="M746" s="14" t="s">
        <v>565</v>
      </c>
      <c r="N746" s="14" t="b">
        <v>0</v>
      </c>
      <c r="O746" s="14"/>
      <c r="P746" s="14"/>
      <c r="Q746" s="14"/>
      <c r="R746" s="14"/>
      <c r="S746" s="14" t="s">
        <v>3226</v>
      </c>
      <c r="T746" s="13" t="s">
        <v>129</v>
      </c>
      <c r="U746" s="17"/>
      <c r="V746" s="14"/>
      <c r="W746" s="14"/>
      <c r="X746" s="18"/>
      <c r="Y746" s="18"/>
      <c r="Z746" s="18"/>
      <c r="AA746" s="19">
        <f t="shared" si="1"/>
        <v>9</v>
      </c>
      <c r="AB746" s="19" t="str">
        <f t="shared" si="2"/>
        <v/>
      </c>
    </row>
    <row r="747" ht="15.75" customHeight="1">
      <c r="A747" s="12">
        <v>45191.0</v>
      </c>
      <c r="B747" s="13" t="s">
        <v>28</v>
      </c>
      <c r="C747" s="14" t="s">
        <v>3227</v>
      </c>
      <c r="D747" s="14" t="s">
        <v>3228</v>
      </c>
      <c r="E747" s="13">
        <v>8.0</v>
      </c>
      <c r="F747" s="14">
        <v>3.0</v>
      </c>
      <c r="G747" s="14"/>
      <c r="H747" s="15" t="s">
        <v>3229</v>
      </c>
      <c r="I747" s="14"/>
      <c r="J747" s="14"/>
      <c r="K747" s="204" t="s">
        <v>3230</v>
      </c>
      <c r="L747" s="14" t="s">
        <v>111</v>
      </c>
      <c r="M747" s="14" t="s">
        <v>565</v>
      </c>
      <c r="N747" s="14" t="b">
        <v>0</v>
      </c>
      <c r="O747" s="14"/>
      <c r="P747" s="14"/>
      <c r="Q747" s="14"/>
      <c r="R747" s="14"/>
      <c r="S747" s="14" t="s">
        <v>3231</v>
      </c>
      <c r="T747" s="13" t="s">
        <v>129</v>
      </c>
      <c r="U747" s="17"/>
      <c r="V747" s="14"/>
      <c r="W747" s="14"/>
      <c r="X747" s="18"/>
      <c r="Y747" s="18"/>
      <c r="Z747" s="18"/>
      <c r="AA747" s="19">
        <f t="shared" si="1"/>
        <v>9</v>
      </c>
      <c r="AB747" s="19" t="str">
        <f t="shared" si="2"/>
        <v/>
      </c>
    </row>
    <row r="748" ht="15.75" customHeight="1">
      <c r="A748" s="12">
        <v>45191.0</v>
      </c>
      <c r="B748" s="13" t="s">
        <v>28</v>
      </c>
      <c r="C748" s="14" t="s">
        <v>3232</v>
      </c>
      <c r="D748" s="14"/>
      <c r="E748" s="14"/>
      <c r="F748" s="14"/>
      <c r="G748" s="14"/>
      <c r="H748" s="15" t="s">
        <v>3233</v>
      </c>
      <c r="I748" s="14"/>
      <c r="J748" s="14"/>
      <c r="K748" s="14" t="s">
        <v>3234</v>
      </c>
      <c r="L748" s="14" t="s">
        <v>111</v>
      </c>
      <c r="M748" s="14" t="s">
        <v>565</v>
      </c>
      <c r="N748" s="14" t="b">
        <v>0</v>
      </c>
      <c r="O748" s="14"/>
      <c r="P748" s="14"/>
      <c r="Q748" s="14"/>
      <c r="R748" s="14"/>
      <c r="S748" s="14" t="s">
        <v>3235</v>
      </c>
      <c r="T748" s="13" t="s">
        <v>129</v>
      </c>
      <c r="U748" s="17"/>
      <c r="V748" s="14"/>
      <c r="W748" s="14"/>
      <c r="X748" s="18"/>
      <c r="Y748" s="18"/>
      <c r="Z748" s="18"/>
      <c r="AA748" s="19">
        <f t="shared" si="1"/>
        <v>9</v>
      </c>
      <c r="AB748" s="19" t="str">
        <f t="shared" si="2"/>
        <v/>
      </c>
    </row>
    <row r="749" ht="15.75" customHeight="1">
      <c r="A749" s="12">
        <v>45191.0</v>
      </c>
      <c r="B749" s="14" t="s">
        <v>703</v>
      </c>
      <c r="C749" s="14" t="s">
        <v>3236</v>
      </c>
      <c r="D749" s="14" t="s">
        <v>3237</v>
      </c>
      <c r="E749" s="13">
        <v>10.0</v>
      </c>
      <c r="F749" s="14"/>
      <c r="G749" s="14"/>
      <c r="H749" s="15" t="s">
        <v>3238</v>
      </c>
      <c r="I749" s="14"/>
      <c r="J749" s="14"/>
      <c r="K749" s="204" t="s">
        <v>3239</v>
      </c>
      <c r="L749" s="14" t="s">
        <v>111</v>
      </c>
      <c r="M749" s="14" t="s">
        <v>565</v>
      </c>
      <c r="N749" s="14" t="b">
        <v>0</v>
      </c>
      <c r="O749" s="14"/>
      <c r="P749" s="14"/>
      <c r="Q749" s="14"/>
      <c r="R749" s="14"/>
      <c r="S749" s="14" t="s">
        <v>3240</v>
      </c>
      <c r="T749" s="13" t="s">
        <v>129</v>
      </c>
      <c r="U749" s="17"/>
      <c r="V749" s="14"/>
      <c r="W749" s="14"/>
      <c r="X749" s="18"/>
      <c r="Y749" s="18"/>
      <c r="Z749" s="18"/>
      <c r="AA749" s="19">
        <f t="shared" si="1"/>
        <v>9</v>
      </c>
      <c r="AB749" s="19" t="str">
        <f t="shared" si="2"/>
        <v/>
      </c>
    </row>
    <row r="750" ht="15.75" customHeight="1">
      <c r="A750" s="12">
        <v>45191.0</v>
      </c>
      <c r="B750" s="14" t="s">
        <v>201</v>
      </c>
      <c r="C750" s="13" t="s">
        <v>3241</v>
      </c>
      <c r="D750" s="14"/>
      <c r="E750" s="13">
        <v>14.0</v>
      </c>
      <c r="F750" s="14"/>
      <c r="G750" s="14"/>
      <c r="H750" s="15" t="s">
        <v>3242</v>
      </c>
      <c r="I750" s="14"/>
      <c r="J750" s="14"/>
      <c r="K750" s="14" t="s">
        <v>3243</v>
      </c>
      <c r="L750" s="14" t="s">
        <v>111</v>
      </c>
      <c r="M750" s="14" t="s">
        <v>565</v>
      </c>
      <c r="N750" s="14" t="b">
        <v>0</v>
      </c>
      <c r="O750" s="14"/>
      <c r="P750" s="14"/>
      <c r="Q750" s="14"/>
      <c r="R750" s="14"/>
      <c r="S750" s="14" t="s">
        <v>3244</v>
      </c>
      <c r="T750" s="13" t="s">
        <v>129</v>
      </c>
      <c r="U750" s="17"/>
      <c r="V750" s="14"/>
      <c r="W750" s="14"/>
      <c r="X750" s="18"/>
      <c r="Y750" s="18"/>
      <c r="Z750" s="18"/>
      <c r="AA750" s="19">
        <f t="shared" si="1"/>
        <v>9</v>
      </c>
      <c r="AB750" s="19" t="str">
        <f t="shared" si="2"/>
        <v/>
      </c>
    </row>
    <row r="751" ht="15.75" customHeight="1">
      <c r="A751" s="12">
        <v>45136.0</v>
      </c>
      <c r="B751" s="13" t="s">
        <v>28</v>
      </c>
      <c r="C751" s="44" t="s">
        <v>3245</v>
      </c>
      <c r="D751" s="14" t="s">
        <v>3246</v>
      </c>
      <c r="E751" s="14"/>
      <c r="F751" s="14">
        <v>4.0</v>
      </c>
      <c r="G751" s="14"/>
      <c r="H751" s="15" t="s">
        <v>3247</v>
      </c>
      <c r="I751" s="14"/>
      <c r="J751" s="14"/>
      <c r="K751" s="14" t="s">
        <v>3248</v>
      </c>
      <c r="L751" s="14" t="s">
        <v>111</v>
      </c>
      <c r="M751" s="14" t="s">
        <v>13</v>
      </c>
      <c r="N751" s="14" t="b">
        <v>1</v>
      </c>
      <c r="O751" s="13" t="s">
        <v>3249</v>
      </c>
      <c r="P751" s="13" t="s">
        <v>42</v>
      </c>
      <c r="Q751" s="14"/>
      <c r="R751" s="14"/>
      <c r="S751" s="14" t="s">
        <v>3250</v>
      </c>
      <c r="T751" s="13" t="s">
        <v>129</v>
      </c>
      <c r="U751" s="17"/>
      <c r="V751" s="14"/>
      <c r="W751" s="14"/>
      <c r="X751" s="18"/>
      <c r="Y751" s="18"/>
      <c r="Z751" s="18"/>
      <c r="AA751" s="19">
        <f t="shared" si="1"/>
        <v>7</v>
      </c>
      <c r="AB751" s="19" t="str">
        <f t="shared" si="2"/>
        <v/>
      </c>
    </row>
    <row r="752" ht="15.75" customHeight="1">
      <c r="A752" s="12">
        <v>45191.0</v>
      </c>
      <c r="B752" s="14" t="s">
        <v>539</v>
      </c>
      <c r="C752" s="14" t="s">
        <v>3251</v>
      </c>
      <c r="D752" s="14" t="s">
        <v>3252</v>
      </c>
      <c r="E752" s="14"/>
      <c r="F752" s="14">
        <v>5.0</v>
      </c>
      <c r="G752" s="14"/>
      <c r="H752" s="15" t="s">
        <v>3253</v>
      </c>
      <c r="I752" s="14"/>
      <c r="J752" s="14"/>
      <c r="K752" s="14"/>
      <c r="L752" s="14" t="s">
        <v>111</v>
      </c>
      <c r="M752" s="14" t="s">
        <v>13</v>
      </c>
      <c r="N752" s="14" t="b">
        <v>1</v>
      </c>
      <c r="O752" s="13" t="s">
        <v>3254</v>
      </c>
      <c r="P752" s="13" t="s">
        <v>42</v>
      </c>
      <c r="Q752" s="14"/>
      <c r="R752" s="14"/>
      <c r="S752" s="14" t="s">
        <v>3255</v>
      </c>
      <c r="T752" s="13" t="s">
        <v>129</v>
      </c>
      <c r="U752" s="17"/>
      <c r="V752" s="14"/>
      <c r="W752" s="14"/>
      <c r="X752" s="18"/>
      <c r="Y752" s="18"/>
      <c r="Z752" s="18"/>
      <c r="AA752" s="19">
        <f t="shared" si="1"/>
        <v>9</v>
      </c>
      <c r="AB752" s="19" t="str">
        <f t="shared" si="2"/>
        <v/>
      </c>
    </row>
    <row r="753" ht="15.75" customHeight="1">
      <c r="A753" s="12">
        <v>45191.0</v>
      </c>
      <c r="B753" s="14" t="s">
        <v>703</v>
      </c>
      <c r="C753" s="14" t="s">
        <v>3256</v>
      </c>
      <c r="D753" s="14" t="s">
        <v>3257</v>
      </c>
      <c r="E753" s="14"/>
      <c r="F753" s="14"/>
      <c r="G753" s="14"/>
      <c r="H753" s="15" t="s">
        <v>3258</v>
      </c>
      <c r="I753" s="14"/>
      <c r="J753" s="14"/>
      <c r="K753" s="204" t="s">
        <v>3259</v>
      </c>
      <c r="L753" s="14" t="s">
        <v>111</v>
      </c>
      <c r="M753" s="14" t="s">
        <v>565</v>
      </c>
      <c r="N753" s="14" t="b">
        <v>0</v>
      </c>
      <c r="O753" s="14"/>
      <c r="P753" s="14"/>
      <c r="Q753" s="14"/>
      <c r="R753" s="14"/>
      <c r="S753" s="205" t="s">
        <v>3260</v>
      </c>
      <c r="T753" s="13" t="s">
        <v>129</v>
      </c>
      <c r="U753" s="17"/>
      <c r="V753" s="14"/>
      <c r="W753" s="14"/>
      <c r="X753" s="18"/>
      <c r="Y753" s="18"/>
      <c r="Z753" s="18"/>
      <c r="AA753" s="19">
        <f t="shared" si="1"/>
        <v>9</v>
      </c>
      <c r="AB753" s="19" t="str">
        <f t="shared" si="2"/>
        <v/>
      </c>
    </row>
    <row r="754" ht="15.75" customHeight="1">
      <c r="A754" s="12">
        <v>45192.0</v>
      </c>
      <c r="B754" s="13" t="s">
        <v>28</v>
      </c>
      <c r="C754" s="206" t="s">
        <v>3261</v>
      </c>
      <c r="D754" s="206" t="s">
        <v>3262</v>
      </c>
      <c r="E754" s="207">
        <v>11.0</v>
      </c>
      <c r="F754" s="206">
        <v>6.0</v>
      </c>
      <c r="G754" s="175"/>
      <c r="H754" s="208" t="s">
        <v>3263</v>
      </c>
      <c r="I754" s="175"/>
      <c r="J754" s="14"/>
      <c r="K754" s="204" t="s">
        <v>3264</v>
      </c>
      <c r="L754" s="14" t="s">
        <v>111</v>
      </c>
      <c r="M754" s="14" t="s">
        <v>216</v>
      </c>
      <c r="N754" s="14" t="b">
        <v>0</v>
      </c>
      <c r="O754" s="14"/>
      <c r="P754" s="14"/>
      <c r="Q754" s="14"/>
      <c r="R754" s="14"/>
      <c r="S754" s="14" t="s">
        <v>3265</v>
      </c>
      <c r="T754" s="13" t="s">
        <v>129</v>
      </c>
      <c r="U754" s="17"/>
      <c r="V754" s="32">
        <v>45195.0</v>
      </c>
      <c r="W754" s="24" t="s">
        <v>1230</v>
      </c>
      <c r="X754" s="25">
        <v>3840000.0</v>
      </c>
      <c r="Y754" s="25">
        <v>576000.0</v>
      </c>
      <c r="Z754" s="25">
        <v>3264000.0</v>
      </c>
      <c r="AA754" s="19">
        <f t="shared" si="1"/>
        <v>9</v>
      </c>
      <c r="AB754" s="19" t="str">
        <f t="shared" si="2"/>
        <v/>
      </c>
    </row>
    <row r="755" ht="15.75" customHeight="1">
      <c r="A755" s="26">
        <v>45192.0</v>
      </c>
      <c r="B755" s="13" t="s">
        <v>28</v>
      </c>
      <c r="C755" s="27" t="s">
        <v>3266</v>
      </c>
      <c r="D755" s="27" t="s">
        <v>3228</v>
      </c>
      <c r="E755" s="24">
        <v>11.0</v>
      </c>
      <c r="F755" s="27">
        <v>6.0</v>
      </c>
      <c r="G755" s="27"/>
      <c r="H755" s="34" t="s">
        <v>3267</v>
      </c>
      <c r="I755" s="27"/>
      <c r="J755" s="27"/>
      <c r="K755" s="27"/>
      <c r="L755" s="27" t="s">
        <v>111</v>
      </c>
      <c r="M755" s="27" t="s">
        <v>67</v>
      </c>
      <c r="N755" s="14" t="b">
        <v>1</v>
      </c>
      <c r="O755" s="24" t="s">
        <v>3268</v>
      </c>
      <c r="P755" s="13" t="s">
        <v>69</v>
      </c>
      <c r="Q755" s="24" t="s">
        <v>1230</v>
      </c>
      <c r="R755" s="27"/>
      <c r="S755" s="27" t="s">
        <v>3269</v>
      </c>
      <c r="T755" s="24" t="s">
        <v>72</v>
      </c>
      <c r="U755" s="26"/>
      <c r="V755" s="14"/>
      <c r="W755" s="14"/>
      <c r="X755" s="18"/>
      <c r="Y755" s="18"/>
      <c r="Z755" s="18"/>
      <c r="AA755" s="19">
        <f t="shared" si="1"/>
        <v>9</v>
      </c>
      <c r="AB755" s="19">
        <f t="shared" si="2"/>
        <v>9</v>
      </c>
    </row>
    <row r="756" ht="15.75" customHeight="1">
      <c r="A756" s="12">
        <v>45192.0</v>
      </c>
      <c r="B756" s="13" t="s">
        <v>28</v>
      </c>
      <c r="C756" s="14" t="s">
        <v>3270</v>
      </c>
      <c r="D756" s="14"/>
      <c r="E756" s="14"/>
      <c r="F756" s="14"/>
      <c r="G756" s="14"/>
      <c r="H756" s="15" t="s">
        <v>3271</v>
      </c>
      <c r="I756" s="14"/>
      <c r="J756" s="14"/>
      <c r="K756" s="14" t="s">
        <v>3272</v>
      </c>
      <c r="L756" s="14" t="s">
        <v>111</v>
      </c>
      <c r="M756" s="14" t="s">
        <v>216</v>
      </c>
      <c r="N756" s="14" t="b">
        <v>0</v>
      </c>
      <c r="O756" s="14"/>
      <c r="P756" s="14"/>
      <c r="Q756" s="14"/>
      <c r="R756" s="14"/>
      <c r="S756" s="14" t="s">
        <v>3273</v>
      </c>
      <c r="T756" s="13" t="s">
        <v>129</v>
      </c>
      <c r="U756" s="17"/>
      <c r="V756" s="14"/>
      <c r="W756" s="14"/>
      <c r="X756" s="18"/>
      <c r="Y756" s="18"/>
      <c r="Z756" s="18"/>
      <c r="AA756" s="19">
        <f t="shared" si="1"/>
        <v>9</v>
      </c>
      <c r="AB756" s="19" t="str">
        <f t="shared" si="2"/>
        <v/>
      </c>
    </row>
    <row r="757" ht="15.75" customHeight="1">
      <c r="A757" s="12">
        <v>45192.0</v>
      </c>
      <c r="B757" s="14" t="s">
        <v>703</v>
      </c>
      <c r="C757" s="14" t="s">
        <v>3274</v>
      </c>
      <c r="D757" s="14"/>
      <c r="E757" s="14"/>
      <c r="F757" s="14"/>
      <c r="G757" s="14"/>
      <c r="H757" s="15" t="s">
        <v>3275</v>
      </c>
      <c r="I757" s="14"/>
      <c r="J757" s="14"/>
      <c r="K757" s="14" t="s">
        <v>3276</v>
      </c>
      <c r="L757" s="14" t="s">
        <v>111</v>
      </c>
      <c r="M757" s="14" t="s">
        <v>34</v>
      </c>
      <c r="N757" s="14" t="b">
        <v>0</v>
      </c>
      <c r="O757" s="14"/>
      <c r="P757" s="14"/>
      <c r="Q757" s="14"/>
      <c r="R757" s="14"/>
      <c r="S757" s="14" t="s">
        <v>3277</v>
      </c>
      <c r="T757" s="14" t="s">
        <v>36</v>
      </c>
      <c r="U757" s="17"/>
      <c r="V757" s="14"/>
      <c r="W757" s="14"/>
      <c r="X757" s="18"/>
      <c r="Y757" s="18"/>
      <c r="Z757" s="18"/>
      <c r="AA757" s="19">
        <f t="shared" si="1"/>
        <v>9</v>
      </c>
      <c r="AB757" s="19" t="str">
        <f t="shared" si="2"/>
        <v/>
      </c>
    </row>
    <row r="758" ht="15.75" customHeight="1">
      <c r="A758" s="12">
        <v>45192.0</v>
      </c>
      <c r="B758" s="14" t="s">
        <v>73</v>
      </c>
      <c r="C758" s="14" t="s">
        <v>3278</v>
      </c>
      <c r="D758" s="14"/>
      <c r="E758" s="14"/>
      <c r="F758" s="14"/>
      <c r="G758" s="14"/>
      <c r="H758" s="15" t="s">
        <v>3279</v>
      </c>
      <c r="I758" s="14"/>
      <c r="J758" s="14"/>
      <c r="K758" s="14"/>
      <c r="L758" s="14" t="s">
        <v>111</v>
      </c>
      <c r="M758" s="14" t="s">
        <v>565</v>
      </c>
      <c r="N758" s="14" t="b">
        <v>0</v>
      </c>
      <c r="O758" s="14"/>
      <c r="P758" s="14"/>
      <c r="Q758" s="14"/>
      <c r="R758" s="14"/>
      <c r="S758" s="14" t="s">
        <v>3280</v>
      </c>
      <c r="T758" s="13" t="s">
        <v>129</v>
      </c>
      <c r="U758" s="17"/>
      <c r="V758" s="14"/>
      <c r="W758" s="14"/>
      <c r="X758" s="18"/>
      <c r="Y758" s="18"/>
      <c r="Z758" s="18"/>
      <c r="AA758" s="19">
        <f t="shared" si="1"/>
        <v>9</v>
      </c>
      <c r="AB758" s="19" t="str">
        <f t="shared" si="2"/>
        <v/>
      </c>
    </row>
    <row r="759" ht="15.75" customHeight="1">
      <c r="A759" s="12">
        <v>45192.0</v>
      </c>
      <c r="B759" s="14" t="s">
        <v>703</v>
      </c>
      <c r="C759" s="14" t="s">
        <v>3281</v>
      </c>
      <c r="D759" s="14"/>
      <c r="E759" s="14"/>
      <c r="F759" s="14"/>
      <c r="G759" s="14"/>
      <c r="H759" s="15" t="s">
        <v>3282</v>
      </c>
      <c r="I759" s="14"/>
      <c r="J759" s="14"/>
      <c r="K759" s="14" t="s">
        <v>3283</v>
      </c>
      <c r="L759" s="14" t="s">
        <v>111</v>
      </c>
      <c r="M759" s="14" t="s">
        <v>34</v>
      </c>
      <c r="N759" s="14" t="b">
        <v>0</v>
      </c>
      <c r="O759" s="14"/>
      <c r="P759" s="14"/>
      <c r="Q759" s="14"/>
      <c r="R759" s="14"/>
      <c r="S759" s="14" t="s">
        <v>3284</v>
      </c>
      <c r="T759" s="14" t="s">
        <v>36</v>
      </c>
      <c r="U759" s="17"/>
      <c r="V759" s="14"/>
      <c r="W759" s="14"/>
      <c r="X759" s="18"/>
      <c r="Y759" s="18"/>
      <c r="Z759" s="18"/>
      <c r="AA759" s="19">
        <f t="shared" si="1"/>
        <v>9</v>
      </c>
      <c r="AB759" s="19" t="str">
        <f t="shared" si="2"/>
        <v/>
      </c>
    </row>
    <row r="760" ht="15.75" customHeight="1">
      <c r="A760" s="12">
        <v>45192.0</v>
      </c>
      <c r="B760" s="14" t="s">
        <v>703</v>
      </c>
      <c r="C760" s="14" t="s">
        <v>3285</v>
      </c>
      <c r="D760" s="14"/>
      <c r="E760" s="13">
        <v>9.0</v>
      </c>
      <c r="F760" s="14">
        <v>3.0</v>
      </c>
      <c r="G760" s="14"/>
      <c r="H760" s="15" t="s">
        <v>3286</v>
      </c>
      <c r="I760" s="14"/>
      <c r="J760" s="14"/>
      <c r="K760" s="14" t="s">
        <v>3287</v>
      </c>
      <c r="L760" s="14" t="s">
        <v>111</v>
      </c>
      <c r="M760" s="14" t="s">
        <v>34</v>
      </c>
      <c r="N760" s="14" t="b">
        <v>0</v>
      </c>
      <c r="O760" s="14"/>
      <c r="P760" s="14"/>
      <c r="Q760" s="14"/>
      <c r="R760" s="14"/>
      <c r="S760" s="14" t="s">
        <v>3288</v>
      </c>
      <c r="T760" s="14" t="s">
        <v>36</v>
      </c>
      <c r="U760" s="17"/>
      <c r="V760" s="14"/>
      <c r="W760" s="14"/>
      <c r="X760" s="18"/>
      <c r="Y760" s="18"/>
      <c r="Z760" s="18"/>
      <c r="AA760" s="19">
        <f t="shared" si="1"/>
        <v>9</v>
      </c>
      <c r="AB760" s="19" t="str">
        <f t="shared" si="2"/>
        <v/>
      </c>
    </row>
    <row r="761" ht="15.75" customHeight="1">
      <c r="A761" s="12">
        <v>45192.0</v>
      </c>
      <c r="B761" s="13" t="s">
        <v>28</v>
      </c>
      <c r="C761" s="14" t="s">
        <v>3289</v>
      </c>
      <c r="D761" s="14"/>
      <c r="E761" s="14"/>
      <c r="F761" s="14"/>
      <c r="G761" s="14"/>
      <c r="H761" s="42" t="s">
        <v>3290</v>
      </c>
      <c r="I761" s="14"/>
      <c r="J761" s="14"/>
      <c r="K761" s="13" t="s">
        <v>91</v>
      </c>
      <c r="L761" s="14" t="s">
        <v>111</v>
      </c>
      <c r="M761" s="14" t="s">
        <v>216</v>
      </c>
      <c r="N761" s="14" t="b">
        <v>0</v>
      </c>
      <c r="O761" s="14"/>
      <c r="P761" s="14"/>
      <c r="Q761" s="14"/>
      <c r="R761" s="14"/>
      <c r="S761" s="14" t="s">
        <v>3291</v>
      </c>
      <c r="T761" s="13" t="s">
        <v>129</v>
      </c>
      <c r="U761" s="17"/>
      <c r="V761" s="14"/>
      <c r="W761" s="14"/>
      <c r="X761" s="18"/>
      <c r="Y761" s="18"/>
      <c r="Z761" s="18"/>
      <c r="AA761" s="19">
        <f t="shared" si="1"/>
        <v>9</v>
      </c>
      <c r="AB761" s="19" t="str">
        <f t="shared" si="2"/>
        <v/>
      </c>
    </row>
    <row r="762" ht="15.75" customHeight="1">
      <c r="A762" s="12">
        <v>45192.0</v>
      </c>
      <c r="B762" s="13" t="s">
        <v>28</v>
      </c>
      <c r="C762" s="14"/>
      <c r="D762" s="14" t="s">
        <v>3292</v>
      </c>
      <c r="E762" s="14"/>
      <c r="F762" s="14"/>
      <c r="G762" s="14"/>
      <c r="H762" s="15" t="s">
        <v>3293</v>
      </c>
      <c r="I762" s="14"/>
      <c r="J762" s="14"/>
      <c r="K762" s="14" t="s">
        <v>3294</v>
      </c>
      <c r="L762" s="14" t="s">
        <v>111</v>
      </c>
      <c r="M762" s="14" t="s">
        <v>216</v>
      </c>
      <c r="N762" s="14" t="b">
        <v>0</v>
      </c>
      <c r="O762" s="14"/>
      <c r="P762" s="14"/>
      <c r="Q762" s="14"/>
      <c r="R762" s="14"/>
      <c r="S762" s="14" t="s">
        <v>3295</v>
      </c>
      <c r="T762" s="13" t="s">
        <v>129</v>
      </c>
      <c r="U762" s="17"/>
      <c r="V762" s="14"/>
      <c r="W762" s="14"/>
      <c r="X762" s="18"/>
      <c r="Y762" s="18"/>
      <c r="Z762" s="18"/>
      <c r="AA762" s="19">
        <f t="shared" si="1"/>
        <v>9</v>
      </c>
      <c r="AB762" s="19" t="str">
        <f t="shared" si="2"/>
        <v/>
      </c>
    </row>
    <row r="763" ht="15.75" customHeight="1">
      <c r="A763" s="12">
        <v>45192.0</v>
      </c>
      <c r="B763" s="13" t="s">
        <v>28</v>
      </c>
      <c r="C763" s="14" t="s">
        <v>3296</v>
      </c>
      <c r="D763" s="14" t="s">
        <v>3297</v>
      </c>
      <c r="E763" s="13">
        <v>6.0</v>
      </c>
      <c r="F763" s="14">
        <v>1.0</v>
      </c>
      <c r="G763" s="14"/>
      <c r="H763" s="15" t="s">
        <v>3298</v>
      </c>
      <c r="I763" s="14"/>
      <c r="J763" s="14"/>
      <c r="K763" s="14"/>
      <c r="L763" s="14" t="s">
        <v>111</v>
      </c>
      <c r="M763" s="14" t="s">
        <v>13</v>
      </c>
      <c r="N763" s="14" t="b">
        <v>1</v>
      </c>
      <c r="O763" s="13" t="s">
        <v>3299</v>
      </c>
      <c r="P763" s="13" t="s">
        <v>42</v>
      </c>
      <c r="Q763" s="14"/>
      <c r="R763" s="14"/>
      <c r="S763" s="14" t="s">
        <v>3300</v>
      </c>
      <c r="T763" s="14" t="s">
        <v>36</v>
      </c>
      <c r="U763" s="17"/>
      <c r="V763" s="32">
        <v>45194.0</v>
      </c>
      <c r="W763" s="24" t="s">
        <v>1376</v>
      </c>
      <c r="X763" s="25">
        <v>4812000.0</v>
      </c>
      <c r="Y763" s="25">
        <v>625000.0</v>
      </c>
      <c r="Z763" s="25">
        <v>4187000.0</v>
      </c>
      <c r="AA763" s="19">
        <f t="shared" si="1"/>
        <v>9</v>
      </c>
      <c r="AB763" s="19" t="str">
        <f t="shared" si="2"/>
        <v/>
      </c>
    </row>
    <row r="764" ht="15.75" customHeight="1">
      <c r="A764" s="26">
        <v>45192.0</v>
      </c>
      <c r="B764" s="27" t="s">
        <v>201</v>
      </c>
      <c r="C764" s="24" t="s">
        <v>3301</v>
      </c>
      <c r="D764" s="27" t="s">
        <v>3302</v>
      </c>
      <c r="E764" s="24">
        <v>11.0</v>
      </c>
      <c r="F764" s="27">
        <v>6.0</v>
      </c>
      <c r="G764" s="27"/>
      <c r="H764" s="34" t="s">
        <v>3303</v>
      </c>
      <c r="I764" s="27"/>
      <c r="J764" s="27"/>
      <c r="K764" s="27"/>
      <c r="L764" s="27" t="s">
        <v>111</v>
      </c>
      <c r="M764" s="27" t="s">
        <v>67</v>
      </c>
      <c r="N764" s="14" t="b">
        <v>1</v>
      </c>
      <c r="O764" s="24" t="s">
        <v>3304</v>
      </c>
      <c r="P764" s="13" t="s">
        <v>42</v>
      </c>
      <c r="Q764" s="24" t="s">
        <v>91</v>
      </c>
      <c r="R764" s="27"/>
      <c r="S764" s="27" t="s">
        <v>3305</v>
      </c>
      <c r="T764" s="24" t="s">
        <v>72</v>
      </c>
      <c r="U764" s="26"/>
      <c r="V764" s="14"/>
      <c r="W764" s="14"/>
      <c r="X764" s="18"/>
      <c r="Y764" s="18"/>
      <c r="Z764" s="18"/>
      <c r="AA764" s="19">
        <f t="shared" si="1"/>
        <v>9</v>
      </c>
      <c r="AB764" s="19">
        <f t="shared" si="2"/>
        <v>9</v>
      </c>
    </row>
    <row r="765" ht="15.75" customHeight="1">
      <c r="A765" s="12">
        <v>45192.0</v>
      </c>
      <c r="B765" s="13" t="s">
        <v>28</v>
      </c>
      <c r="C765" s="14" t="s">
        <v>3306</v>
      </c>
      <c r="D765" s="14" t="s">
        <v>3307</v>
      </c>
      <c r="E765" s="13">
        <v>12.0</v>
      </c>
      <c r="F765" s="14" t="s">
        <v>625</v>
      </c>
      <c r="G765" s="14"/>
      <c r="H765" s="15" t="s">
        <v>3308</v>
      </c>
      <c r="I765" s="14"/>
      <c r="J765" s="14"/>
      <c r="K765" s="204" t="s">
        <v>3309</v>
      </c>
      <c r="L765" s="14" t="s">
        <v>111</v>
      </c>
      <c r="M765" s="14" t="s">
        <v>565</v>
      </c>
      <c r="N765" s="14" t="b">
        <v>0</v>
      </c>
      <c r="O765" s="14"/>
      <c r="P765" s="14"/>
      <c r="Q765" s="14"/>
      <c r="R765" s="14"/>
      <c r="S765" s="14" t="s">
        <v>3310</v>
      </c>
      <c r="T765" s="13" t="s">
        <v>229</v>
      </c>
      <c r="U765" s="17"/>
      <c r="V765" s="14"/>
      <c r="W765" s="14"/>
      <c r="X765" s="18"/>
      <c r="Y765" s="18"/>
      <c r="Z765" s="18"/>
      <c r="AA765" s="19">
        <f t="shared" si="1"/>
        <v>9</v>
      </c>
      <c r="AB765" s="19" t="str">
        <f t="shared" si="2"/>
        <v/>
      </c>
    </row>
    <row r="766" ht="15.75" customHeight="1">
      <c r="A766" s="12">
        <v>45192.0</v>
      </c>
      <c r="B766" s="14" t="s">
        <v>201</v>
      </c>
      <c r="C766" s="14"/>
      <c r="D766" s="14" t="s">
        <v>3311</v>
      </c>
      <c r="E766" s="13">
        <v>13.0</v>
      </c>
      <c r="F766" s="14"/>
      <c r="G766" s="14"/>
      <c r="H766" s="15" t="s">
        <v>3312</v>
      </c>
      <c r="I766" s="14"/>
      <c r="J766" s="14"/>
      <c r="K766" s="209" t="s">
        <v>3313</v>
      </c>
      <c r="L766" s="14" t="s">
        <v>111</v>
      </c>
      <c r="M766" s="14" t="s">
        <v>216</v>
      </c>
      <c r="N766" s="14" t="b">
        <v>0</v>
      </c>
      <c r="O766" s="14"/>
      <c r="P766" s="14"/>
      <c r="Q766" s="14"/>
      <c r="R766" s="14"/>
      <c r="S766" s="14" t="s">
        <v>3314</v>
      </c>
      <c r="T766" s="13" t="s">
        <v>229</v>
      </c>
      <c r="U766" s="17"/>
      <c r="V766" s="14"/>
      <c r="W766" s="14"/>
      <c r="X766" s="18"/>
      <c r="Y766" s="18"/>
      <c r="Z766" s="18"/>
      <c r="AA766" s="19">
        <f t="shared" si="1"/>
        <v>9</v>
      </c>
      <c r="AB766" s="19" t="str">
        <f t="shared" si="2"/>
        <v/>
      </c>
    </row>
    <row r="767" ht="15.75" customHeight="1">
      <c r="A767" s="12">
        <v>45193.0</v>
      </c>
      <c r="B767" s="13" t="s">
        <v>28</v>
      </c>
      <c r="C767" s="14" t="s">
        <v>3315</v>
      </c>
      <c r="D767" s="14"/>
      <c r="E767" s="14"/>
      <c r="F767" s="14"/>
      <c r="G767" s="14"/>
      <c r="H767" s="15" t="s">
        <v>3316</v>
      </c>
      <c r="I767" s="14"/>
      <c r="J767" s="14"/>
      <c r="K767" s="13" t="s">
        <v>91</v>
      </c>
      <c r="L767" s="14" t="s">
        <v>111</v>
      </c>
      <c r="M767" s="14" t="s">
        <v>216</v>
      </c>
      <c r="N767" s="14" t="b">
        <v>0</v>
      </c>
      <c r="O767" s="14"/>
      <c r="P767" s="14"/>
      <c r="Q767" s="14"/>
      <c r="R767" s="14"/>
      <c r="S767" s="14" t="s">
        <v>3310</v>
      </c>
      <c r="T767" s="13" t="s">
        <v>229</v>
      </c>
      <c r="U767" s="17"/>
      <c r="V767" s="14"/>
      <c r="W767" s="14"/>
      <c r="X767" s="18"/>
      <c r="Y767" s="18"/>
      <c r="Z767" s="18"/>
      <c r="AA767" s="19">
        <f t="shared" si="1"/>
        <v>9</v>
      </c>
      <c r="AB767" s="19" t="str">
        <f t="shared" si="2"/>
        <v/>
      </c>
    </row>
    <row r="768" ht="15.75" customHeight="1">
      <c r="A768" s="12">
        <v>45193.0</v>
      </c>
      <c r="B768" s="13" t="s">
        <v>28</v>
      </c>
      <c r="C768" s="14" t="s">
        <v>3317</v>
      </c>
      <c r="D768" s="14"/>
      <c r="E768" s="13">
        <v>10.0</v>
      </c>
      <c r="F768" s="14">
        <v>5.0</v>
      </c>
      <c r="G768" s="14"/>
      <c r="H768" s="15" t="s">
        <v>3318</v>
      </c>
      <c r="I768" s="14"/>
      <c r="J768" s="14"/>
      <c r="K768" s="13" t="s">
        <v>91</v>
      </c>
      <c r="L768" s="14" t="s">
        <v>111</v>
      </c>
      <c r="M768" s="14" t="s">
        <v>34</v>
      </c>
      <c r="N768" s="14" t="b">
        <v>0</v>
      </c>
      <c r="O768" s="14"/>
      <c r="P768" s="14"/>
      <c r="Q768" s="14"/>
      <c r="R768" s="14"/>
      <c r="S768" s="14" t="s">
        <v>3319</v>
      </c>
      <c r="T768" s="14" t="s">
        <v>36</v>
      </c>
      <c r="U768" s="17"/>
      <c r="V768" s="14"/>
      <c r="W768" s="14"/>
      <c r="X768" s="18"/>
      <c r="Y768" s="18"/>
      <c r="Z768" s="18"/>
      <c r="AA768" s="19">
        <f t="shared" si="1"/>
        <v>9</v>
      </c>
      <c r="AB768" s="19" t="str">
        <f t="shared" si="2"/>
        <v/>
      </c>
    </row>
    <row r="769" ht="15.75" customHeight="1">
      <c r="A769" s="12">
        <v>45193.0</v>
      </c>
      <c r="B769" s="13" t="s">
        <v>28</v>
      </c>
      <c r="C769" s="14" t="s">
        <v>3320</v>
      </c>
      <c r="D769" s="14"/>
      <c r="E769" s="13">
        <v>6.0</v>
      </c>
      <c r="F769" s="14">
        <v>1.0</v>
      </c>
      <c r="G769" s="14"/>
      <c r="H769" s="15" t="s">
        <v>3321</v>
      </c>
      <c r="I769" s="14"/>
      <c r="J769" s="14"/>
      <c r="K769" s="13" t="s">
        <v>91</v>
      </c>
      <c r="L769" s="14" t="s">
        <v>111</v>
      </c>
      <c r="M769" s="14" t="s">
        <v>34</v>
      </c>
      <c r="N769" s="14" t="b">
        <v>0</v>
      </c>
      <c r="O769" s="14"/>
      <c r="P769" s="14"/>
      <c r="Q769" s="14"/>
      <c r="R769" s="14"/>
      <c r="S769" s="14" t="s">
        <v>3322</v>
      </c>
      <c r="T769" s="14" t="s">
        <v>36</v>
      </c>
      <c r="U769" s="17"/>
      <c r="V769" s="14"/>
      <c r="W769" s="14"/>
      <c r="X769" s="18"/>
      <c r="Y769" s="18"/>
      <c r="Z769" s="18"/>
      <c r="AA769" s="19">
        <f t="shared" si="1"/>
        <v>9</v>
      </c>
      <c r="AB769" s="19" t="str">
        <f t="shared" si="2"/>
        <v/>
      </c>
    </row>
    <row r="770" ht="15.75" customHeight="1">
      <c r="A770" s="12">
        <v>45193.0</v>
      </c>
      <c r="B770" s="13" t="s">
        <v>28</v>
      </c>
      <c r="C770" s="14" t="s">
        <v>3323</v>
      </c>
      <c r="D770" s="14" t="s">
        <v>3324</v>
      </c>
      <c r="E770" s="13">
        <v>10.0</v>
      </c>
      <c r="F770" s="14">
        <v>5.0</v>
      </c>
      <c r="G770" s="14"/>
      <c r="H770" s="15" t="s">
        <v>3325</v>
      </c>
      <c r="I770" s="14"/>
      <c r="J770" s="14"/>
      <c r="K770" s="204" t="s">
        <v>3326</v>
      </c>
      <c r="L770" s="14" t="s">
        <v>111</v>
      </c>
      <c r="M770" s="14" t="s">
        <v>216</v>
      </c>
      <c r="N770" s="14" t="b">
        <v>0</v>
      </c>
      <c r="O770" s="14"/>
      <c r="P770" s="14"/>
      <c r="Q770" s="14"/>
      <c r="R770" s="14"/>
      <c r="S770" s="14" t="s">
        <v>3327</v>
      </c>
      <c r="T770" s="13" t="s">
        <v>129</v>
      </c>
      <c r="U770" s="17"/>
      <c r="V770" s="14"/>
      <c r="W770" s="14"/>
      <c r="X770" s="18"/>
      <c r="Y770" s="18"/>
      <c r="Z770" s="18"/>
      <c r="AA770" s="19">
        <f t="shared" si="1"/>
        <v>9</v>
      </c>
      <c r="AB770" s="19" t="str">
        <f t="shared" si="2"/>
        <v/>
      </c>
    </row>
    <row r="771" ht="15.75" customHeight="1">
      <c r="A771" s="12">
        <v>45193.0</v>
      </c>
      <c r="B771" s="13" t="s">
        <v>28</v>
      </c>
      <c r="C771" s="14" t="s">
        <v>48</v>
      </c>
      <c r="D771" s="14" t="s">
        <v>3328</v>
      </c>
      <c r="E771" s="13">
        <v>10.0</v>
      </c>
      <c r="F771" s="14">
        <v>5.0</v>
      </c>
      <c r="G771" s="14"/>
      <c r="H771" s="15" t="s">
        <v>3329</v>
      </c>
      <c r="I771" s="14"/>
      <c r="J771" s="14"/>
      <c r="K771" s="204" t="s">
        <v>3330</v>
      </c>
      <c r="L771" s="14" t="s">
        <v>111</v>
      </c>
      <c r="M771" s="14" t="s">
        <v>565</v>
      </c>
      <c r="N771" s="14" t="b">
        <v>0</v>
      </c>
      <c r="O771" s="14"/>
      <c r="P771" s="14"/>
      <c r="Q771" s="14"/>
      <c r="R771" s="14"/>
      <c r="S771" s="14" t="s">
        <v>3331</v>
      </c>
      <c r="T771" s="13" t="s">
        <v>129</v>
      </c>
      <c r="U771" s="17"/>
      <c r="V771" s="14"/>
      <c r="W771" s="14"/>
      <c r="X771" s="18"/>
      <c r="Y771" s="18"/>
      <c r="Z771" s="18"/>
      <c r="AA771" s="19">
        <f t="shared" si="1"/>
        <v>9</v>
      </c>
      <c r="AB771" s="19" t="str">
        <f t="shared" si="2"/>
        <v/>
      </c>
    </row>
    <row r="772" ht="15.75" customHeight="1">
      <c r="A772" s="12">
        <v>45193.0</v>
      </c>
      <c r="B772" s="13" t="s">
        <v>28</v>
      </c>
      <c r="C772" s="14" t="s">
        <v>3332</v>
      </c>
      <c r="D772" s="14" t="s">
        <v>3333</v>
      </c>
      <c r="E772" s="13">
        <v>11.0</v>
      </c>
      <c r="F772" s="14" t="s">
        <v>297</v>
      </c>
      <c r="G772" s="14"/>
      <c r="H772" s="15" t="s">
        <v>3334</v>
      </c>
      <c r="I772" s="14"/>
      <c r="J772" s="14"/>
      <c r="K772" s="204" t="s">
        <v>3335</v>
      </c>
      <c r="L772" s="14" t="s">
        <v>111</v>
      </c>
      <c r="M772" s="14" t="s">
        <v>565</v>
      </c>
      <c r="N772" s="14" t="b">
        <v>0</v>
      </c>
      <c r="O772" s="14"/>
      <c r="P772" s="14"/>
      <c r="Q772" s="14"/>
      <c r="R772" s="14"/>
      <c r="S772" s="14" t="s">
        <v>3336</v>
      </c>
      <c r="T772" s="14" t="s">
        <v>36</v>
      </c>
      <c r="U772" s="17"/>
      <c r="V772" s="14"/>
      <c r="W772" s="14"/>
      <c r="X772" s="18"/>
      <c r="Y772" s="18"/>
      <c r="Z772" s="18"/>
      <c r="AA772" s="19">
        <f t="shared" si="1"/>
        <v>9</v>
      </c>
      <c r="AB772" s="19" t="str">
        <f t="shared" si="2"/>
        <v/>
      </c>
    </row>
    <row r="773" ht="15.75" customHeight="1">
      <c r="A773" s="12">
        <v>45194.0</v>
      </c>
      <c r="B773" s="13" t="s">
        <v>28</v>
      </c>
      <c r="C773" s="14" t="s">
        <v>3337</v>
      </c>
      <c r="D773" s="14"/>
      <c r="E773" s="14"/>
      <c r="F773" s="14"/>
      <c r="G773" s="14"/>
      <c r="H773" s="15" t="s">
        <v>3338</v>
      </c>
      <c r="I773" s="14"/>
      <c r="J773" s="14"/>
      <c r="K773" s="13" t="s">
        <v>91</v>
      </c>
      <c r="L773" s="14" t="s">
        <v>111</v>
      </c>
      <c r="M773" s="14" t="s">
        <v>565</v>
      </c>
      <c r="N773" s="14" t="b">
        <v>0</v>
      </c>
      <c r="O773" s="14"/>
      <c r="P773" s="14"/>
      <c r="Q773" s="14"/>
      <c r="R773" s="14"/>
      <c r="S773" s="14" t="s">
        <v>3339</v>
      </c>
      <c r="T773" s="14" t="s">
        <v>36</v>
      </c>
      <c r="U773" s="17"/>
      <c r="V773" s="14"/>
      <c r="W773" s="14"/>
      <c r="X773" s="18"/>
      <c r="Y773" s="18"/>
      <c r="Z773" s="18"/>
      <c r="AA773" s="19">
        <f t="shared" si="1"/>
        <v>9</v>
      </c>
      <c r="AB773" s="19" t="str">
        <f t="shared" si="2"/>
        <v/>
      </c>
    </row>
    <row r="774" ht="15.75" customHeight="1">
      <c r="A774" s="12">
        <v>45194.0</v>
      </c>
      <c r="B774" s="13" t="s">
        <v>28</v>
      </c>
      <c r="C774" s="14" t="s">
        <v>3340</v>
      </c>
      <c r="D774" s="14"/>
      <c r="E774" s="14"/>
      <c r="F774" s="14"/>
      <c r="G774" s="14"/>
      <c r="H774" s="15" t="s">
        <v>3341</v>
      </c>
      <c r="I774" s="14"/>
      <c r="J774" s="14"/>
      <c r="K774" s="14" t="s">
        <v>3342</v>
      </c>
      <c r="L774" s="14" t="s">
        <v>111</v>
      </c>
      <c r="M774" s="14" t="s">
        <v>565</v>
      </c>
      <c r="N774" s="14" t="b">
        <v>0</v>
      </c>
      <c r="O774" s="14"/>
      <c r="P774" s="14"/>
      <c r="Q774" s="14"/>
      <c r="R774" s="14"/>
      <c r="S774" s="14" t="s">
        <v>3339</v>
      </c>
      <c r="T774" s="14" t="s">
        <v>36</v>
      </c>
      <c r="U774" s="17"/>
      <c r="V774" s="14"/>
      <c r="W774" s="14"/>
      <c r="X774" s="18"/>
      <c r="Y774" s="18"/>
      <c r="Z774" s="18"/>
      <c r="AA774" s="19">
        <f t="shared" si="1"/>
        <v>9</v>
      </c>
      <c r="AB774" s="19" t="str">
        <f t="shared" si="2"/>
        <v/>
      </c>
    </row>
    <row r="775" ht="15.75" customHeight="1">
      <c r="A775" s="12">
        <v>45194.0</v>
      </c>
      <c r="B775" s="13" t="s">
        <v>28</v>
      </c>
      <c r="C775" s="14" t="s">
        <v>3343</v>
      </c>
      <c r="D775" s="14"/>
      <c r="E775" s="14"/>
      <c r="F775" s="14"/>
      <c r="G775" s="14"/>
      <c r="H775" s="15" t="s">
        <v>3344</v>
      </c>
      <c r="I775" s="14"/>
      <c r="J775" s="14"/>
      <c r="K775" s="14" t="s">
        <v>3342</v>
      </c>
      <c r="L775" s="14" t="s">
        <v>111</v>
      </c>
      <c r="M775" s="14" t="s">
        <v>565</v>
      </c>
      <c r="N775" s="14" t="b">
        <v>0</v>
      </c>
      <c r="O775" s="14"/>
      <c r="P775" s="14"/>
      <c r="Q775" s="14"/>
      <c r="R775" s="14"/>
      <c r="S775" s="14" t="s">
        <v>3345</v>
      </c>
      <c r="T775" s="14" t="s">
        <v>36</v>
      </c>
      <c r="U775" s="17"/>
      <c r="V775" s="14"/>
      <c r="W775" s="14"/>
      <c r="X775" s="18"/>
      <c r="Y775" s="18"/>
      <c r="Z775" s="18"/>
      <c r="AA775" s="19">
        <f t="shared" si="1"/>
        <v>9</v>
      </c>
      <c r="AB775" s="19" t="str">
        <f t="shared" si="2"/>
        <v/>
      </c>
    </row>
    <row r="776" ht="15.75" customHeight="1">
      <c r="A776" s="12">
        <v>45194.0</v>
      </c>
      <c r="B776" s="14" t="s">
        <v>201</v>
      </c>
      <c r="C776" s="14" t="s">
        <v>3346</v>
      </c>
      <c r="D776" s="14" t="s">
        <v>3347</v>
      </c>
      <c r="E776" s="13">
        <v>11.0</v>
      </c>
      <c r="F776" s="14">
        <v>6.0</v>
      </c>
      <c r="G776" s="14"/>
      <c r="H776" s="15" t="s">
        <v>3348</v>
      </c>
      <c r="I776" s="14"/>
      <c r="J776" s="14"/>
      <c r="K776" s="14"/>
      <c r="L776" s="14" t="s">
        <v>111</v>
      </c>
      <c r="M776" s="14" t="s">
        <v>13</v>
      </c>
      <c r="N776" s="14" t="b">
        <v>1</v>
      </c>
      <c r="O776" s="13" t="s">
        <v>3349</v>
      </c>
      <c r="P776" s="13" t="s">
        <v>42</v>
      </c>
      <c r="Q776" s="14"/>
      <c r="R776" s="14"/>
      <c r="S776" s="14" t="s">
        <v>3350</v>
      </c>
      <c r="T776" s="13" t="s">
        <v>129</v>
      </c>
      <c r="U776" s="17"/>
      <c r="V776" s="14"/>
      <c r="W776" s="14"/>
      <c r="X776" s="18"/>
      <c r="Y776" s="18"/>
      <c r="Z776" s="18"/>
      <c r="AA776" s="19">
        <f t="shared" si="1"/>
        <v>9</v>
      </c>
      <c r="AB776" s="19" t="str">
        <f t="shared" si="2"/>
        <v/>
      </c>
    </row>
    <row r="777" ht="15.75" customHeight="1">
      <c r="A777" s="12">
        <v>45194.0</v>
      </c>
      <c r="B777" s="14" t="s">
        <v>201</v>
      </c>
      <c r="C777" s="14" t="s">
        <v>3346</v>
      </c>
      <c r="D777" s="14" t="s">
        <v>3351</v>
      </c>
      <c r="E777" s="13">
        <v>8.0</v>
      </c>
      <c r="F777" s="14">
        <v>3.0</v>
      </c>
      <c r="G777" s="14"/>
      <c r="H777" s="15" t="s">
        <v>3348</v>
      </c>
      <c r="I777" s="14"/>
      <c r="J777" s="14"/>
      <c r="K777" s="14"/>
      <c r="L777" s="14" t="s">
        <v>111</v>
      </c>
      <c r="M777" s="14" t="s">
        <v>13</v>
      </c>
      <c r="N777" s="14" t="b">
        <v>1</v>
      </c>
      <c r="O777" s="13" t="s">
        <v>3352</v>
      </c>
      <c r="P777" s="13" t="s">
        <v>69</v>
      </c>
      <c r="Q777" s="14"/>
      <c r="R777" s="14"/>
      <c r="S777" s="14" t="s">
        <v>3350</v>
      </c>
      <c r="T777" s="13" t="s">
        <v>129</v>
      </c>
      <c r="U777" s="17"/>
      <c r="V777" s="14"/>
      <c r="W777" s="14"/>
      <c r="X777" s="18"/>
      <c r="Y777" s="18"/>
      <c r="Z777" s="18"/>
      <c r="AA777" s="19">
        <f t="shared" si="1"/>
        <v>9</v>
      </c>
      <c r="AB777" s="19" t="str">
        <f t="shared" si="2"/>
        <v/>
      </c>
    </row>
    <row r="778" ht="15.75" customHeight="1">
      <c r="A778" s="12">
        <v>45194.0</v>
      </c>
      <c r="B778" s="13" t="s">
        <v>28</v>
      </c>
      <c r="C778" s="14" t="s">
        <v>3353</v>
      </c>
      <c r="D778" s="14" t="s">
        <v>3354</v>
      </c>
      <c r="E778" s="13">
        <v>10.0</v>
      </c>
      <c r="F778" s="14"/>
      <c r="G778" s="14"/>
      <c r="H778" s="15" t="s">
        <v>3355</v>
      </c>
      <c r="I778" s="14"/>
      <c r="J778" s="14"/>
      <c r="K778" s="204" t="s">
        <v>3356</v>
      </c>
      <c r="L778" s="14" t="s">
        <v>111</v>
      </c>
      <c r="M778" s="14" t="s">
        <v>216</v>
      </c>
      <c r="N778" s="14" t="b">
        <v>0</v>
      </c>
      <c r="O778" s="14"/>
      <c r="P778" s="14"/>
      <c r="Q778" s="14"/>
      <c r="R778" s="14"/>
      <c r="S778" s="14" t="s">
        <v>3314</v>
      </c>
      <c r="T778" s="13" t="s">
        <v>129</v>
      </c>
      <c r="U778" s="17"/>
      <c r="V778" s="14"/>
      <c r="W778" s="14"/>
      <c r="X778" s="18"/>
      <c r="Y778" s="18"/>
      <c r="Z778" s="18"/>
      <c r="AA778" s="19">
        <f t="shared" si="1"/>
        <v>9</v>
      </c>
      <c r="AB778" s="19" t="str">
        <f t="shared" si="2"/>
        <v/>
      </c>
    </row>
    <row r="779" ht="15.75" customHeight="1">
      <c r="A779" s="12">
        <v>45194.0</v>
      </c>
      <c r="B779" s="13" t="s">
        <v>28</v>
      </c>
      <c r="C779" s="14"/>
      <c r="D779" s="14" t="s">
        <v>3357</v>
      </c>
      <c r="E779" s="13">
        <v>11.0</v>
      </c>
      <c r="F779" s="14"/>
      <c r="G779" s="14"/>
      <c r="H779" s="15" t="s">
        <v>3358</v>
      </c>
      <c r="I779" s="14"/>
      <c r="J779" s="14"/>
      <c r="K779" s="210" t="s">
        <v>3049</v>
      </c>
      <c r="L779" s="14" t="s">
        <v>111</v>
      </c>
      <c r="M779" s="14" t="s">
        <v>565</v>
      </c>
      <c r="N779" s="14" t="b">
        <v>0</v>
      </c>
      <c r="O779" s="14"/>
      <c r="P779" s="14"/>
      <c r="Q779" s="14"/>
      <c r="R779" s="14"/>
      <c r="S779" s="14" t="s">
        <v>3359</v>
      </c>
      <c r="T779" s="13" t="s">
        <v>129</v>
      </c>
      <c r="U779" s="17"/>
      <c r="V779" s="14"/>
      <c r="W779" s="14"/>
      <c r="X779" s="18"/>
      <c r="Y779" s="18"/>
      <c r="Z779" s="18"/>
      <c r="AA779" s="19">
        <f t="shared" si="1"/>
        <v>9</v>
      </c>
      <c r="AB779" s="19" t="str">
        <f t="shared" si="2"/>
        <v/>
      </c>
    </row>
    <row r="780" ht="15.75" customHeight="1">
      <c r="A780" s="12">
        <v>45195.0</v>
      </c>
      <c r="B780" s="13" t="s">
        <v>28</v>
      </c>
      <c r="C780" s="14" t="s">
        <v>3360</v>
      </c>
      <c r="D780" s="14"/>
      <c r="E780" s="14"/>
      <c r="F780" s="14"/>
      <c r="G780" s="14"/>
      <c r="H780" s="15" t="s">
        <v>3361</v>
      </c>
      <c r="I780" s="14"/>
      <c r="J780" s="14"/>
      <c r="K780" s="13" t="s">
        <v>3362</v>
      </c>
      <c r="L780" s="14" t="s">
        <v>111</v>
      </c>
      <c r="M780" s="14" t="s">
        <v>565</v>
      </c>
      <c r="N780" s="14" t="b">
        <v>0</v>
      </c>
      <c r="O780" s="14"/>
      <c r="P780" s="14"/>
      <c r="Q780" s="14"/>
      <c r="R780" s="14"/>
      <c r="S780" s="14" t="s">
        <v>3363</v>
      </c>
      <c r="T780" s="13" t="s">
        <v>229</v>
      </c>
      <c r="U780" s="17"/>
      <c r="V780" s="14"/>
      <c r="W780" s="14"/>
      <c r="X780" s="18"/>
      <c r="Y780" s="18"/>
      <c r="Z780" s="18"/>
      <c r="AA780" s="19">
        <f t="shared" si="1"/>
        <v>9</v>
      </c>
      <c r="AB780" s="19" t="str">
        <f t="shared" si="2"/>
        <v/>
      </c>
    </row>
    <row r="781" ht="15.75" customHeight="1">
      <c r="A781" s="12">
        <v>45195.0</v>
      </c>
      <c r="B781" s="13" t="s">
        <v>28</v>
      </c>
      <c r="C781" s="14" t="s">
        <v>3364</v>
      </c>
      <c r="D781" s="14" t="s">
        <v>3365</v>
      </c>
      <c r="E781" s="13">
        <v>9.0</v>
      </c>
      <c r="F781" s="14">
        <v>3.0</v>
      </c>
      <c r="G781" s="14"/>
      <c r="H781" s="15" t="s">
        <v>3366</v>
      </c>
      <c r="I781" s="14"/>
      <c r="J781" s="14"/>
      <c r="K781" s="13" t="s">
        <v>3362</v>
      </c>
      <c r="L781" s="14" t="s">
        <v>111</v>
      </c>
      <c r="M781" s="14" t="s">
        <v>216</v>
      </c>
      <c r="N781" s="14" t="b">
        <v>0</v>
      </c>
      <c r="O781" s="14"/>
      <c r="P781" s="14"/>
      <c r="Q781" s="14"/>
      <c r="R781" s="14"/>
      <c r="S781" s="14" t="s">
        <v>3367</v>
      </c>
      <c r="T781" s="14" t="s">
        <v>36</v>
      </c>
      <c r="U781" s="17"/>
      <c r="V781" s="14"/>
      <c r="W781" s="14"/>
      <c r="X781" s="18"/>
      <c r="Y781" s="18"/>
      <c r="Z781" s="18"/>
      <c r="AA781" s="19">
        <f t="shared" si="1"/>
        <v>9</v>
      </c>
      <c r="AB781" s="19" t="str">
        <f t="shared" si="2"/>
        <v/>
      </c>
    </row>
    <row r="782" ht="15.75" customHeight="1">
      <c r="A782" s="12">
        <v>45193.0</v>
      </c>
      <c r="B782" s="13" t="s">
        <v>28</v>
      </c>
      <c r="C782" s="14" t="s">
        <v>3368</v>
      </c>
      <c r="D782" s="14" t="s">
        <v>3369</v>
      </c>
      <c r="E782" s="13">
        <v>8.0</v>
      </c>
      <c r="F782" s="14">
        <v>3.0</v>
      </c>
      <c r="G782" s="14"/>
      <c r="H782" s="15" t="s">
        <v>3370</v>
      </c>
      <c r="I782" s="14"/>
      <c r="J782" s="14"/>
      <c r="K782" s="13" t="s">
        <v>91</v>
      </c>
      <c r="L782" s="14" t="s">
        <v>111</v>
      </c>
      <c r="M782" s="14" t="s">
        <v>565</v>
      </c>
      <c r="N782" s="14" t="b">
        <v>0</v>
      </c>
      <c r="O782" s="14"/>
      <c r="P782" s="14"/>
      <c r="Q782" s="14"/>
      <c r="R782" s="14"/>
      <c r="S782" s="14" t="s">
        <v>3371</v>
      </c>
      <c r="T782" s="13" t="s">
        <v>129</v>
      </c>
      <c r="U782" s="17"/>
      <c r="V782" s="14"/>
      <c r="W782" s="14"/>
      <c r="X782" s="18"/>
      <c r="Y782" s="18"/>
      <c r="Z782" s="18"/>
      <c r="AA782" s="19">
        <f t="shared" si="1"/>
        <v>9</v>
      </c>
      <c r="AB782" s="19" t="str">
        <f t="shared" si="2"/>
        <v/>
      </c>
    </row>
    <row r="783" ht="15.75" customHeight="1">
      <c r="A783" s="12">
        <v>45195.0</v>
      </c>
      <c r="B783" s="13" t="s">
        <v>28</v>
      </c>
      <c r="C783" s="14" t="s">
        <v>3372</v>
      </c>
      <c r="D783" s="14"/>
      <c r="E783" s="13">
        <v>8.0</v>
      </c>
      <c r="F783" s="14">
        <v>3.0</v>
      </c>
      <c r="G783" s="14"/>
      <c r="H783" s="15" t="s">
        <v>3373</v>
      </c>
      <c r="I783" s="14"/>
      <c r="J783" s="14"/>
      <c r="K783" s="14" t="s">
        <v>3374</v>
      </c>
      <c r="L783" s="14" t="s">
        <v>111</v>
      </c>
      <c r="M783" s="14" t="s">
        <v>565</v>
      </c>
      <c r="N783" s="14" t="b">
        <v>0</v>
      </c>
      <c r="O783" s="14"/>
      <c r="P783" s="14"/>
      <c r="Q783" s="14"/>
      <c r="R783" s="14"/>
      <c r="S783" s="14" t="s">
        <v>3375</v>
      </c>
      <c r="T783" s="13" t="s">
        <v>129</v>
      </c>
      <c r="U783" s="17"/>
      <c r="V783" s="14"/>
      <c r="W783" s="14"/>
      <c r="X783" s="18"/>
      <c r="Y783" s="18"/>
      <c r="Z783" s="18"/>
      <c r="AA783" s="19">
        <f t="shared" si="1"/>
        <v>9</v>
      </c>
      <c r="AB783" s="19" t="str">
        <f t="shared" si="2"/>
        <v/>
      </c>
    </row>
    <row r="784" ht="15.75" customHeight="1">
      <c r="A784" s="12">
        <v>45196.0</v>
      </c>
      <c r="B784" s="13" t="s">
        <v>28</v>
      </c>
      <c r="C784" s="14" t="s">
        <v>3376</v>
      </c>
      <c r="D784" s="14" t="s">
        <v>1168</v>
      </c>
      <c r="E784" s="13">
        <v>11.0</v>
      </c>
      <c r="F784" s="14">
        <v>6.0</v>
      </c>
      <c r="G784" s="14"/>
      <c r="H784" s="15" t="s">
        <v>3377</v>
      </c>
      <c r="I784" s="14"/>
      <c r="J784" s="14"/>
      <c r="K784" s="204" t="s">
        <v>3378</v>
      </c>
      <c r="L784" s="14" t="s">
        <v>111</v>
      </c>
      <c r="M784" s="14" t="s">
        <v>13</v>
      </c>
      <c r="N784" s="14" t="b">
        <v>1</v>
      </c>
      <c r="O784" s="14" t="s">
        <v>3379</v>
      </c>
      <c r="P784" s="13" t="s">
        <v>69</v>
      </c>
      <c r="Q784" s="14"/>
      <c r="R784" s="14"/>
      <c r="S784" s="14" t="s">
        <v>3380</v>
      </c>
      <c r="T784" s="13" t="s">
        <v>129</v>
      </c>
      <c r="U784" s="17"/>
      <c r="V784" s="14"/>
      <c r="W784" s="14"/>
      <c r="X784" s="18"/>
      <c r="Y784" s="18"/>
      <c r="Z784" s="18"/>
      <c r="AA784" s="19">
        <f t="shared" si="1"/>
        <v>9</v>
      </c>
      <c r="AB784" s="19" t="str">
        <f t="shared" si="2"/>
        <v/>
      </c>
    </row>
    <row r="785" ht="15.75" customHeight="1">
      <c r="A785" s="12">
        <v>45196.0</v>
      </c>
      <c r="B785" s="13" t="s">
        <v>28</v>
      </c>
      <c r="C785" s="14" t="s">
        <v>3376</v>
      </c>
      <c r="D785" s="14" t="s">
        <v>3381</v>
      </c>
      <c r="E785" s="13">
        <v>13.0</v>
      </c>
      <c r="F785" s="14">
        <v>8.0</v>
      </c>
      <c r="G785" s="14"/>
      <c r="H785" s="15" t="s">
        <v>3377</v>
      </c>
      <c r="I785" s="14"/>
      <c r="J785" s="14"/>
      <c r="K785" s="204" t="s">
        <v>3378</v>
      </c>
      <c r="L785" s="14" t="s">
        <v>111</v>
      </c>
      <c r="M785" s="14" t="s">
        <v>13</v>
      </c>
      <c r="N785" s="14" t="b">
        <v>1</v>
      </c>
      <c r="O785" s="14" t="s">
        <v>3382</v>
      </c>
      <c r="P785" s="13" t="s">
        <v>42</v>
      </c>
      <c r="Q785" s="14"/>
      <c r="R785" s="14"/>
      <c r="S785" s="14" t="s">
        <v>3383</v>
      </c>
      <c r="T785" s="13" t="s">
        <v>129</v>
      </c>
      <c r="U785" s="17"/>
      <c r="V785" s="14"/>
      <c r="W785" s="14"/>
      <c r="X785" s="18"/>
      <c r="Y785" s="18"/>
      <c r="Z785" s="18"/>
      <c r="AA785" s="19">
        <f t="shared" si="1"/>
        <v>9</v>
      </c>
      <c r="AB785" s="19" t="str">
        <f t="shared" si="2"/>
        <v/>
      </c>
    </row>
    <row r="786" ht="15.75" customHeight="1">
      <c r="A786" s="12">
        <v>45196.0</v>
      </c>
      <c r="B786" s="13" t="s">
        <v>28</v>
      </c>
      <c r="C786" s="14" t="s">
        <v>3384</v>
      </c>
      <c r="D786" s="14"/>
      <c r="E786" s="14"/>
      <c r="F786" s="14"/>
      <c r="G786" s="14"/>
      <c r="H786" s="15" t="s">
        <v>3385</v>
      </c>
      <c r="I786" s="14"/>
      <c r="J786" s="14"/>
      <c r="K786" s="14" t="s">
        <v>3386</v>
      </c>
      <c r="L786" s="14" t="s">
        <v>111</v>
      </c>
      <c r="M786" s="14" t="s">
        <v>34</v>
      </c>
      <c r="N786" s="14" t="b">
        <v>0</v>
      </c>
      <c r="O786" s="14"/>
      <c r="P786" s="14"/>
      <c r="Q786" s="14"/>
      <c r="R786" s="14"/>
      <c r="S786" s="14" t="s">
        <v>3387</v>
      </c>
      <c r="T786" s="14" t="s">
        <v>36</v>
      </c>
      <c r="U786" s="17"/>
      <c r="V786" s="14"/>
      <c r="W786" s="14"/>
      <c r="X786" s="18"/>
      <c r="Y786" s="18"/>
      <c r="Z786" s="18"/>
      <c r="AA786" s="19">
        <f t="shared" si="1"/>
        <v>9</v>
      </c>
      <c r="AB786" s="19" t="str">
        <f t="shared" si="2"/>
        <v/>
      </c>
    </row>
    <row r="787" ht="15.75" customHeight="1">
      <c r="A787" s="12">
        <v>45196.0</v>
      </c>
      <c r="B787" s="13" t="s">
        <v>28</v>
      </c>
      <c r="C787" s="14" t="s">
        <v>3388</v>
      </c>
      <c r="D787" s="14"/>
      <c r="E787" s="13">
        <v>6.0</v>
      </c>
      <c r="F787" s="14">
        <v>1.0</v>
      </c>
      <c r="G787" s="14"/>
      <c r="H787" s="15" t="s">
        <v>3389</v>
      </c>
      <c r="I787" s="14"/>
      <c r="J787" s="14"/>
      <c r="K787" s="14" t="s">
        <v>3390</v>
      </c>
      <c r="L787" s="14" t="s">
        <v>111</v>
      </c>
      <c r="M787" s="14" t="s">
        <v>565</v>
      </c>
      <c r="N787" s="14" t="b">
        <v>0</v>
      </c>
      <c r="O787" s="14"/>
      <c r="P787" s="14"/>
      <c r="Q787" s="14"/>
      <c r="R787" s="14"/>
      <c r="S787" s="14" t="s">
        <v>3391</v>
      </c>
      <c r="T787" s="14" t="s">
        <v>36</v>
      </c>
      <c r="U787" s="17"/>
      <c r="V787" s="14"/>
      <c r="W787" s="14"/>
      <c r="X787" s="18"/>
      <c r="Y787" s="18"/>
      <c r="Z787" s="18"/>
      <c r="AA787" s="19">
        <f t="shared" si="1"/>
        <v>9</v>
      </c>
      <c r="AB787" s="19" t="str">
        <f t="shared" si="2"/>
        <v/>
      </c>
    </row>
    <row r="788" ht="15.75" customHeight="1">
      <c r="A788" s="12">
        <v>45196.0</v>
      </c>
      <c r="B788" s="13" t="s">
        <v>28</v>
      </c>
      <c r="C788" s="14" t="s">
        <v>3392</v>
      </c>
      <c r="D788" s="14" t="s">
        <v>3393</v>
      </c>
      <c r="E788" s="13">
        <v>8.0</v>
      </c>
      <c r="F788" s="14">
        <v>3.0</v>
      </c>
      <c r="G788" s="14"/>
      <c r="H788" s="14" t="s">
        <v>3394</v>
      </c>
      <c r="I788" s="14"/>
      <c r="J788" s="14"/>
      <c r="K788" s="14"/>
      <c r="L788" s="14" t="s">
        <v>111</v>
      </c>
      <c r="M788" s="14" t="s">
        <v>565</v>
      </c>
      <c r="N788" s="14" t="b">
        <v>0</v>
      </c>
      <c r="O788" s="14"/>
      <c r="P788" s="14"/>
      <c r="Q788" s="14"/>
      <c r="R788" s="14"/>
      <c r="S788" s="14" t="s">
        <v>3395</v>
      </c>
      <c r="T788" s="13" t="s">
        <v>129</v>
      </c>
      <c r="U788" s="17"/>
      <c r="V788" s="14"/>
      <c r="W788" s="14"/>
      <c r="X788" s="18"/>
      <c r="Y788" s="18"/>
      <c r="Z788" s="18"/>
      <c r="AA788" s="19">
        <f t="shared" si="1"/>
        <v>9</v>
      </c>
      <c r="AB788" s="19" t="str">
        <f t="shared" si="2"/>
        <v/>
      </c>
    </row>
    <row r="789" ht="15.75" customHeight="1">
      <c r="A789" s="12">
        <v>45197.0</v>
      </c>
      <c r="B789" s="13" t="s">
        <v>28</v>
      </c>
      <c r="C789" s="14"/>
      <c r="D789" s="14" t="s">
        <v>3396</v>
      </c>
      <c r="E789" s="13">
        <v>11.0</v>
      </c>
      <c r="F789" s="14"/>
      <c r="G789" s="14"/>
      <c r="H789" s="132" t="s">
        <v>3397</v>
      </c>
      <c r="I789" s="14"/>
      <c r="J789" s="14"/>
      <c r="K789" s="210" t="s">
        <v>3049</v>
      </c>
      <c r="L789" s="14" t="s">
        <v>111</v>
      </c>
      <c r="M789" s="14" t="s">
        <v>216</v>
      </c>
      <c r="N789" s="14" t="b">
        <v>0</v>
      </c>
      <c r="O789" s="14"/>
      <c r="P789" s="14"/>
      <c r="Q789" s="14"/>
      <c r="R789" s="14"/>
      <c r="S789" s="14" t="s">
        <v>3398</v>
      </c>
      <c r="T789" s="14" t="s">
        <v>36</v>
      </c>
      <c r="U789" s="17"/>
      <c r="V789" s="14"/>
      <c r="W789" s="14"/>
      <c r="X789" s="18"/>
      <c r="Y789" s="18"/>
      <c r="Z789" s="18"/>
      <c r="AA789" s="19">
        <f t="shared" si="1"/>
        <v>9</v>
      </c>
      <c r="AB789" s="19" t="str">
        <f t="shared" si="2"/>
        <v/>
      </c>
    </row>
    <row r="790" ht="15.75" customHeight="1">
      <c r="A790" s="12">
        <v>45197.0</v>
      </c>
      <c r="B790" s="13" t="s">
        <v>28</v>
      </c>
      <c r="C790" s="14"/>
      <c r="D790" s="14" t="s">
        <v>2588</v>
      </c>
      <c r="E790" s="13">
        <v>10.0</v>
      </c>
      <c r="F790" s="14"/>
      <c r="G790" s="14"/>
      <c r="H790" s="132" t="s">
        <v>2589</v>
      </c>
      <c r="I790" s="14"/>
      <c r="J790" s="14"/>
      <c r="K790" s="210" t="s">
        <v>3049</v>
      </c>
      <c r="L790" s="14" t="s">
        <v>111</v>
      </c>
      <c r="M790" s="14" t="s">
        <v>565</v>
      </c>
      <c r="N790" s="14" t="b">
        <v>0</v>
      </c>
      <c r="O790" s="14"/>
      <c r="P790" s="14"/>
      <c r="Q790" s="14"/>
      <c r="R790" s="14"/>
      <c r="S790" s="14" t="s">
        <v>3399</v>
      </c>
      <c r="T790" s="14" t="s">
        <v>36</v>
      </c>
      <c r="U790" s="17"/>
      <c r="V790" s="14"/>
      <c r="W790" s="14"/>
      <c r="X790" s="18"/>
      <c r="Y790" s="18"/>
      <c r="Z790" s="18"/>
      <c r="AA790" s="19">
        <f t="shared" si="1"/>
        <v>9</v>
      </c>
      <c r="AB790" s="19" t="str">
        <f t="shared" si="2"/>
        <v/>
      </c>
    </row>
    <row r="791" ht="15.75" customHeight="1">
      <c r="A791" s="12">
        <v>45197.0</v>
      </c>
      <c r="B791" s="13" t="s">
        <v>28</v>
      </c>
      <c r="C791" s="14" t="s">
        <v>3400</v>
      </c>
      <c r="D791" s="14" t="s">
        <v>3401</v>
      </c>
      <c r="E791" s="14"/>
      <c r="F791" s="14">
        <v>8.0</v>
      </c>
      <c r="G791" s="14"/>
      <c r="H791" s="15" t="s">
        <v>3402</v>
      </c>
      <c r="I791" s="14"/>
      <c r="J791" s="14">
        <v>9.64919782E8</v>
      </c>
      <c r="K791" s="13" t="s">
        <v>91</v>
      </c>
      <c r="L791" s="14" t="s">
        <v>111</v>
      </c>
      <c r="M791" s="14" t="s">
        <v>13</v>
      </c>
      <c r="N791" s="14" t="b">
        <v>1</v>
      </c>
      <c r="O791" s="13" t="s">
        <v>3403</v>
      </c>
      <c r="P791" s="13" t="s">
        <v>69</v>
      </c>
      <c r="Q791" s="14"/>
      <c r="R791" s="14"/>
      <c r="S791" s="14" t="s">
        <v>3404</v>
      </c>
      <c r="T791" s="13" t="s">
        <v>129</v>
      </c>
      <c r="U791" s="17"/>
      <c r="V791" s="14"/>
      <c r="W791" s="14"/>
      <c r="X791" s="18"/>
      <c r="Y791" s="18"/>
      <c r="Z791" s="18"/>
      <c r="AA791" s="19">
        <f t="shared" si="1"/>
        <v>9</v>
      </c>
      <c r="AB791" s="19" t="str">
        <f t="shared" si="2"/>
        <v/>
      </c>
    </row>
    <row r="792" ht="15.75" customHeight="1">
      <c r="A792" s="12">
        <v>45197.0</v>
      </c>
      <c r="B792" s="13" t="s">
        <v>28</v>
      </c>
      <c r="C792" s="14" t="s">
        <v>3405</v>
      </c>
      <c r="D792" s="14" t="s">
        <v>3406</v>
      </c>
      <c r="E792" s="13">
        <v>7.0</v>
      </c>
      <c r="F792" s="14"/>
      <c r="G792" s="14"/>
      <c r="H792" s="42" t="s">
        <v>3407</v>
      </c>
      <c r="I792" s="14"/>
      <c r="J792" s="14"/>
      <c r="K792" s="14" t="s">
        <v>3408</v>
      </c>
      <c r="L792" s="14" t="s">
        <v>111</v>
      </c>
      <c r="M792" s="14" t="s">
        <v>216</v>
      </c>
      <c r="N792" s="14" t="b">
        <v>0</v>
      </c>
      <c r="O792" s="14"/>
      <c r="P792" s="14"/>
      <c r="Q792" s="14"/>
      <c r="R792" s="14"/>
      <c r="S792" s="14" t="s">
        <v>3409</v>
      </c>
      <c r="T792" s="13" t="s">
        <v>129</v>
      </c>
      <c r="U792" s="17"/>
      <c r="V792" s="14"/>
      <c r="W792" s="14"/>
      <c r="X792" s="18"/>
      <c r="Y792" s="18"/>
      <c r="Z792" s="18"/>
      <c r="AA792" s="19">
        <f t="shared" si="1"/>
        <v>9</v>
      </c>
      <c r="AB792" s="19" t="str">
        <f t="shared" si="2"/>
        <v/>
      </c>
    </row>
    <row r="793" ht="15.75" customHeight="1">
      <c r="A793" s="12">
        <v>45197.0</v>
      </c>
      <c r="B793" s="13" t="s">
        <v>28</v>
      </c>
      <c r="C793" s="14" t="s">
        <v>3410</v>
      </c>
      <c r="D793" s="14" t="s">
        <v>3411</v>
      </c>
      <c r="E793" s="13">
        <v>6.0</v>
      </c>
      <c r="F793" s="14" t="s">
        <v>1073</v>
      </c>
      <c r="G793" s="14"/>
      <c r="H793" s="15" t="s">
        <v>3412</v>
      </c>
      <c r="I793" s="14"/>
      <c r="J793" s="14"/>
      <c r="K793" s="13" t="s">
        <v>3413</v>
      </c>
      <c r="L793" s="14" t="s">
        <v>111</v>
      </c>
      <c r="M793" s="14" t="s">
        <v>565</v>
      </c>
      <c r="N793" s="14" t="b">
        <v>0</v>
      </c>
      <c r="O793" s="14"/>
      <c r="P793" s="14"/>
      <c r="Q793" s="14"/>
      <c r="R793" s="14"/>
      <c r="S793" s="14" t="s">
        <v>3414</v>
      </c>
      <c r="T793" s="13" t="s">
        <v>129</v>
      </c>
      <c r="U793" s="17"/>
      <c r="V793" s="14"/>
      <c r="W793" s="14"/>
      <c r="X793" s="18"/>
      <c r="Y793" s="18"/>
      <c r="Z793" s="18"/>
      <c r="AA793" s="19">
        <f t="shared" si="1"/>
        <v>9</v>
      </c>
      <c r="AB793" s="19" t="str">
        <f t="shared" si="2"/>
        <v/>
      </c>
    </row>
    <row r="794" ht="15.75" customHeight="1">
      <c r="A794" s="12">
        <v>45197.0</v>
      </c>
      <c r="B794" s="14" t="s">
        <v>84</v>
      </c>
      <c r="C794" s="14" t="s">
        <v>3415</v>
      </c>
      <c r="D794" s="14" t="s">
        <v>3416</v>
      </c>
      <c r="E794" s="13">
        <v>8.0</v>
      </c>
      <c r="F794" s="14">
        <v>3.0</v>
      </c>
      <c r="G794" s="14"/>
      <c r="H794" s="15" t="s">
        <v>3417</v>
      </c>
      <c r="I794" s="14"/>
      <c r="J794" s="14"/>
      <c r="K794" s="14" t="s">
        <v>3418</v>
      </c>
      <c r="L794" s="14" t="s">
        <v>111</v>
      </c>
      <c r="M794" s="14" t="s">
        <v>565</v>
      </c>
      <c r="N794" s="14" t="b">
        <v>0</v>
      </c>
      <c r="O794" s="14"/>
      <c r="P794" s="14"/>
      <c r="Q794" s="14"/>
      <c r="R794" s="14"/>
      <c r="S794" s="14" t="s">
        <v>3419</v>
      </c>
      <c r="T794" s="13" t="s">
        <v>129</v>
      </c>
      <c r="U794" s="17"/>
      <c r="V794" s="14"/>
      <c r="W794" s="14"/>
      <c r="X794" s="18"/>
      <c r="Y794" s="18"/>
      <c r="Z794" s="18"/>
      <c r="AA794" s="19">
        <f t="shared" si="1"/>
        <v>9</v>
      </c>
      <c r="AB794" s="19" t="str">
        <f t="shared" si="2"/>
        <v/>
      </c>
    </row>
    <row r="795" ht="15.75" customHeight="1">
      <c r="A795" s="12">
        <v>45197.0</v>
      </c>
      <c r="B795" s="13" t="s">
        <v>28</v>
      </c>
      <c r="C795" s="14" t="s">
        <v>3420</v>
      </c>
      <c r="D795" s="14" t="s">
        <v>2644</v>
      </c>
      <c r="E795" s="13">
        <v>12.0</v>
      </c>
      <c r="F795" s="14"/>
      <c r="G795" s="14"/>
      <c r="H795" s="15" t="s">
        <v>3421</v>
      </c>
      <c r="I795" s="14"/>
      <c r="J795" s="14"/>
      <c r="K795" s="204" t="s">
        <v>3422</v>
      </c>
      <c r="L795" s="14" t="s">
        <v>111</v>
      </c>
      <c r="M795" s="14" t="s">
        <v>565</v>
      </c>
      <c r="N795" s="14" t="b">
        <v>0</v>
      </c>
      <c r="O795" s="14"/>
      <c r="P795" s="14"/>
      <c r="Q795" s="14"/>
      <c r="R795" s="14"/>
      <c r="S795" s="14" t="s">
        <v>3423</v>
      </c>
      <c r="T795" s="13" t="s">
        <v>129</v>
      </c>
      <c r="U795" s="17"/>
      <c r="V795" s="32">
        <v>45201.0</v>
      </c>
      <c r="W795" s="24" t="s">
        <v>575</v>
      </c>
      <c r="X795" s="25">
        <v>8750000.0</v>
      </c>
      <c r="Y795" s="25">
        <v>1312500.0</v>
      </c>
      <c r="Z795" s="25">
        <v>7437500.0</v>
      </c>
      <c r="AA795" s="19">
        <f t="shared" si="1"/>
        <v>9</v>
      </c>
      <c r="AB795" s="19" t="str">
        <f t="shared" si="2"/>
        <v/>
      </c>
    </row>
    <row r="796" ht="15.75" customHeight="1">
      <c r="A796" s="26">
        <v>45198.0</v>
      </c>
      <c r="B796" s="27" t="s">
        <v>84</v>
      </c>
      <c r="C796" s="24" t="s">
        <v>3424</v>
      </c>
      <c r="D796" s="27" t="s">
        <v>3425</v>
      </c>
      <c r="E796" s="24">
        <v>6.0</v>
      </c>
      <c r="F796" s="27">
        <v>1.0</v>
      </c>
      <c r="G796" s="27"/>
      <c r="H796" s="34" t="s">
        <v>3426</v>
      </c>
      <c r="I796" s="27"/>
      <c r="J796" s="27"/>
      <c r="K796" s="27"/>
      <c r="L796" s="27" t="s">
        <v>111</v>
      </c>
      <c r="M796" s="27" t="s">
        <v>67</v>
      </c>
      <c r="N796" s="14" t="b">
        <v>1</v>
      </c>
      <c r="O796" s="24" t="s">
        <v>3427</v>
      </c>
      <c r="P796" s="13" t="s">
        <v>69</v>
      </c>
      <c r="Q796" s="24" t="s">
        <v>91</v>
      </c>
      <c r="R796" s="27"/>
      <c r="S796" s="27" t="s">
        <v>3428</v>
      </c>
      <c r="T796" s="24" t="s">
        <v>72</v>
      </c>
      <c r="U796" s="26"/>
      <c r="V796" s="14"/>
      <c r="W796" s="14"/>
      <c r="X796" s="18"/>
      <c r="Y796" s="18"/>
      <c r="Z796" s="18"/>
      <c r="AA796" s="19">
        <f t="shared" si="1"/>
        <v>9</v>
      </c>
      <c r="AB796" s="19">
        <f t="shared" si="2"/>
        <v>10</v>
      </c>
    </row>
    <row r="797" ht="15.75" customHeight="1">
      <c r="A797" s="12">
        <v>45198.0</v>
      </c>
      <c r="B797" s="13" t="s">
        <v>28</v>
      </c>
      <c r="C797" s="14" t="s">
        <v>3429</v>
      </c>
      <c r="D797" s="14"/>
      <c r="E797" s="14"/>
      <c r="F797" s="14"/>
      <c r="G797" s="14"/>
      <c r="H797" s="15" t="s">
        <v>3430</v>
      </c>
      <c r="I797" s="14"/>
      <c r="J797" s="14"/>
      <c r="K797" s="14" t="s">
        <v>3431</v>
      </c>
      <c r="L797" s="14" t="s">
        <v>111</v>
      </c>
      <c r="M797" s="14" t="s">
        <v>216</v>
      </c>
      <c r="N797" s="14" t="b">
        <v>0</v>
      </c>
      <c r="O797" s="14"/>
      <c r="P797" s="14"/>
      <c r="Q797" s="14"/>
      <c r="R797" s="14"/>
      <c r="S797" s="14" t="s">
        <v>3432</v>
      </c>
      <c r="T797" s="13" t="s">
        <v>129</v>
      </c>
      <c r="U797" s="17"/>
      <c r="V797" s="14"/>
      <c r="W797" s="14"/>
      <c r="X797" s="18"/>
      <c r="Y797" s="18"/>
      <c r="Z797" s="18"/>
      <c r="AA797" s="19">
        <f t="shared" si="1"/>
        <v>9</v>
      </c>
      <c r="AB797" s="19" t="str">
        <f t="shared" si="2"/>
        <v/>
      </c>
    </row>
    <row r="798" ht="15.75" customHeight="1">
      <c r="A798" s="12">
        <v>45198.0</v>
      </c>
      <c r="B798" s="14" t="s">
        <v>201</v>
      </c>
      <c r="C798" s="13" t="s">
        <v>3433</v>
      </c>
      <c r="D798" s="14"/>
      <c r="E798" s="14"/>
      <c r="F798" s="14"/>
      <c r="G798" s="14"/>
      <c r="H798" s="15" t="s">
        <v>3434</v>
      </c>
      <c r="I798" s="14"/>
      <c r="J798" s="14"/>
      <c r="K798" s="14"/>
      <c r="L798" s="14" t="s">
        <v>111</v>
      </c>
      <c r="M798" s="14" t="s">
        <v>216</v>
      </c>
      <c r="N798" s="14" t="b">
        <v>0</v>
      </c>
      <c r="O798" s="14"/>
      <c r="P798" s="14"/>
      <c r="Q798" s="14"/>
      <c r="R798" s="14"/>
      <c r="S798" s="14" t="s">
        <v>3435</v>
      </c>
      <c r="T798" s="14" t="s">
        <v>36</v>
      </c>
      <c r="U798" s="17"/>
      <c r="V798" s="14"/>
      <c r="W798" s="14"/>
      <c r="X798" s="18"/>
      <c r="Y798" s="18"/>
      <c r="Z798" s="18"/>
      <c r="AA798" s="19">
        <f t="shared" si="1"/>
        <v>9</v>
      </c>
      <c r="AB798" s="19" t="str">
        <f t="shared" si="2"/>
        <v/>
      </c>
    </row>
    <row r="799" ht="15.75" customHeight="1">
      <c r="A799" s="12">
        <v>45198.0</v>
      </c>
      <c r="B799" s="24" t="s">
        <v>28</v>
      </c>
      <c r="C799" s="14"/>
      <c r="D799" s="14" t="s">
        <v>3436</v>
      </c>
      <c r="E799" s="14"/>
      <c r="F799" s="14"/>
      <c r="G799" s="14"/>
      <c r="H799" s="15" t="s">
        <v>3437</v>
      </c>
      <c r="I799" s="14"/>
      <c r="J799" s="14"/>
      <c r="K799" s="14"/>
      <c r="L799" s="14" t="s">
        <v>111</v>
      </c>
      <c r="M799" s="14" t="s">
        <v>34</v>
      </c>
      <c r="N799" s="14" t="b">
        <v>0</v>
      </c>
      <c r="O799" s="14"/>
      <c r="P799" s="14"/>
      <c r="Q799" s="14"/>
      <c r="R799" s="14"/>
      <c r="S799" s="14" t="s">
        <v>3438</v>
      </c>
      <c r="T799" s="14" t="s">
        <v>36</v>
      </c>
      <c r="U799" s="17"/>
      <c r="V799" s="14"/>
      <c r="W799" s="14"/>
      <c r="X799" s="18"/>
      <c r="Y799" s="18"/>
      <c r="Z799" s="18"/>
      <c r="AA799" s="19">
        <f t="shared" si="1"/>
        <v>9</v>
      </c>
      <c r="AB799" s="19" t="str">
        <f t="shared" si="2"/>
        <v/>
      </c>
    </row>
    <row r="800" ht="15.75" customHeight="1">
      <c r="A800" s="12">
        <v>45199.0</v>
      </c>
      <c r="B800" s="13" t="s">
        <v>28</v>
      </c>
      <c r="C800" s="14" t="s">
        <v>3439</v>
      </c>
      <c r="D800" s="14"/>
      <c r="E800" s="13">
        <v>8.0</v>
      </c>
      <c r="F800" s="14">
        <v>3.0</v>
      </c>
      <c r="G800" s="14"/>
      <c r="H800" s="15" t="s">
        <v>3440</v>
      </c>
      <c r="I800" s="14"/>
      <c r="J800" s="14"/>
      <c r="K800" s="14"/>
      <c r="L800" s="14" t="s">
        <v>111</v>
      </c>
      <c r="M800" s="14" t="s">
        <v>565</v>
      </c>
      <c r="N800" s="14" t="b">
        <v>0</v>
      </c>
      <c r="O800" s="14"/>
      <c r="P800" s="14"/>
      <c r="Q800" s="14"/>
      <c r="R800" s="14"/>
      <c r="S800" s="14" t="s">
        <v>3441</v>
      </c>
      <c r="T800" s="13" t="s">
        <v>129</v>
      </c>
      <c r="U800" s="17"/>
      <c r="V800" s="14"/>
      <c r="W800" s="14"/>
      <c r="X800" s="18"/>
      <c r="Y800" s="18"/>
      <c r="Z800" s="18"/>
      <c r="AA800" s="19">
        <f t="shared" si="1"/>
        <v>9</v>
      </c>
      <c r="AB800" s="19" t="str">
        <f t="shared" si="2"/>
        <v/>
      </c>
    </row>
    <row r="801" ht="15.75" customHeight="1">
      <c r="A801" s="12">
        <v>45199.0</v>
      </c>
      <c r="B801" s="13" t="s">
        <v>28</v>
      </c>
      <c r="C801" s="14"/>
      <c r="D801" s="14" t="s">
        <v>3442</v>
      </c>
      <c r="E801" s="13">
        <v>13.0</v>
      </c>
      <c r="F801" s="14"/>
      <c r="G801" s="14"/>
      <c r="H801" s="15" t="s">
        <v>3443</v>
      </c>
      <c r="I801" s="14"/>
      <c r="J801" s="14"/>
      <c r="K801" s="14" t="s">
        <v>3444</v>
      </c>
      <c r="L801" s="14" t="s">
        <v>111</v>
      </c>
      <c r="M801" s="14" t="s">
        <v>565</v>
      </c>
      <c r="N801" s="14" t="b">
        <v>0</v>
      </c>
      <c r="O801" s="14"/>
      <c r="P801" s="14"/>
      <c r="Q801" s="14"/>
      <c r="R801" s="14"/>
      <c r="S801" s="14" t="s">
        <v>3445</v>
      </c>
      <c r="T801" s="13" t="s">
        <v>129</v>
      </c>
      <c r="U801" s="17"/>
      <c r="V801" s="14"/>
      <c r="W801" s="14"/>
      <c r="X801" s="18"/>
      <c r="Y801" s="18"/>
      <c r="Z801" s="18"/>
      <c r="AA801" s="19">
        <f t="shared" si="1"/>
        <v>9</v>
      </c>
      <c r="AB801" s="19" t="str">
        <f t="shared" si="2"/>
        <v/>
      </c>
    </row>
    <row r="802" ht="15.75" customHeight="1">
      <c r="A802" s="12">
        <v>45199.0</v>
      </c>
      <c r="B802" s="13" t="s">
        <v>28</v>
      </c>
      <c r="C802" s="14"/>
      <c r="D802" s="14" t="s">
        <v>3446</v>
      </c>
      <c r="E802" s="13">
        <v>9.0</v>
      </c>
      <c r="F802" s="14"/>
      <c r="G802" s="14"/>
      <c r="H802" s="15" t="s">
        <v>3443</v>
      </c>
      <c r="I802" s="14"/>
      <c r="J802" s="14"/>
      <c r="K802" s="14" t="s">
        <v>3444</v>
      </c>
      <c r="L802" s="14" t="s">
        <v>111</v>
      </c>
      <c r="M802" s="14" t="s">
        <v>565</v>
      </c>
      <c r="N802" s="14" t="b">
        <v>0</v>
      </c>
      <c r="O802" s="14"/>
      <c r="P802" s="14"/>
      <c r="Q802" s="14"/>
      <c r="R802" s="14"/>
      <c r="S802" s="14" t="s">
        <v>3445</v>
      </c>
      <c r="T802" s="13" t="s">
        <v>129</v>
      </c>
      <c r="U802" s="17"/>
      <c r="V802" s="14"/>
      <c r="W802" s="14"/>
      <c r="X802" s="18"/>
      <c r="Y802" s="18"/>
      <c r="Z802" s="18"/>
      <c r="AA802" s="19">
        <f t="shared" si="1"/>
        <v>9</v>
      </c>
      <c r="AB802" s="19" t="str">
        <f t="shared" si="2"/>
        <v/>
      </c>
    </row>
    <row r="803" ht="15.75" customHeight="1">
      <c r="A803" s="12">
        <v>45200.0</v>
      </c>
      <c r="B803" s="13" t="s">
        <v>28</v>
      </c>
      <c r="C803" s="14" t="s">
        <v>3447</v>
      </c>
      <c r="D803" s="14"/>
      <c r="E803" s="13">
        <v>11.0</v>
      </c>
      <c r="F803" s="14">
        <v>6.0</v>
      </c>
      <c r="G803" s="14"/>
      <c r="H803" s="15" t="s">
        <v>3448</v>
      </c>
      <c r="I803" s="14"/>
      <c r="J803" s="14"/>
      <c r="K803" s="14"/>
      <c r="L803" s="14" t="s">
        <v>111</v>
      </c>
      <c r="M803" s="14" t="s">
        <v>565</v>
      </c>
      <c r="N803" s="14" t="b">
        <v>0</v>
      </c>
      <c r="O803" s="14"/>
      <c r="P803" s="14"/>
      <c r="Q803" s="14"/>
      <c r="R803" s="14"/>
      <c r="S803" s="14" t="s">
        <v>3449</v>
      </c>
      <c r="T803" s="13" t="s">
        <v>129</v>
      </c>
      <c r="U803" s="17"/>
      <c r="V803" s="14"/>
      <c r="W803" s="14"/>
      <c r="X803" s="18"/>
      <c r="Y803" s="18"/>
      <c r="Z803" s="18"/>
      <c r="AA803" s="19">
        <f t="shared" si="1"/>
        <v>10</v>
      </c>
      <c r="AB803" s="19" t="str">
        <f t="shared" si="2"/>
        <v/>
      </c>
    </row>
    <row r="804" ht="15.75" customHeight="1">
      <c r="A804" s="12">
        <v>45201.0</v>
      </c>
      <c r="B804" s="13" t="s">
        <v>28</v>
      </c>
      <c r="C804" s="14" t="s">
        <v>3450</v>
      </c>
      <c r="D804" s="14"/>
      <c r="E804" s="14"/>
      <c r="F804" s="14"/>
      <c r="G804" s="14"/>
      <c r="H804" s="15" t="s">
        <v>3451</v>
      </c>
      <c r="I804" s="14"/>
      <c r="J804" s="14"/>
      <c r="K804" s="14"/>
      <c r="L804" s="14" t="s">
        <v>111</v>
      </c>
      <c r="M804" s="14" t="s">
        <v>216</v>
      </c>
      <c r="N804" s="14" t="b">
        <v>0</v>
      </c>
      <c r="O804" s="14"/>
      <c r="P804" s="14"/>
      <c r="Q804" s="14"/>
      <c r="R804" s="14"/>
      <c r="S804" s="14" t="s">
        <v>3452</v>
      </c>
      <c r="T804" s="14" t="s">
        <v>36</v>
      </c>
      <c r="U804" s="17"/>
      <c r="V804" s="14"/>
      <c r="W804" s="14"/>
      <c r="X804" s="18"/>
      <c r="Y804" s="18"/>
      <c r="Z804" s="18"/>
      <c r="AA804" s="19">
        <f t="shared" si="1"/>
        <v>10</v>
      </c>
      <c r="AB804" s="19" t="str">
        <f t="shared" si="2"/>
        <v/>
      </c>
    </row>
    <row r="805" ht="15.75" customHeight="1">
      <c r="A805" s="12">
        <v>45201.0</v>
      </c>
      <c r="B805" s="13" t="s">
        <v>28</v>
      </c>
      <c r="C805" s="14" t="s">
        <v>3453</v>
      </c>
      <c r="D805" s="14" t="s">
        <v>3454</v>
      </c>
      <c r="E805" s="13">
        <v>10.0</v>
      </c>
      <c r="F805" s="14">
        <v>5.0</v>
      </c>
      <c r="G805" s="14"/>
      <c r="H805" s="15" t="s">
        <v>3455</v>
      </c>
      <c r="I805" s="14"/>
      <c r="J805" s="14"/>
      <c r="K805" s="14" t="s">
        <v>3456</v>
      </c>
      <c r="L805" s="14" t="s">
        <v>111</v>
      </c>
      <c r="M805" s="14" t="s">
        <v>13</v>
      </c>
      <c r="N805" s="14" t="b">
        <v>1</v>
      </c>
      <c r="O805" s="13" t="s">
        <v>3457</v>
      </c>
      <c r="P805" s="13" t="s">
        <v>42</v>
      </c>
      <c r="Q805" s="14"/>
      <c r="R805" s="14"/>
      <c r="S805" s="14" t="s">
        <v>3458</v>
      </c>
      <c r="T805" s="13" t="s">
        <v>129</v>
      </c>
      <c r="U805" s="17"/>
      <c r="V805" s="14"/>
      <c r="W805" s="14"/>
      <c r="X805" s="18"/>
      <c r="Y805" s="18"/>
      <c r="Z805" s="18"/>
      <c r="AA805" s="19">
        <f t="shared" si="1"/>
        <v>10</v>
      </c>
      <c r="AB805" s="19" t="str">
        <f t="shared" si="2"/>
        <v/>
      </c>
    </row>
    <row r="806" ht="15.75" customHeight="1">
      <c r="A806" s="12">
        <v>45201.0</v>
      </c>
      <c r="B806" s="13" t="s">
        <v>28</v>
      </c>
      <c r="C806" s="14" t="s">
        <v>3453</v>
      </c>
      <c r="D806" s="14" t="s">
        <v>3459</v>
      </c>
      <c r="E806" s="13">
        <v>8.0</v>
      </c>
      <c r="F806" s="14">
        <v>3.0</v>
      </c>
      <c r="G806" s="14"/>
      <c r="H806" s="15" t="s">
        <v>3455</v>
      </c>
      <c r="I806" s="14"/>
      <c r="J806" s="14"/>
      <c r="K806" s="14" t="s">
        <v>3456</v>
      </c>
      <c r="L806" s="14" t="s">
        <v>111</v>
      </c>
      <c r="M806" s="14" t="s">
        <v>13</v>
      </c>
      <c r="N806" s="14" t="b">
        <v>1</v>
      </c>
      <c r="O806" s="13" t="s">
        <v>3460</v>
      </c>
      <c r="P806" s="13" t="s">
        <v>42</v>
      </c>
      <c r="Q806" s="14"/>
      <c r="R806" s="14"/>
      <c r="S806" s="14" t="s">
        <v>3458</v>
      </c>
      <c r="T806" s="13" t="s">
        <v>129</v>
      </c>
      <c r="U806" s="17"/>
      <c r="V806" s="14"/>
      <c r="W806" s="14"/>
      <c r="X806" s="18"/>
      <c r="Y806" s="18"/>
      <c r="Z806" s="18"/>
      <c r="AA806" s="19">
        <f t="shared" si="1"/>
        <v>10</v>
      </c>
      <c r="AB806" s="19" t="str">
        <f t="shared" si="2"/>
        <v/>
      </c>
    </row>
    <row r="807" ht="15.75" customHeight="1">
      <c r="A807" s="12">
        <v>45201.0</v>
      </c>
      <c r="B807" s="13" t="s">
        <v>28</v>
      </c>
      <c r="C807" s="14"/>
      <c r="D807" s="14" t="s">
        <v>3461</v>
      </c>
      <c r="E807" s="13">
        <v>9.0</v>
      </c>
      <c r="F807" s="14"/>
      <c r="G807" s="14"/>
      <c r="H807" s="15" t="s">
        <v>3462</v>
      </c>
      <c r="I807" s="14"/>
      <c r="J807" s="14"/>
      <c r="K807" s="14" t="s">
        <v>3444</v>
      </c>
      <c r="L807" s="14" t="s">
        <v>111</v>
      </c>
      <c r="M807" s="14" t="s">
        <v>216</v>
      </c>
      <c r="N807" s="14" t="b">
        <v>0</v>
      </c>
      <c r="O807" s="14"/>
      <c r="P807" s="14"/>
      <c r="Q807" s="14"/>
      <c r="R807" s="14"/>
      <c r="S807" s="14" t="s">
        <v>3463</v>
      </c>
      <c r="T807" s="13" t="s">
        <v>129</v>
      </c>
      <c r="U807" s="17"/>
      <c r="V807" s="14"/>
      <c r="W807" s="14"/>
      <c r="X807" s="18"/>
      <c r="Y807" s="18"/>
      <c r="Z807" s="18"/>
      <c r="AA807" s="19">
        <f t="shared" si="1"/>
        <v>10</v>
      </c>
      <c r="AB807" s="19" t="str">
        <f t="shared" si="2"/>
        <v/>
      </c>
    </row>
    <row r="808" ht="15.75" customHeight="1">
      <c r="A808" s="12">
        <v>45201.0</v>
      </c>
      <c r="B808" s="14" t="s">
        <v>201</v>
      </c>
      <c r="C808" s="13" t="s">
        <v>3464</v>
      </c>
      <c r="D808" s="14"/>
      <c r="E808" s="13">
        <v>6.0</v>
      </c>
      <c r="F808" s="14">
        <v>1.0</v>
      </c>
      <c r="G808" s="14"/>
      <c r="H808" s="15" t="s">
        <v>3465</v>
      </c>
      <c r="I808" s="14"/>
      <c r="J808" s="14"/>
      <c r="K808" s="14"/>
      <c r="L808" s="14" t="s">
        <v>111</v>
      </c>
      <c r="M808" s="14" t="s">
        <v>34</v>
      </c>
      <c r="N808" s="14" t="b">
        <v>1</v>
      </c>
      <c r="O808" s="13" t="s">
        <v>3466</v>
      </c>
      <c r="P808" s="13" t="s">
        <v>69</v>
      </c>
      <c r="Q808" s="14"/>
      <c r="R808" s="14"/>
      <c r="S808" s="14" t="s">
        <v>3467</v>
      </c>
      <c r="T808" s="14" t="s">
        <v>36</v>
      </c>
      <c r="U808" s="17"/>
      <c r="V808" s="14"/>
      <c r="W808" s="14"/>
      <c r="X808" s="18"/>
      <c r="Y808" s="18"/>
      <c r="Z808" s="18"/>
      <c r="AA808" s="19">
        <f t="shared" si="1"/>
        <v>10</v>
      </c>
      <c r="AB808" s="19" t="str">
        <f t="shared" si="2"/>
        <v/>
      </c>
    </row>
    <row r="809" ht="15.75" customHeight="1">
      <c r="A809" s="12">
        <v>45202.0</v>
      </c>
      <c r="B809" s="13" t="s">
        <v>28</v>
      </c>
      <c r="C809" s="14" t="s">
        <v>3468</v>
      </c>
      <c r="D809" s="14"/>
      <c r="E809" s="14"/>
      <c r="F809" s="14"/>
      <c r="G809" s="14"/>
      <c r="H809" s="15" t="s">
        <v>3469</v>
      </c>
      <c r="I809" s="14"/>
      <c r="J809" s="14"/>
      <c r="K809" s="14"/>
      <c r="L809" s="14" t="s">
        <v>111</v>
      </c>
      <c r="M809" s="14" t="s">
        <v>565</v>
      </c>
      <c r="N809" s="14" t="b">
        <v>0</v>
      </c>
      <c r="O809" s="14"/>
      <c r="P809" s="14"/>
      <c r="Q809" s="14"/>
      <c r="R809" s="14"/>
      <c r="S809" s="14" t="s">
        <v>3470</v>
      </c>
      <c r="T809" s="13" t="s">
        <v>129</v>
      </c>
      <c r="U809" s="17"/>
      <c r="V809" s="14"/>
      <c r="W809" s="14"/>
      <c r="X809" s="18"/>
      <c r="Y809" s="18"/>
      <c r="Z809" s="18"/>
      <c r="AA809" s="19">
        <f t="shared" si="1"/>
        <v>10</v>
      </c>
      <c r="AB809" s="19" t="str">
        <f t="shared" si="2"/>
        <v/>
      </c>
    </row>
    <row r="810" ht="15.75" customHeight="1">
      <c r="A810" s="12">
        <v>45202.0</v>
      </c>
      <c r="B810" s="13" t="s">
        <v>28</v>
      </c>
      <c r="C810" s="14" t="s">
        <v>3471</v>
      </c>
      <c r="D810" s="14" t="s">
        <v>3472</v>
      </c>
      <c r="E810" s="13">
        <v>8.0</v>
      </c>
      <c r="F810" s="14" t="s">
        <v>176</v>
      </c>
      <c r="G810" s="14"/>
      <c r="H810" s="15" t="s">
        <v>3473</v>
      </c>
      <c r="I810" s="14"/>
      <c r="J810" s="14"/>
      <c r="K810" s="14" t="s">
        <v>3474</v>
      </c>
      <c r="L810" s="14" t="s">
        <v>111</v>
      </c>
      <c r="M810" s="14" t="s">
        <v>216</v>
      </c>
      <c r="N810" s="14" t="b">
        <v>0</v>
      </c>
      <c r="O810" s="14"/>
      <c r="P810" s="14"/>
      <c r="Q810" s="14"/>
      <c r="R810" s="14"/>
      <c r="S810" s="14" t="s">
        <v>3475</v>
      </c>
      <c r="T810" s="13" t="s">
        <v>129</v>
      </c>
      <c r="U810" s="17"/>
      <c r="V810" s="14"/>
      <c r="W810" s="14"/>
      <c r="X810" s="18"/>
      <c r="Y810" s="18"/>
      <c r="Z810" s="18"/>
      <c r="AA810" s="19">
        <f t="shared" si="1"/>
        <v>10</v>
      </c>
      <c r="AB810" s="19" t="str">
        <f t="shared" si="2"/>
        <v/>
      </c>
    </row>
    <row r="811" ht="15.75" customHeight="1">
      <c r="A811" s="12">
        <v>45202.0</v>
      </c>
      <c r="B811" s="13" t="s">
        <v>28</v>
      </c>
      <c r="C811" s="14" t="s">
        <v>3476</v>
      </c>
      <c r="D811" s="14" t="s">
        <v>3477</v>
      </c>
      <c r="E811" s="13">
        <v>9.0</v>
      </c>
      <c r="F811" s="14">
        <v>4.0</v>
      </c>
      <c r="G811" s="14"/>
      <c r="H811" s="15" t="s">
        <v>3478</v>
      </c>
      <c r="I811" s="14"/>
      <c r="J811" s="14"/>
      <c r="K811" s="14" t="s">
        <v>3479</v>
      </c>
      <c r="L811" s="14" t="s">
        <v>111</v>
      </c>
      <c r="M811" s="14" t="s">
        <v>565</v>
      </c>
      <c r="N811" s="14" t="b">
        <v>0</v>
      </c>
      <c r="O811" s="14"/>
      <c r="P811" s="14"/>
      <c r="Q811" s="14"/>
      <c r="R811" s="14"/>
      <c r="S811" s="14" t="s">
        <v>3480</v>
      </c>
      <c r="T811" s="13" t="s">
        <v>129</v>
      </c>
      <c r="U811" s="17"/>
      <c r="V811" s="14"/>
      <c r="W811" s="14"/>
      <c r="X811" s="18"/>
      <c r="Y811" s="18"/>
      <c r="Z811" s="18"/>
      <c r="AA811" s="19">
        <f t="shared" si="1"/>
        <v>10</v>
      </c>
      <c r="AB811" s="19" t="str">
        <f t="shared" si="2"/>
        <v/>
      </c>
    </row>
    <row r="812" ht="15.75" customHeight="1">
      <c r="A812" s="12">
        <v>45202.0</v>
      </c>
      <c r="B812" s="13" t="s">
        <v>28</v>
      </c>
      <c r="C812" s="14" t="s">
        <v>3481</v>
      </c>
      <c r="D812" s="14" t="s">
        <v>3482</v>
      </c>
      <c r="E812" s="13">
        <v>13.0</v>
      </c>
      <c r="F812" s="14" t="s">
        <v>625</v>
      </c>
      <c r="G812" s="14"/>
      <c r="H812" s="15" t="s">
        <v>3483</v>
      </c>
      <c r="I812" s="14"/>
      <c r="J812" s="14"/>
      <c r="K812" s="14" t="s">
        <v>3484</v>
      </c>
      <c r="L812" s="14" t="s">
        <v>111</v>
      </c>
      <c r="M812" s="14" t="s">
        <v>565</v>
      </c>
      <c r="N812" s="14" t="b">
        <v>0</v>
      </c>
      <c r="O812" s="14"/>
      <c r="P812" s="14"/>
      <c r="Q812" s="14"/>
      <c r="R812" s="14"/>
      <c r="S812" s="14" t="s">
        <v>3485</v>
      </c>
      <c r="T812" s="13" t="s">
        <v>129</v>
      </c>
      <c r="U812" s="17"/>
      <c r="V812" s="14"/>
      <c r="W812" s="14"/>
      <c r="X812" s="18"/>
      <c r="Y812" s="18"/>
      <c r="Z812" s="18"/>
      <c r="AA812" s="19">
        <f t="shared" si="1"/>
        <v>10</v>
      </c>
      <c r="AB812" s="19" t="str">
        <f t="shared" si="2"/>
        <v/>
      </c>
    </row>
    <row r="813" ht="15.75" customHeight="1">
      <c r="A813" s="12">
        <v>45202.0</v>
      </c>
      <c r="B813" s="24" t="s">
        <v>28</v>
      </c>
      <c r="C813" s="14"/>
      <c r="D813" s="14" t="s">
        <v>3486</v>
      </c>
      <c r="E813" s="14"/>
      <c r="F813" s="14"/>
      <c r="G813" s="14"/>
      <c r="H813" s="15" t="s">
        <v>3487</v>
      </c>
      <c r="I813" s="14"/>
      <c r="J813" s="14"/>
      <c r="K813" s="14" t="s">
        <v>3488</v>
      </c>
      <c r="L813" s="14" t="s">
        <v>111</v>
      </c>
      <c r="M813" s="14" t="s">
        <v>216</v>
      </c>
      <c r="N813" s="14" t="b">
        <v>0</v>
      </c>
      <c r="O813" s="14"/>
      <c r="P813" s="14"/>
      <c r="Q813" s="14"/>
      <c r="R813" s="14"/>
      <c r="S813" s="14" t="s">
        <v>3475</v>
      </c>
      <c r="T813" s="13" t="s">
        <v>129</v>
      </c>
      <c r="U813" s="17"/>
      <c r="V813" s="14"/>
      <c r="W813" s="14"/>
      <c r="X813" s="18"/>
      <c r="Y813" s="18"/>
      <c r="Z813" s="18"/>
      <c r="AA813" s="19">
        <f t="shared" si="1"/>
        <v>10</v>
      </c>
      <c r="AB813" s="19" t="str">
        <f t="shared" si="2"/>
        <v/>
      </c>
    </row>
    <row r="814" ht="15.75" customHeight="1">
      <c r="A814" s="12">
        <v>45202.0</v>
      </c>
      <c r="B814" s="24" t="s">
        <v>28</v>
      </c>
      <c r="C814" s="14"/>
      <c r="D814" s="14" t="s">
        <v>3489</v>
      </c>
      <c r="E814" s="14"/>
      <c r="F814" s="14"/>
      <c r="G814" s="14"/>
      <c r="H814" s="15" t="s">
        <v>3490</v>
      </c>
      <c r="I814" s="14"/>
      <c r="J814" s="14"/>
      <c r="K814" s="14" t="s">
        <v>3491</v>
      </c>
      <c r="L814" s="14" t="s">
        <v>111</v>
      </c>
      <c r="M814" s="14" t="s">
        <v>216</v>
      </c>
      <c r="N814" s="14" t="b">
        <v>0</v>
      </c>
      <c r="O814" s="14"/>
      <c r="P814" s="14"/>
      <c r="Q814" s="14"/>
      <c r="R814" s="14"/>
      <c r="S814" s="14" t="s">
        <v>3475</v>
      </c>
      <c r="T814" s="13" t="s">
        <v>129</v>
      </c>
      <c r="U814" s="17"/>
      <c r="V814" s="14"/>
      <c r="W814" s="14"/>
      <c r="X814" s="18"/>
      <c r="Y814" s="18"/>
      <c r="Z814" s="18"/>
      <c r="AA814" s="19">
        <f t="shared" si="1"/>
        <v>10</v>
      </c>
      <c r="AB814" s="19" t="str">
        <f t="shared" si="2"/>
        <v/>
      </c>
    </row>
    <row r="815" ht="15.75" customHeight="1">
      <c r="A815" s="12">
        <v>45202.0</v>
      </c>
      <c r="B815" s="13" t="s">
        <v>28</v>
      </c>
      <c r="C815" s="14" t="s">
        <v>3492</v>
      </c>
      <c r="D815" s="14"/>
      <c r="E815" s="14"/>
      <c r="F815" s="14"/>
      <c r="G815" s="14"/>
      <c r="H815" s="15" t="s">
        <v>3493</v>
      </c>
      <c r="I815" s="14"/>
      <c r="J815" s="14"/>
      <c r="K815" s="14"/>
      <c r="L815" s="14" t="s">
        <v>111</v>
      </c>
      <c r="M815" s="14" t="s">
        <v>565</v>
      </c>
      <c r="N815" s="14" t="b">
        <v>0</v>
      </c>
      <c r="O815" s="14"/>
      <c r="P815" s="14"/>
      <c r="Q815" s="14"/>
      <c r="R815" s="14"/>
      <c r="S815" s="14" t="s">
        <v>3494</v>
      </c>
      <c r="T815" s="13" t="s">
        <v>129</v>
      </c>
      <c r="U815" s="17"/>
      <c r="V815" s="14"/>
      <c r="W815" s="14"/>
      <c r="X815" s="18"/>
      <c r="Y815" s="18"/>
      <c r="Z815" s="18"/>
      <c r="AA815" s="19">
        <f t="shared" si="1"/>
        <v>10</v>
      </c>
      <c r="AB815" s="19" t="str">
        <f t="shared" si="2"/>
        <v/>
      </c>
    </row>
    <row r="816" ht="15.75" customHeight="1">
      <c r="A816" s="12">
        <v>45202.0</v>
      </c>
      <c r="B816" s="13" t="s">
        <v>28</v>
      </c>
      <c r="C816" s="14" t="s">
        <v>3495</v>
      </c>
      <c r="D816" s="14" t="s">
        <v>3496</v>
      </c>
      <c r="E816" s="13">
        <v>9.0</v>
      </c>
      <c r="F816" s="14">
        <v>4.0</v>
      </c>
      <c r="G816" s="14"/>
      <c r="H816" s="15" t="s">
        <v>3497</v>
      </c>
      <c r="I816" s="14"/>
      <c r="J816" s="14"/>
      <c r="K816" s="14" t="s">
        <v>3498</v>
      </c>
      <c r="L816" s="14" t="s">
        <v>111</v>
      </c>
      <c r="M816" s="14" t="s">
        <v>565</v>
      </c>
      <c r="N816" s="14" t="b">
        <v>0</v>
      </c>
      <c r="O816" s="14"/>
      <c r="P816" s="14"/>
      <c r="Q816" s="14"/>
      <c r="R816" s="14"/>
      <c r="S816" s="14" t="s">
        <v>3494</v>
      </c>
      <c r="T816" s="13" t="s">
        <v>129</v>
      </c>
      <c r="U816" s="17"/>
      <c r="V816" s="14"/>
      <c r="W816" s="14"/>
      <c r="X816" s="18"/>
      <c r="Y816" s="18"/>
      <c r="Z816" s="18"/>
      <c r="AA816" s="19">
        <f t="shared" si="1"/>
        <v>10</v>
      </c>
      <c r="AB816" s="19" t="str">
        <f t="shared" si="2"/>
        <v/>
      </c>
    </row>
    <row r="817" ht="15.75" customHeight="1">
      <c r="A817" s="12">
        <v>45202.0</v>
      </c>
      <c r="B817" s="13" t="s">
        <v>28</v>
      </c>
      <c r="C817" s="14" t="s">
        <v>3499</v>
      </c>
      <c r="D817" s="14" t="s">
        <v>3500</v>
      </c>
      <c r="E817" s="14"/>
      <c r="F817" s="14"/>
      <c r="G817" s="14"/>
      <c r="H817" s="15" t="s">
        <v>3501</v>
      </c>
      <c r="I817" s="14"/>
      <c r="J817" s="14"/>
      <c r="K817" s="14" t="s">
        <v>3502</v>
      </c>
      <c r="L817" s="14" t="s">
        <v>111</v>
      </c>
      <c r="M817" s="14" t="s">
        <v>565</v>
      </c>
      <c r="N817" s="14" t="b">
        <v>0</v>
      </c>
      <c r="O817" s="14"/>
      <c r="P817" s="14"/>
      <c r="Q817" s="14"/>
      <c r="R817" s="14"/>
      <c r="S817" s="14" t="s">
        <v>3494</v>
      </c>
      <c r="T817" s="13" t="s">
        <v>129</v>
      </c>
      <c r="U817" s="17"/>
      <c r="V817" s="14"/>
      <c r="W817" s="14"/>
      <c r="X817" s="18"/>
      <c r="Y817" s="18"/>
      <c r="Z817" s="18"/>
      <c r="AA817" s="19">
        <f t="shared" si="1"/>
        <v>10</v>
      </c>
      <c r="AB817" s="19" t="str">
        <f t="shared" si="2"/>
        <v/>
      </c>
    </row>
    <row r="818" ht="15.75" customHeight="1">
      <c r="A818" s="12">
        <v>45202.0</v>
      </c>
      <c r="B818" s="13" t="s">
        <v>28</v>
      </c>
      <c r="C818" s="14" t="s">
        <v>3503</v>
      </c>
      <c r="D818" s="14"/>
      <c r="E818" s="14"/>
      <c r="F818" s="14"/>
      <c r="G818" s="14"/>
      <c r="H818" s="15" t="s">
        <v>3504</v>
      </c>
      <c r="I818" s="14"/>
      <c r="J818" s="14"/>
      <c r="K818" s="14"/>
      <c r="L818" s="14" t="s">
        <v>111</v>
      </c>
      <c r="M818" s="14" t="s">
        <v>565</v>
      </c>
      <c r="N818" s="14" t="b">
        <v>0</v>
      </c>
      <c r="O818" s="14"/>
      <c r="P818" s="14"/>
      <c r="Q818" s="14"/>
      <c r="R818" s="14"/>
      <c r="S818" s="14" t="s">
        <v>3494</v>
      </c>
      <c r="T818" s="13" t="s">
        <v>129</v>
      </c>
      <c r="U818" s="17"/>
      <c r="V818" s="14"/>
      <c r="W818" s="14"/>
      <c r="X818" s="18"/>
      <c r="Y818" s="18"/>
      <c r="Z818" s="18"/>
      <c r="AA818" s="19">
        <f t="shared" si="1"/>
        <v>10</v>
      </c>
      <c r="AB818" s="19" t="str">
        <f t="shared" si="2"/>
        <v/>
      </c>
    </row>
    <row r="819" ht="15.75" customHeight="1">
      <c r="A819" s="12">
        <v>45202.0</v>
      </c>
      <c r="B819" s="14" t="s">
        <v>703</v>
      </c>
      <c r="C819" s="14" t="s">
        <v>3505</v>
      </c>
      <c r="D819" s="14" t="s">
        <v>3506</v>
      </c>
      <c r="E819" s="13">
        <v>9.0</v>
      </c>
      <c r="F819" s="14"/>
      <c r="G819" s="14"/>
      <c r="H819" s="15" t="s">
        <v>3507</v>
      </c>
      <c r="I819" s="14"/>
      <c r="J819" s="14"/>
      <c r="K819" s="14" t="s">
        <v>3508</v>
      </c>
      <c r="L819" s="14" t="s">
        <v>111</v>
      </c>
      <c r="M819" s="14" t="s">
        <v>565</v>
      </c>
      <c r="N819" s="14" t="b">
        <v>0</v>
      </c>
      <c r="O819" s="14"/>
      <c r="P819" s="14"/>
      <c r="Q819" s="14"/>
      <c r="R819" s="14"/>
      <c r="S819" s="14" t="s">
        <v>3509</v>
      </c>
      <c r="T819" s="13" t="s">
        <v>129</v>
      </c>
      <c r="U819" s="17"/>
      <c r="V819" s="14"/>
      <c r="W819" s="14"/>
      <c r="X819" s="18"/>
      <c r="Y819" s="18"/>
      <c r="Z819" s="18"/>
      <c r="AA819" s="19">
        <f t="shared" si="1"/>
        <v>10</v>
      </c>
      <c r="AB819" s="19" t="str">
        <f t="shared" si="2"/>
        <v/>
      </c>
    </row>
    <row r="820" ht="15.75" customHeight="1">
      <c r="A820" s="12">
        <v>45202.0</v>
      </c>
      <c r="B820" s="14" t="s">
        <v>703</v>
      </c>
      <c r="C820" s="14" t="s">
        <v>3505</v>
      </c>
      <c r="D820" s="14" t="s">
        <v>3510</v>
      </c>
      <c r="E820" s="13">
        <v>8.0</v>
      </c>
      <c r="F820" s="14"/>
      <c r="G820" s="14"/>
      <c r="H820" s="15" t="s">
        <v>3507</v>
      </c>
      <c r="I820" s="14"/>
      <c r="J820" s="14"/>
      <c r="K820" s="14" t="s">
        <v>3508</v>
      </c>
      <c r="L820" s="14" t="s">
        <v>111</v>
      </c>
      <c r="M820" s="14" t="s">
        <v>565</v>
      </c>
      <c r="N820" s="14" t="b">
        <v>0</v>
      </c>
      <c r="O820" s="14"/>
      <c r="P820" s="14"/>
      <c r="Q820" s="14"/>
      <c r="R820" s="14"/>
      <c r="S820" s="14" t="s">
        <v>3509</v>
      </c>
      <c r="T820" s="13" t="s">
        <v>129</v>
      </c>
      <c r="U820" s="17"/>
      <c r="V820" s="14"/>
      <c r="W820" s="14"/>
      <c r="X820" s="18"/>
      <c r="Y820" s="18"/>
      <c r="Z820" s="18"/>
      <c r="AA820" s="19">
        <f t="shared" si="1"/>
        <v>10</v>
      </c>
      <c r="AB820" s="19" t="str">
        <f t="shared" si="2"/>
        <v/>
      </c>
    </row>
    <row r="821" ht="15.75" customHeight="1">
      <c r="A821" s="12">
        <v>45202.0</v>
      </c>
      <c r="B821" s="14" t="s">
        <v>703</v>
      </c>
      <c r="C821" s="14" t="s">
        <v>3505</v>
      </c>
      <c r="D821" s="14" t="s">
        <v>3511</v>
      </c>
      <c r="E821" s="13">
        <v>8.0</v>
      </c>
      <c r="F821" s="14"/>
      <c r="G821" s="14"/>
      <c r="H821" s="15" t="s">
        <v>3507</v>
      </c>
      <c r="I821" s="14"/>
      <c r="J821" s="14"/>
      <c r="K821" s="14" t="s">
        <v>3508</v>
      </c>
      <c r="L821" s="14" t="s">
        <v>111</v>
      </c>
      <c r="M821" s="14" t="s">
        <v>565</v>
      </c>
      <c r="N821" s="14" t="b">
        <v>0</v>
      </c>
      <c r="O821" s="14"/>
      <c r="P821" s="14"/>
      <c r="Q821" s="14"/>
      <c r="R821" s="14"/>
      <c r="S821" s="14" t="s">
        <v>3509</v>
      </c>
      <c r="T821" s="13" t="s">
        <v>129</v>
      </c>
      <c r="U821" s="17"/>
      <c r="V821" s="14"/>
      <c r="W821" s="14"/>
      <c r="X821" s="18"/>
      <c r="Y821" s="18"/>
      <c r="Z821" s="18"/>
      <c r="AA821" s="19">
        <f t="shared" si="1"/>
        <v>10</v>
      </c>
      <c r="AB821" s="19" t="str">
        <f t="shared" si="2"/>
        <v/>
      </c>
    </row>
    <row r="822" ht="15.75" customHeight="1">
      <c r="A822" s="12">
        <v>45202.0</v>
      </c>
      <c r="B822" s="13" t="s">
        <v>28</v>
      </c>
      <c r="C822" s="14" t="s">
        <v>3512</v>
      </c>
      <c r="D822" s="14"/>
      <c r="E822" s="13">
        <v>15.0</v>
      </c>
      <c r="F822" s="14">
        <v>9.0</v>
      </c>
      <c r="G822" s="14"/>
      <c r="H822" s="15" t="s">
        <v>3513</v>
      </c>
      <c r="I822" s="14"/>
      <c r="J822" s="14"/>
      <c r="K822" s="14" t="s">
        <v>3514</v>
      </c>
      <c r="L822" s="14" t="s">
        <v>111</v>
      </c>
      <c r="M822" s="14" t="s">
        <v>216</v>
      </c>
      <c r="N822" s="14" t="b">
        <v>0</v>
      </c>
      <c r="O822" s="14"/>
      <c r="P822" s="14"/>
      <c r="Q822" s="14"/>
      <c r="R822" s="14"/>
      <c r="S822" s="14"/>
      <c r="T822" s="14" t="s">
        <v>36</v>
      </c>
      <c r="U822" s="17"/>
      <c r="V822" s="14"/>
      <c r="W822" s="14"/>
      <c r="X822" s="18"/>
      <c r="Y822" s="18"/>
      <c r="Z822" s="18"/>
      <c r="AA822" s="19">
        <f t="shared" si="1"/>
        <v>10</v>
      </c>
      <c r="AB822" s="19" t="str">
        <f t="shared" si="2"/>
        <v/>
      </c>
    </row>
    <row r="823" ht="15.75" customHeight="1">
      <c r="A823" s="12">
        <v>45203.0</v>
      </c>
      <c r="B823" s="13" t="s">
        <v>28</v>
      </c>
      <c r="C823" s="14" t="s">
        <v>3515</v>
      </c>
      <c r="D823" s="14"/>
      <c r="E823" s="14"/>
      <c r="F823" s="14"/>
      <c r="G823" s="14"/>
      <c r="H823" s="15" t="s">
        <v>3516</v>
      </c>
      <c r="I823" s="14"/>
      <c r="J823" s="14"/>
      <c r="K823" s="14" t="s">
        <v>3517</v>
      </c>
      <c r="L823" s="14" t="s">
        <v>111</v>
      </c>
      <c r="M823" s="14" t="s">
        <v>216</v>
      </c>
      <c r="N823" s="14" t="b">
        <v>0</v>
      </c>
      <c r="O823" s="14"/>
      <c r="P823" s="14"/>
      <c r="Q823" s="14"/>
      <c r="R823" s="14"/>
      <c r="S823" s="14" t="s">
        <v>3518</v>
      </c>
      <c r="T823" s="13" t="s">
        <v>129</v>
      </c>
      <c r="U823" s="17"/>
      <c r="V823" s="14"/>
      <c r="W823" s="14"/>
      <c r="X823" s="18"/>
      <c r="Y823" s="18"/>
      <c r="Z823" s="18"/>
      <c r="AA823" s="19">
        <f t="shared" si="1"/>
        <v>10</v>
      </c>
      <c r="AB823" s="19" t="str">
        <f t="shared" si="2"/>
        <v/>
      </c>
    </row>
    <row r="824" ht="15.75" customHeight="1">
      <c r="A824" s="12">
        <v>45203.0</v>
      </c>
      <c r="B824" s="13" t="s">
        <v>28</v>
      </c>
      <c r="C824" s="14"/>
      <c r="D824" s="14" t="s">
        <v>3519</v>
      </c>
      <c r="E824" s="13">
        <v>12.0</v>
      </c>
      <c r="F824" s="14"/>
      <c r="G824" s="14"/>
      <c r="H824" s="15" t="s">
        <v>3520</v>
      </c>
      <c r="I824" s="14"/>
      <c r="J824" s="14"/>
      <c r="K824" s="14" t="s">
        <v>3521</v>
      </c>
      <c r="L824" s="14" t="s">
        <v>111</v>
      </c>
      <c r="M824" s="14" t="s">
        <v>216</v>
      </c>
      <c r="N824" s="14" t="b">
        <v>0</v>
      </c>
      <c r="O824" s="14"/>
      <c r="P824" s="14"/>
      <c r="Q824" s="14"/>
      <c r="R824" s="14"/>
      <c r="S824" s="14" t="s">
        <v>3522</v>
      </c>
      <c r="T824" s="14" t="s">
        <v>36</v>
      </c>
      <c r="U824" s="17"/>
      <c r="V824" s="14"/>
      <c r="W824" s="14"/>
      <c r="X824" s="18"/>
      <c r="Y824" s="18"/>
      <c r="Z824" s="18"/>
      <c r="AA824" s="19">
        <f t="shared" si="1"/>
        <v>10</v>
      </c>
      <c r="AB824" s="19" t="str">
        <f t="shared" si="2"/>
        <v/>
      </c>
    </row>
    <row r="825" ht="15.75" customHeight="1">
      <c r="A825" s="12">
        <v>45204.0</v>
      </c>
      <c r="B825" s="13" t="s">
        <v>28</v>
      </c>
      <c r="C825" s="14" t="s">
        <v>3523</v>
      </c>
      <c r="D825" s="14" t="s">
        <v>3524</v>
      </c>
      <c r="E825" s="13">
        <v>14.0</v>
      </c>
      <c r="F825" s="14"/>
      <c r="G825" s="14"/>
      <c r="H825" s="15" t="s">
        <v>3525</v>
      </c>
      <c r="I825" s="14"/>
      <c r="J825" s="14"/>
      <c r="K825" s="14" t="s">
        <v>3526</v>
      </c>
      <c r="L825" s="14" t="s">
        <v>111</v>
      </c>
      <c r="M825" s="14" t="s">
        <v>565</v>
      </c>
      <c r="N825" s="14" t="b">
        <v>0</v>
      </c>
      <c r="O825" s="14"/>
      <c r="P825" s="14"/>
      <c r="Q825" s="14"/>
      <c r="R825" s="14"/>
      <c r="S825" s="14"/>
      <c r="T825" s="14" t="s">
        <v>36</v>
      </c>
      <c r="U825" s="17"/>
      <c r="V825" s="14"/>
      <c r="W825" s="14"/>
      <c r="X825" s="18"/>
      <c r="Y825" s="18"/>
      <c r="Z825" s="18"/>
      <c r="AA825" s="19">
        <f t="shared" si="1"/>
        <v>10</v>
      </c>
      <c r="AB825" s="19" t="str">
        <f t="shared" si="2"/>
        <v/>
      </c>
    </row>
    <row r="826" ht="15.75" customHeight="1">
      <c r="A826" s="12">
        <v>45204.0</v>
      </c>
      <c r="B826" s="24" t="s">
        <v>28</v>
      </c>
      <c r="C826" s="13" t="s">
        <v>3527</v>
      </c>
      <c r="D826" s="14"/>
      <c r="E826" s="14"/>
      <c r="F826" s="14"/>
      <c r="G826" s="14"/>
      <c r="H826" s="15" t="s">
        <v>3528</v>
      </c>
      <c r="I826" s="14"/>
      <c r="J826" s="14"/>
      <c r="K826" s="14" t="s">
        <v>3529</v>
      </c>
      <c r="L826" s="14" t="s">
        <v>111</v>
      </c>
      <c r="M826" s="14" t="s">
        <v>13</v>
      </c>
      <c r="N826" s="14" t="b">
        <v>1</v>
      </c>
      <c r="O826" s="13" t="s">
        <v>3530</v>
      </c>
      <c r="P826" s="13" t="s">
        <v>42</v>
      </c>
      <c r="Q826" s="14"/>
      <c r="R826" s="14"/>
      <c r="S826" s="14" t="s">
        <v>3531</v>
      </c>
      <c r="T826" s="13" t="s">
        <v>129</v>
      </c>
      <c r="U826" s="17">
        <v>45231.0</v>
      </c>
      <c r="V826" s="14"/>
      <c r="W826" s="14"/>
      <c r="X826" s="18"/>
      <c r="Y826" s="18"/>
      <c r="Z826" s="18"/>
      <c r="AA826" s="19">
        <f t="shared" si="1"/>
        <v>10</v>
      </c>
      <c r="AB826" s="19" t="str">
        <f t="shared" si="2"/>
        <v/>
      </c>
    </row>
    <row r="827" ht="15.75" customHeight="1">
      <c r="A827" s="12">
        <v>45204.0</v>
      </c>
      <c r="B827" s="14" t="s">
        <v>340</v>
      </c>
      <c r="C827" s="14"/>
      <c r="D827" s="14" t="s">
        <v>672</v>
      </c>
      <c r="E827" s="13">
        <v>19.0</v>
      </c>
      <c r="F827" s="14"/>
      <c r="G827" s="14"/>
      <c r="H827" s="15" t="s">
        <v>3532</v>
      </c>
      <c r="I827" s="14"/>
      <c r="J827" s="14"/>
      <c r="K827" s="14" t="s">
        <v>3533</v>
      </c>
      <c r="L827" s="14" t="s">
        <v>111</v>
      </c>
      <c r="M827" s="14" t="s">
        <v>34</v>
      </c>
      <c r="N827" s="14" t="b">
        <v>1</v>
      </c>
      <c r="O827" s="14" t="s">
        <v>3534</v>
      </c>
      <c r="P827" s="13" t="s">
        <v>42</v>
      </c>
      <c r="Q827" s="14"/>
      <c r="R827" s="14"/>
      <c r="S827" s="14" t="s">
        <v>3535</v>
      </c>
      <c r="T827" s="14" t="s">
        <v>36</v>
      </c>
      <c r="U827" s="17"/>
      <c r="V827" s="14"/>
      <c r="W827" s="14"/>
      <c r="X827" s="18"/>
      <c r="Y827" s="18"/>
      <c r="Z827" s="18"/>
      <c r="AA827" s="19">
        <f t="shared" si="1"/>
        <v>10</v>
      </c>
      <c r="AB827" s="19" t="str">
        <f t="shared" si="2"/>
        <v/>
      </c>
    </row>
    <row r="828" ht="15.75" customHeight="1">
      <c r="A828" s="12">
        <v>45205.0</v>
      </c>
      <c r="B828" s="13" t="s">
        <v>28</v>
      </c>
      <c r="C828" s="14" t="s">
        <v>3536</v>
      </c>
      <c r="D828" s="14"/>
      <c r="E828" s="14"/>
      <c r="F828" s="14"/>
      <c r="G828" s="14"/>
      <c r="H828" s="15" t="s">
        <v>3537</v>
      </c>
      <c r="I828" s="14"/>
      <c r="J828" s="14"/>
      <c r="K828" s="14"/>
      <c r="L828" s="14" t="s">
        <v>111</v>
      </c>
      <c r="M828" s="14" t="s">
        <v>565</v>
      </c>
      <c r="N828" s="14" t="b">
        <v>0</v>
      </c>
      <c r="O828" s="14"/>
      <c r="P828" s="14"/>
      <c r="Q828" s="14"/>
      <c r="R828" s="14"/>
      <c r="S828" s="14" t="s">
        <v>3538</v>
      </c>
      <c r="T828" s="13" t="s">
        <v>129</v>
      </c>
      <c r="U828" s="17">
        <v>45210.0</v>
      </c>
      <c r="V828" s="14"/>
      <c r="W828" s="14"/>
      <c r="X828" s="18"/>
      <c r="Y828" s="18"/>
      <c r="Z828" s="18"/>
      <c r="AA828" s="19">
        <f t="shared" si="1"/>
        <v>10</v>
      </c>
      <c r="AB828" s="19" t="str">
        <f t="shared" si="2"/>
        <v/>
      </c>
    </row>
    <row r="829" ht="15.75" customHeight="1">
      <c r="A829" s="12">
        <v>45205.0</v>
      </c>
      <c r="B829" s="13" t="s">
        <v>28</v>
      </c>
      <c r="C829" s="14" t="s">
        <v>3539</v>
      </c>
      <c r="D829" s="14"/>
      <c r="E829" s="13">
        <v>11.0</v>
      </c>
      <c r="F829" s="14">
        <v>6.0</v>
      </c>
      <c r="G829" s="14"/>
      <c r="H829" s="15" t="s">
        <v>3540</v>
      </c>
      <c r="I829" s="14"/>
      <c r="J829" s="14"/>
      <c r="K829" s="14" t="s">
        <v>3541</v>
      </c>
      <c r="L829" s="14" t="s">
        <v>111</v>
      </c>
      <c r="M829" s="14" t="s">
        <v>34</v>
      </c>
      <c r="N829" s="14" t="b">
        <v>0</v>
      </c>
      <c r="O829" s="14"/>
      <c r="P829" s="14"/>
      <c r="Q829" s="14"/>
      <c r="R829" s="14"/>
      <c r="S829" s="14" t="s">
        <v>3542</v>
      </c>
      <c r="T829" s="13" t="s">
        <v>129</v>
      </c>
      <c r="U829" s="17">
        <v>45214.0</v>
      </c>
      <c r="V829" s="14"/>
      <c r="W829" s="14"/>
      <c r="X829" s="18"/>
      <c r="Y829" s="18"/>
      <c r="Z829" s="18"/>
      <c r="AA829" s="19">
        <f t="shared" si="1"/>
        <v>10</v>
      </c>
      <c r="AB829" s="19" t="str">
        <f t="shared" si="2"/>
        <v/>
      </c>
    </row>
    <row r="830" ht="15.75" customHeight="1">
      <c r="A830" s="12">
        <v>45206.0</v>
      </c>
      <c r="B830" s="14" t="s">
        <v>84</v>
      </c>
      <c r="C830" s="14" t="s">
        <v>3543</v>
      </c>
      <c r="D830" s="14"/>
      <c r="E830" s="14"/>
      <c r="F830" s="14"/>
      <c r="G830" s="14"/>
      <c r="H830" s="15" t="s">
        <v>3544</v>
      </c>
      <c r="I830" s="14"/>
      <c r="J830" s="14"/>
      <c r="K830" s="14" t="s">
        <v>3541</v>
      </c>
      <c r="L830" s="14" t="s">
        <v>111</v>
      </c>
      <c r="M830" s="14" t="s">
        <v>34</v>
      </c>
      <c r="N830" s="14" t="b">
        <v>0</v>
      </c>
      <c r="O830" s="14"/>
      <c r="P830" s="14"/>
      <c r="Q830" s="14"/>
      <c r="R830" s="14"/>
      <c r="S830" s="14" t="s">
        <v>3545</v>
      </c>
      <c r="T830" s="14" t="s">
        <v>36</v>
      </c>
      <c r="U830" s="17"/>
      <c r="V830" s="14"/>
      <c r="W830" s="14"/>
      <c r="X830" s="18"/>
      <c r="Y830" s="18"/>
      <c r="Z830" s="18"/>
      <c r="AA830" s="19">
        <f t="shared" si="1"/>
        <v>10</v>
      </c>
      <c r="AB830" s="19" t="str">
        <f t="shared" si="2"/>
        <v/>
      </c>
    </row>
    <row r="831" ht="15.75" customHeight="1">
      <c r="A831" s="12">
        <v>45206.0</v>
      </c>
      <c r="B831" s="13" t="s">
        <v>28</v>
      </c>
      <c r="C831" s="14" t="s">
        <v>3546</v>
      </c>
      <c r="D831" s="14"/>
      <c r="E831" s="13">
        <v>17.0</v>
      </c>
      <c r="F831" s="14">
        <v>10.0</v>
      </c>
      <c r="G831" s="14"/>
      <c r="H831" s="15" t="s">
        <v>3547</v>
      </c>
      <c r="I831" s="14"/>
      <c r="J831" s="14">
        <v>8.62118208E8</v>
      </c>
      <c r="K831" s="14"/>
      <c r="L831" s="14" t="s">
        <v>111</v>
      </c>
      <c r="M831" s="14" t="s">
        <v>565</v>
      </c>
      <c r="N831" s="14" t="b">
        <v>0</v>
      </c>
      <c r="O831" s="14"/>
      <c r="P831" s="14"/>
      <c r="Q831" s="14"/>
      <c r="R831" s="14"/>
      <c r="S831" s="14" t="s">
        <v>3548</v>
      </c>
      <c r="T831" s="13" t="s">
        <v>129</v>
      </c>
      <c r="U831" s="17"/>
      <c r="V831" s="32">
        <v>45208.0</v>
      </c>
      <c r="W831" s="24" t="s">
        <v>399</v>
      </c>
      <c r="X831" s="25">
        <v>2.1E7</v>
      </c>
      <c r="Y831" s="25">
        <v>2100000.0</v>
      </c>
      <c r="Z831" s="25">
        <v>1.89E7</v>
      </c>
      <c r="AA831" s="19">
        <f t="shared" si="1"/>
        <v>10</v>
      </c>
      <c r="AB831" s="19" t="str">
        <f t="shared" si="2"/>
        <v/>
      </c>
    </row>
    <row r="832" ht="15.75" customHeight="1">
      <c r="A832" s="26">
        <v>45208.0</v>
      </c>
      <c r="B832" s="27" t="s">
        <v>84</v>
      </c>
      <c r="C832" s="27" t="s">
        <v>3549</v>
      </c>
      <c r="D832" s="27"/>
      <c r="E832" s="24">
        <v>33.0</v>
      </c>
      <c r="F832" s="27"/>
      <c r="G832" s="27"/>
      <c r="H832" s="34" t="s">
        <v>3550</v>
      </c>
      <c r="I832" s="27"/>
      <c r="J832" s="27"/>
      <c r="K832" s="27" t="s">
        <v>2989</v>
      </c>
      <c r="L832" s="27" t="s">
        <v>111</v>
      </c>
      <c r="M832" s="27" t="s">
        <v>67</v>
      </c>
      <c r="N832" s="14" t="b">
        <v>0</v>
      </c>
      <c r="O832" s="27"/>
      <c r="P832" s="27"/>
      <c r="Q832" s="24" t="s">
        <v>91</v>
      </c>
      <c r="R832" s="27"/>
      <c r="S832" s="27" t="s">
        <v>3551</v>
      </c>
      <c r="T832" s="24" t="s">
        <v>72</v>
      </c>
      <c r="U832" s="26"/>
      <c r="V832" s="142"/>
      <c r="W832" s="14"/>
      <c r="X832" s="18"/>
      <c r="Y832" s="18"/>
      <c r="Z832" s="18"/>
      <c r="AA832" s="19">
        <f t="shared" si="1"/>
        <v>10</v>
      </c>
      <c r="AB832" s="19">
        <f t="shared" si="2"/>
        <v>10</v>
      </c>
    </row>
    <row r="833" ht="15.75" customHeight="1">
      <c r="A833" s="12">
        <v>45208.0</v>
      </c>
      <c r="B833" s="14" t="s">
        <v>84</v>
      </c>
      <c r="C833" s="14" t="s">
        <v>3549</v>
      </c>
      <c r="D833" s="14" t="s">
        <v>3552</v>
      </c>
      <c r="E833" s="13">
        <v>4.0</v>
      </c>
      <c r="F833" s="14"/>
      <c r="G833" s="14"/>
      <c r="H833" s="15" t="s">
        <v>3550</v>
      </c>
      <c r="I833" s="14"/>
      <c r="J833" s="14"/>
      <c r="K833" s="14" t="s">
        <v>2989</v>
      </c>
      <c r="L833" s="14" t="s">
        <v>111</v>
      </c>
      <c r="M833" s="14" t="s">
        <v>34</v>
      </c>
      <c r="N833" s="14" t="b">
        <v>0</v>
      </c>
      <c r="O833" s="14"/>
      <c r="P833" s="14"/>
      <c r="Q833" s="14"/>
      <c r="R833" s="14"/>
      <c r="S833" s="14" t="s">
        <v>3553</v>
      </c>
      <c r="T833" s="14" t="s">
        <v>36</v>
      </c>
      <c r="U833" s="17"/>
      <c r="V833" s="14"/>
      <c r="W833" s="14"/>
      <c r="X833" s="18"/>
      <c r="Y833" s="18"/>
      <c r="Z833" s="18"/>
      <c r="AA833" s="19">
        <f t="shared" si="1"/>
        <v>10</v>
      </c>
      <c r="AB833" s="19" t="str">
        <f t="shared" si="2"/>
        <v/>
      </c>
    </row>
    <row r="834" ht="15.75" customHeight="1">
      <c r="A834" s="12">
        <v>45208.0</v>
      </c>
      <c r="B834" s="24" t="s">
        <v>28</v>
      </c>
      <c r="C834" s="14" t="s">
        <v>3554</v>
      </c>
      <c r="D834" s="14"/>
      <c r="E834" s="14"/>
      <c r="F834" s="14"/>
      <c r="G834" s="14"/>
      <c r="H834" s="15" t="s">
        <v>3555</v>
      </c>
      <c r="I834" s="14"/>
      <c r="J834" s="14"/>
      <c r="K834" s="14" t="s">
        <v>3556</v>
      </c>
      <c r="L834" s="14" t="s">
        <v>111</v>
      </c>
      <c r="M834" s="14" t="s">
        <v>565</v>
      </c>
      <c r="N834" s="14" t="b">
        <v>0</v>
      </c>
      <c r="O834" s="14"/>
      <c r="P834" s="14"/>
      <c r="Q834" s="14"/>
      <c r="R834" s="14"/>
      <c r="S834" s="14" t="s">
        <v>3557</v>
      </c>
      <c r="T834" s="13" t="s">
        <v>129</v>
      </c>
      <c r="U834" s="17">
        <v>45212.0</v>
      </c>
      <c r="V834" s="32">
        <v>45215.0</v>
      </c>
      <c r="W834" s="24" t="s">
        <v>575</v>
      </c>
      <c r="X834" s="25">
        <v>4375000.0</v>
      </c>
      <c r="Y834" s="25">
        <v>437500.0</v>
      </c>
      <c r="Z834" s="25">
        <v>3937500.0</v>
      </c>
      <c r="AA834" s="19">
        <f t="shared" si="1"/>
        <v>10</v>
      </c>
      <c r="AB834" s="19" t="str">
        <f t="shared" si="2"/>
        <v/>
      </c>
    </row>
    <row r="835" ht="15.75" customHeight="1">
      <c r="A835" s="26">
        <v>45208.0</v>
      </c>
      <c r="B835" s="27" t="s">
        <v>201</v>
      </c>
      <c r="C835" s="24" t="s">
        <v>3558</v>
      </c>
      <c r="D835" s="27" t="s">
        <v>3559</v>
      </c>
      <c r="E835" s="24">
        <v>13.0</v>
      </c>
      <c r="F835" s="27">
        <v>8.0</v>
      </c>
      <c r="G835" s="27"/>
      <c r="H835" s="34" t="s">
        <v>3560</v>
      </c>
      <c r="I835" s="27"/>
      <c r="J835" s="27"/>
      <c r="K835" s="27" t="s">
        <v>3561</v>
      </c>
      <c r="L835" s="27" t="s">
        <v>111</v>
      </c>
      <c r="M835" s="27" t="s">
        <v>67</v>
      </c>
      <c r="N835" s="14" t="b">
        <v>1</v>
      </c>
      <c r="O835" s="27" t="s">
        <v>3562</v>
      </c>
      <c r="P835" s="13" t="s">
        <v>69</v>
      </c>
      <c r="Q835" s="24" t="s">
        <v>91</v>
      </c>
      <c r="R835" s="27"/>
      <c r="S835" s="27" t="s">
        <v>3563</v>
      </c>
      <c r="T835" s="24" t="s">
        <v>72</v>
      </c>
      <c r="U835" s="26"/>
      <c r="V835" s="32">
        <v>45215.0</v>
      </c>
      <c r="W835" s="24" t="s">
        <v>407</v>
      </c>
      <c r="X835" s="25">
        <v>4375000.0</v>
      </c>
      <c r="Y835" s="25">
        <v>437500.0</v>
      </c>
      <c r="Z835" s="25">
        <v>3937500.0</v>
      </c>
      <c r="AA835" s="19">
        <f t="shared" si="1"/>
        <v>10</v>
      </c>
      <c r="AB835" s="19">
        <f t="shared" si="2"/>
        <v>10</v>
      </c>
    </row>
    <row r="836" ht="15.75" customHeight="1">
      <c r="A836" s="26">
        <v>45208.0</v>
      </c>
      <c r="B836" s="27" t="s">
        <v>201</v>
      </c>
      <c r="C836" s="24" t="s">
        <v>3558</v>
      </c>
      <c r="D836" s="27" t="s">
        <v>3564</v>
      </c>
      <c r="E836" s="24">
        <v>11.0</v>
      </c>
      <c r="F836" s="27">
        <v>6.0</v>
      </c>
      <c r="G836" s="27"/>
      <c r="H836" s="34" t="s">
        <v>3560</v>
      </c>
      <c r="I836" s="27"/>
      <c r="J836" s="27"/>
      <c r="K836" s="27" t="s">
        <v>3561</v>
      </c>
      <c r="L836" s="27" t="s">
        <v>111</v>
      </c>
      <c r="M836" s="27" t="s">
        <v>67</v>
      </c>
      <c r="N836" s="14" t="b">
        <v>1</v>
      </c>
      <c r="O836" s="24" t="s">
        <v>3565</v>
      </c>
      <c r="P836" s="13" t="s">
        <v>69</v>
      </c>
      <c r="Q836" s="24" t="s">
        <v>91</v>
      </c>
      <c r="R836" s="27"/>
      <c r="S836" s="27" t="s">
        <v>3563</v>
      </c>
      <c r="T836" s="24" t="s">
        <v>72</v>
      </c>
      <c r="U836" s="26"/>
      <c r="V836" s="32">
        <v>45216.0</v>
      </c>
      <c r="W836" s="24" t="s">
        <v>83</v>
      </c>
      <c r="X836" s="25">
        <v>3062000.0</v>
      </c>
      <c r="Y836" s="25">
        <v>0.0</v>
      </c>
      <c r="Z836" s="25">
        <v>3062000.0</v>
      </c>
      <c r="AA836" s="19">
        <f t="shared" si="1"/>
        <v>10</v>
      </c>
      <c r="AB836" s="19">
        <f t="shared" si="2"/>
        <v>10</v>
      </c>
    </row>
    <row r="837" ht="15.75" customHeight="1">
      <c r="A837" s="26">
        <v>45208.0</v>
      </c>
      <c r="B837" s="27" t="s">
        <v>201</v>
      </c>
      <c r="C837" s="24" t="s">
        <v>3566</v>
      </c>
      <c r="D837" s="27" t="s">
        <v>3567</v>
      </c>
      <c r="E837" s="24">
        <v>11.0</v>
      </c>
      <c r="F837" s="27">
        <v>6.0</v>
      </c>
      <c r="G837" s="27"/>
      <c r="H837" s="34" t="s">
        <v>3568</v>
      </c>
      <c r="I837" s="27"/>
      <c r="J837" s="27"/>
      <c r="K837" s="27" t="s">
        <v>3561</v>
      </c>
      <c r="L837" s="27" t="s">
        <v>111</v>
      </c>
      <c r="M837" s="27" t="s">
        <v>67</v>
      </c>
      <c r="N837" s="14" t="b">
        <v>1</v>
      </c>
      <c r="O837" s="24" t="s">
        <v>3569</v>
      </c>
      <c r="P837" s="13" t="s">
        <v>42</v>
      </c>
      <c r="Q837" s="24" t="s">
        <v>91</v>
      </c>
      <c r="R837" s="27"/>
      <c r="S837" s="27" t="s">
        <v>3570</v>
      </c>
      <c r="T837" s="24" t="s">
        <v>72</v>
      </c>
      <c r="U837" s="26"/>
      <c r="V837" s="14"/>
      <c r="W837" s="14"/>
      <c r="X837" s="18"/>
      <c r="Y837" s="18"/>
      <c r="Z837" s="18"/>
      <c r="AA837" s="19">
        <f t="shared" si="1"/>
        <v>10</v>
      </c>
      <c r="AB837" s="19">
        <f t="shared" si="2"/>
        <v>10</v>
      </c>
    </row>
    <row r="838" ht="15.75" customHeight="1">
      <c r="A838" s="12">
        <v>45208.0</v>
      </c>
      <c r="B838" s="13" t="s">
        <v>28</v>
      </c>
      <c r="C838" s="14" t="s">
        <v>3571</v>
      </c>
      <c r="D838" s="14"/>
      <c r="E838" s="14"/>
      <c r="F838" s="14"/>
      <c r="G838" s="14"/>
      <c r="H838" s="15"/>
      <c r="I838" s="14"/>
      <c r="J838" s="14">
        <v>9.06919729E8</v>
      </c>
      <c r="K838" s="13" t="s">
        <v>91</v>
      </c>
      <c r="L838" s="14" t="s">
        <v>111</v>
      </c>
      <c r="M838" s="14" t="s">
        <v>565</v>
      </c>
      <c r="N838" s="14" t="b">
        <v>0</v>
      </c>
      <c r="O838" s="14"/>
      <c r="P838" s="14"/>
      <c r="Q838" s="14"/>
      <c r="R838" s="14"/>
      <c r="S838" s="14" t="s">
        <v>3572</v>
      </c>
      <c r="T838" s="13" t="s">
        <v>129</v>
      </c>
      <c r="U838" s="17">
        <v>45211.0</v>
      </c>
      <c r="V838" s="14"/>
      <c r="W838" s="14"/>
      <c r="X838" s="18"/>
      <c r="Y838" s="18"/>
      <c r="Z838" s="18"/>
      <c r="AA838" s="19">
        <f t="shared" si="1"/>
        <v>10</v>
      </c>
      <c r="AB838" s="19" t="str">
        <f t="shared" si="2"/>
        <v/>
      </c>
    </row>
    <row r="839" ht="15.75" customHeight="1">
      <c r="A839" s="12">
        <v>45208.0</v>
      </c>
      <c r="B839" s="13" t="s">
        <v>28</v>
      </c>
      <c r="C839" s="14" t="s">
        <v>3573</v>
      </c>
      <c r="D839" s="14"/>
      <c r="E839" s="14"/>
      <c r="F839" s="14"/>
      <c r="G839" s="14"/>
      <c r="H839" s="15" t="s">
        <v>3574</v>
      </c>
      <c r="I839" s="14"/>
      <c r="J839" s="14"/>
      <c r="K839" s="13" t="s">
        <v>91</v>
      </c>
      <c r="L839" s="14" t="s">
        <v>111</v>
      </c>
      <c r="M839" s="14" t="s">
        <v>565</v>
      </c>
      <c r="N839" s="14" t="b">
        <v>0</v>
      </c>
      <c r="O839" s="14"/>
      <c r="P839" s="14"/>
      <c r="Q839" s="14"/>
      <c r="R839" s="14"/>
      <c r="S839" s="14" t="s">
        <v>3575</v>
      </c>
      <c r="T839" s="13" t="s">
        <v>129</v>
      </c>
      <c r="U839" s="17">
        <v>45211.0</v>
      </c>
      <c r="V839" s="14"/>
      <c r="W839" s="14"/>
      <c r="X839" s="18"/>
      <c r="Y839" s="18"/>
      <c r="Z839" s="18"/>
      <c r="AA839" s="19">
        <f t="shared" si="1"/>
        <v>10</v>
      </c>
      <c r="AB839" s="19" t="str">
        <f t="shared" si="2"/>
        <v/>
      </c>
    </row>
    <row r="840" ht="15.75" customHeight="1">
      <c r="A840" s="12">
        <v>45208.0</v>
      </c>
      <c r="B840" s="13" t="s">
        <v>28</v>
      </c>
      <c r="C840" s="14" t="s">
        <v>3576</v>
      </c>
      <c r="D840" s="14"/>
      <c r="E840" s="13">
        <v>9.0</v>
      </c>
      <c r="F840" s="14">
        <v>4.0</v>
      </c>
      <c r="G840" s="14"/>
      <c r="H840" s="15" t="s">
        <v>3577</v>
      </c>
      <c r="I840" s="14"/>
      <c r="J840" s="14"/>
      <c r="K840" s="14"/>
      <c r="L840" s="14" t="s">
        <v>111</v>
      </c>
      <c r="M840" s="14" t="s">
        <v>565</v>
      </c>
      <c r="N840" s="14" t="b">
        <v>0</v>
      </c>
      <c r="O840" s="14"/>
      <c r="P840" s="14"/>
      <c r="Q840" s="14"/>
      <c r="R840" s="14"/>
      <c r="S840" s="13" t="s">
        <v>3578</v>
      </c>
      <c r="T840" s="13" t="s">
        <v>129</v>
      </c>
      <c r="U840" s="17">
        <v>45214.0</v>
      </c>
      <c r="V840" s="14"/>
      <c r="W840" s="14"/>
      <c r="X840" s="18"/>
      <c r="Y840" s="18"/>
      <c r="Z840" s="18"/>
      <c r="AA840" s="19">
        <f t="shared" si="1"/>
        <v>10</v>
      </c>
      <c r="AB840" s="19" t="str">
        <f t="shared" si="2"/>
        <v/>
      </c>
    </row>
    <row r="841" ht="15.75" customHeight="1">
      <c r="A841" s="12">
        <v>45208.0</v>
      </c>
      <c r="B841" s="13" t="s">
        <v>28</v>
      </c>
      <c r="C841" s="14" t="s">
        <v>3579</v>
      </c>
      <c r="D841" s="14" t="s">
        <v>3580</v>
      </c>
      <c r="E841" s="13">
        <v>13.0</v>
      </c>
      <c r="F841" s="14">
        <v>8.0</v>
      </c>
      <c r="G841" s="14"/>
      <c r="H841" s="15" t="s">
        <v>3581</v>
      </c>
      <c r="I841" s="14"/>
      <c r="J841" s="14"/>
      <c r="K841" s="14" t="s">
        <v>3582</v>
      </c>
      <c r="L841" s="14" t="s">
        <v>111</v>
      </c>
      <c r="M841" s="14" t="s">
        <v>565</v>
      </c>
      <c r="N841" s="14" t="b">
        <v>0</v>
      </c>
      <c r="O841" s="14"/>
      <c r="P841" s="14"/>
      <c r="Q841" s="14"/>
      <c r="R841" s="14"/>
      <c r="S841" s="14" t="s">
        <v>3583</v>
      </c>
      <c r="T841" s="13" t="s">
        <v>129</v>
      </c>
      <c r="U841" s="17">
        <v>45218.0</v>
      </c>
      <c r="V841" s="14"/>
      <c r="W841" s="14"/>
      <c r="X841" s="18"/>
      <c r="Y841" s="18"/>
      <c r="Z841" s="18"/>
      <c r="AA841" s="19">
        <f t="shared" si="1"/>
        <v>10</v>
      </c>
      <c r="AB841" s="19" t="str">
        <f t="shared" si="2"/>
        <v/>
      </c>
    </row>
    <row r="842" ht="15.75" customHeight="1">
      <c r="A842" s="12">
        <v>45209.0</v>
      </c>
      <c r="B842" s="13" t="s">
        <v>28</v>
      </c>
      <c r="C842" s="14" t="s">
        <v>3584</v>
      </c>
      <c r="D842" s="13" t="s">
        <v>3585</v>
      </c>
      <c r="E842" s="13">
        <v>10.0</v>
      </c>
      <c r="F842" s="14">
        <v>5.0</v>
      </c>
      <c r="G842" s="14"/>
      <c r="H842" s="15" t="s">
        <v>971</v>
      </c>
      <c r="I842" s="14"/>
      <c r="J842" s="14"/>
      <c r="K842" s="14" t="s">
        <v>3541</v>
      </c>
      <c r="L842" s="14" t="s">
        <v>111</v>
      </c>
      <c r="M842" s="14" t="s">
        <v>13</v>
      </c>
      <c r="N842" s="14" t="b">
        <v>1</v>
      </c>
      <c r="O842" s="13" t="s">
        <v>3586</v>
      </c>
      <c r="P842" s="13" t="s">
        <v>42</v>
      </c>
      <c r="Q842" s="14"/>
      <c r="R842" s="14"/>
      <c r="S842" s="14" t="s">
        <v>3587</v>
      </c>
      <c r="T842" s="13" t="s">
        <v>129</v>
      </c>
      <c r="U842" s="17">
        <v>45219.0</v>
      </c>
      <c r="V842" s="14"/>
      <c r="W842" s="14"/>
      <c r="X842" s="18"/>
      <c r="Y842" s="18"/>
      <c r="Z842" s="18"/>
      <c r="AA842" s="19">
        <f t="shared" si="1"/>
        <v>10</v>
      </c>
      <c r="AB842" s="19" t="str">
        <f t="shared" si="2"/>
        <v/>
      </c>
    </row>
    <row r="843" ht="15.75" customHeight="1">
      <c r="A843" s="12">
        <v>45209.0</v>
      </c>
      <c r="B843" s="13" t="s">
        <v>28</v>
      </c>
      <c r="C843" s="14" t="s">
        <v>3584</v>
      </c>
      <c r="D843" s="14" t="s">
        <v>3588</v>
      </c>
      <c r="E843" s="13">
        <v>5.0</v>
      </c>
      <c r="F843" s="14" t="s">
        <v>457</v>
      </c>
      <c r="G843" s="14"/>
      <c r="H843" s="15" t="s">
        <v>971</v>
      </c>
      <c r="I843" s="14"/>
      <c r="J843" s="14"/>
      <c r="K843" s="14" t="s">
        <v>3541</v>
      </c>
      <c r="L843" s="14" t="s">
        <v>111</v>
      </c>
      <c r="M843" s="14" t="s">
        <v>13</v>
      </c>
      <c r="N843" s="14" t="b">
        <v>1</v>
      </c>
      <c r="O843" s="13" t="s">
        <v>3589</v>
      </c>
      <c r="P843" s="13" t="s">
        <v>69</v>
      </c>
      <c r="Q843" s="14"/>
      <c r="R843" s="14"/>
      <c r="S843" s="14" t="s">
        <v>3587</v>
      </c>
      <c r="T843" s="13" t="s">
        <v>129</v>
      </c>
      <c r="U843" s="17">
        <v>45218.0</v>
      </c>
      <c r="V843" s="14"/>
      <c r="W843" s="14"/>
      <c r="X843" s="18"/>
      <c r="Y843" s="18"/>
      <c r="Z843" s="18"/>
      <c r="AA843" s="19">
        <f t="shared" si="1"/>
        <v>10</v>
      </c>
      <c r="AB843" s="19" t="str">
        <f t="shared" si="2"/>
        <v/>
      </c>
    </row>
    <row r="844" ht="15.75" customHeight="1">
      <c r="A844" s="12">
        <v>45209.0</v>
      </c>
      <c r="B844" s="13" t="s">
        <v>28</v>
      </c>
      <c r="C844" s="14" t="s">
        <v>3590</v>
      </c>
      <c r="D844" s="14" t="s">
        <v>3591</v>
      </c>
      <c r="E844" s="13">
        <v>8.0</v>
      </c>
      <c r="F844" s="14">
        <v>8.0</v>
      </c>
      <c r="G844" s="14"/>
      <c r="H844" s="15" t="s">
        <v>3592</v>
      </c>
      <c r="I844" s="14"/>
      <c r="J844" s="14"/>
      <c r="K844" s="13" t="s">
        <v>91</v>
      </c>
      <c r="L844" s="14" t="s">
        <v>111</v>
      </c>
      <c r="M844" s="14" t="s">
        <v>565</v>
      </c>
      <c r="N844" s="14" t="b">
        <v>0</v>
      </c>
      <c r="O844" s="14"/>
      <c r="P844" s="14"/>
      <c r="Q844" s="14"/>
      <c r="R844" s="14"/>
      <c r="S844" s="14" t="s">
        <v>3593</v>
      </c>
      <c r="T844" s="13" t="s">
        <v>129</v>
      </c>
      <c r="U844" s="17"/>
      <c r="V844" s="14"/>
      <c r="W844" s="14"/>
      <c r="X844" s="18"/>
      <c r="Y844" s="18"/>
      <c r="Z844" s="18"/>
      <c r="AA844" s="19">
        <f t="shared" si="1"/>
        <v>10</v>
      </c>
      <c r="AB844" s="19" t="str">
        <f t="shared" si="2"/>
        <v/>
      </c>
    </row>
    <row r="845" ht="15.75" customHeight="1">
      <c r="A845" s="12">
        <v>45209.0</v>
      </c>
      <c r="B845" s="13" t="s">
        <v>28</v>
      </c>
      <c r="C845" s="14" t="s">
        <v>3590</v>
      </c>
      <c r="D845" s="14" t="s">
        <v>3594</v>
      </c>
      <c r="E845" s="13">
        <v>5.0</v>
      </c>
      <c r="F845" s="14" t="s">
        <v>457</v>
      </c>
      <c r="G845" s="14"/>
      <c r="H845" s="15" t="s">
        <v>3592</v>
      </c>
      <c r="I845" s="14"/>
      <c r="J845" s="14"/>
      <c r="K845" s="13" t="s">
        <v>91</v>
      </c>
      <c r="L845" s="14" t="s">
        <v>111</v>
      </c>
      <c r="M845" s="14" t="s">
        <v>565</v>
      </c>
      <c r="N845" s="14" t="b">
        <v>0</v>
      </c>
      <c r="O845" s="14"/>
      <c r="P845" s="14"/>
      <c r="Q845" s="14"/>
      <c r="R845" s="14"/>
      <c r="S845" s="14" t="s">
        <v>3595</v>
      </c>
      <c r="T845" s="13" t="s">
        <v>129</v>
      </c>
      <c r="U845" s="17"/>
      <c r="V845" s="14"/>
      <c r="W845" s="14"/>
      <c r="X845" s="18"/>
      <c r="Y845" s="18"/>
      <c r="Z845" s="18"/>
      <c r="AA845" s="19">
        <f t="shared" si="1"/>
        <v>10</v>
      </c>
      <c r="AB845" s="19" t="str">
        <f t="shared" si="2"/>
        <v/>
      </c>
    </row>
    <row r="846" ht="15.75" customHeight="1">
      <c r="A846" s="12">
        <v>45210.0</v>
      </c>
      <c r="B846" s="13" t="s">
        <v>28</v>
      </c>
      <c r="C846" s="14" t="s">
        <v>3596</v>
      </c>
      <c r="D846" s="14"/>
      <c r="E846" s="13">
        <v>6.0</v>
      </c>
      <c r="F846" s="14"/>
      <c r="G846" s="14"/>
      <c r="H846" s="15" t="s">
        <v>3597</v>
      </c>
      <c r="I846" s="14"/>
      <c r="J846" s="14"/>
      <c r="K846" s="13" t="s">
        <v>91</v>
      </c>
      <c r="L846" s="14" t="s">
        <v>111</v>
      </c>
      <c r="M846" s="14" t="s">
        <v>565</v>
      </c>
      <c r="N846" s="14" t="b">
        <v>0</v>
      </c>
      <c r="O846" s="14"/>
      <c r="P846" s="14"/>
      <c r="Q846" s="14"/>
      <c r="R846" s="14"/>
      <c r="S846" s="14" t="s">
        <v>3598</v>
      </c>
      <c r="T846" s="13" t="s">
        <v>129</v>
      </c>
      <c r="U846" s="17"/>
      <c r="V846" s="14"/>
      <c r="W846" s="14"/>
      <c r="X846" s="18"/>
      <c r="Y846" s="18"/>
      <c r="Z846" s="18"/>
      <c r="AA846" s="19">
        <f t="shared" si="1"/>
        <v>10</v>
      </c>
      <c r="AB846" s="19" t="str">
        <f t="shared" si="2"/>
        <v/>
      </c>
    </row>
    <row r="847" ht="15.75" customHeight="1">
      <c r="A847" s="12">
        <v>45210.0</v>
      </c>
      <c r="B847" s="13" t="s">
        <v>28</v>
      </c>
      <c r="C847" s="14" t="s">
        <v>3599</v>
      </c>
      <c r="D847" s="14" t="s">
        <v>3600</v>
      </c>
      <c r="E847" s="13">
        <v>11.0</v>
      </c>
      <c r="F847" s="14">
        <v>6.0</v>
      </c>
      <c r="G847" s="14"/>
      <c r="H847" s="15" t="s">
        <v>3601</v>
      </c>
      <c r="I847" s="14"/>
      <c r="J847" s="14"/>
      <c r="K847" s="14" t="s">
        <v>3602</v>
      </c>
      <c r="L847" s="14" t="s">
        <v>111</v>
      </c>
      <c r="M847" s="14" t="s">
        <v>13</v>
      </c>
      <c r="N847" s="14" t="b">
        <v>1</v>
      </c>
      <c r="O847" s="13" t="s">
        <v>3603</v>
      </c>
      <c r="P847" s="13" t="s">
        <v>69</v>
      </c>
      <c r="Q847" s="14"/>
      <c r="R847" s="14"/>
      <c r="S847" s="14" t="s">
        <v>3604</v>
      </c>
      <c r="T847" s="13" t="s">
        <v>129</v>
      </c>
      <c r="U847" s="17"/>
      <c r="V847" s="14"/>
      <c r="W847" s="14"/>
      <c r="X847" s="18"/>
      <c r="Y847" s="18"/>
      <c r="Z847" s="18"/>
      <c r="AA847" s="19">
        <f t="shared" si="1"/>
        <v>10</v>
      </c>
      <c r="AB847" s="19" t="str">
        <f t="shared" si="2"/>
        <v/>
      </c>
    </row>
    <row r="848" ht="15.75" customHeight="1">
      <c r="A848" s="12">
        <v>45210.0</v>
      </c>
      <c r="B848" s="13" t="s">
        <v>28</v>
      </c>
      <c r="C848" s="14" t="s">
        <v>3605</v>
      </c>
      <c r="D848" s="14" t="s">
        <v>3606</v>
      </c>
      <c r="E848" s="13">
        <v>10.0</v>
      </c>
      <c r="F848" s="14" t="s">
        <v>155</v>
      </c>
      <c r="G848" s="14"/>
      <c r="H848" s="15" t="s">
        <v>3607</v>
      </c>
      <c r="I848" s="14"/>
      <c r="J848" s="14"/>
      <c r="K848" s="14" t="s">
        <v>3608</v>
      </c>
      <c r="L848" s="14" t="s">
        <v>111</v>
      </c>
      <c r="M848" s="14" t="s">
        <v>565</v>
      </c>
      <c r="N848" s="14" t="b">
        <v>0</v>
      </c>
      <c r="O848" s="14"/>
      <c r="P848" s="14"/>
      <c r="Q848" s="14"/>
      <c r="R848" s="14"/>
      <c r="S848" s="14" t="s">
        <v>3609</v>
      </c>
      <c r="T848" s="13" t="s">
        <v>129</v>
      </c>
      <c r="U848" s="17"/>
      <c r="V848" s="14"/>
      <c r="W848" s="14"/>
      <c r="X848" s="18"/>
      <c r="Y848" s="18"/>
      <c r="Z848" s="18"/>
      <c r="AA848" s="19">
        <f t="shared" si="1"/>
        <v>10</v>
      </c>
      <c r="AB848" s="19" t="str">
        <f t="shared" si="2"/>
        <v/>
      </c>
    </row>
    <row r="849" ht="15.75" customHeight="1">
      <c r="A849" s="12">
        <v>45210.0</v>
      </c>
      <c r="B849" s="14" t="s">
        <v>201</v>
      </c>
      <c r="C849" s="13" t="s">
        <v>3610</v>
      </c>
      <c r="D849" s="14" t="s">
        <v>289</v>
      </c>
      <c r="E849" s="14"/>
      <c r="F849" s="14"/>
      <c r="G849" s="14"/>
      <c r="H849" s="15" t="s">
        <v>3611</v>
      </c>
      <c r="I849" s="14"/>
      <c r="J849" s="14"/>
      <c r="K849" s="14" t="s">
        <v>3612</v>
      </c>
      <c r="L849" s="14" t="s">
        <v>111</v>
      </c>
      <c r="M849" s="14" t="s">
        <v>34</v>
      </c>
      <c r="N849" s="14" t="b">
        <v>0</v>
      </c>
      <c r="O849" s="14"/>
      <c r="P849" s="14"/>
      <c r="Q849" s="14"/>
      <c r="R849" s="14"/>
      <c r="S849" s="14" t="s">
        <v>3613</v>
      </c>
      <c r="T849" s="13" t="s">
        <v>129</v>
      </c>
      <c r="U849" s="17"/>
      <c r="V849" s="14"/>
      <c r="W849" s="14"/>
      <c r="X849" s="18"/>
      <c r="Y849" s="18"/>
      <c r="Z849" s="18"/>
      <c r="AA849" s="19">
        <f t="shared" si="1"/>
        <v>10</v>
      </c>
      <c r="AB849" s="19" t="str">
        <f t="shared" si="2"/>
        <v/>
      </c>
    </row>
    <row r="850" ht="15.75" customHeight="1">
      <c r="A850" s="12">
        <v>45211.0</v>
      </c>
      <c r="B850" s="13" t="s">
        <v>28</v>
      </c>
      <c r="C850" s="14" t="s">
        <v>3614</v>
      </c>
      <c r="D850" s="14"/>
      <c r="E850" s="13">
        <v>7.0</v>
      </c>
      <c r="F850" s="14">
        <v>2.0</v>
      </c>
      <c r="G850" s="14"/>
      <c r="H850" s="15" t="s">
        <v>3615</v>
      </c>
      <c r="I850" s="14"/>
      <c r="J850" s="14"/>
      <c r="K850" s="14"/>
      <c r="L850" s="14" t="s">
        <v>111</v>
      </c>
      <c r="M850" s="14" t="s">
        <v>565</v>
      </c>
      <c r="N850" s="14" t="b">
        <v>0</v>
      </c>
      <c r="O850" s="14"/>
      <c r="P850" s="14"/>
      <c r="Q850" s="14"/>
      <c r="R850" s="14"/>
      <c r="S850" s="14" t="s">
        <v>3616</v>
      </c>
      <c r="T850" s="13" t="s">
        <v>129</v>
      </c>
      <c r="U850" s="17"/>
      <c r="V850" s="14"/>
      <c r="W850" s="14"/>
      <c r="X850" s="18"/>
      <c r="Y850" s="18"/>
      <c r="Z850" s="18"/>
      <c r="AA850" s="19">
        <f t="shared" si="1"/>
        <v>10</v>
      </c>
      <c r="AB850" s="19" t="str">
        <f t="shared" si="2"/>
        <v/>
      </c>
    </row>
    <row r="851" ht="15.75" customHeight="1">
      <c r="A851" s="12">
        <v>45212.0</v>
      </c>
      <c r="B851" s="13" t="s">
        <v>28</v>
      </c>
      <c r="C851" s="14" t="s">
        <v>3617</v>
      </c>
      <c r="D851" s="14"/>
      <c r="E851" s="14"/>
      <c r="F851" s="14"/>
      <c r="G851" s="14"/>
      <c r="H851" s="15" t="s">
        <v>3618</v>
      </c>
      <c r="I851" s="14"/>
      <c r="J851" s="14"/>
      <c r="K851" s="14"/>
      <c r="L851" s="14" t="s">
        <v>111</v>
      </c>
      <c r="M851" s="14" t="s">
        <v>34</v>
      </c>
      <c r="N851" s="14" t="b">
        <v>0</v>
      </c>
      <c r="O851" s="14"/>
      <c r="P851" s="14"/>
      <c r="Q851" s="14"/>
      <c r="R851" s="14"/>
      <c r="S851" s="14" t="s">
        <v>3619</v>
      </c>
      <c r="T851" s="14" t="s">
        <v>36</v>
      </c>
      <c r="U851" s="17"/>
      <c r="V851" s="14"/>
      <c r="W851" s="14"/>
      <c r="X851" s="18"/>
      <c r="Y851" s="18"/>
      <c r="Z851" s="18"/>
      <c r="AA851" s="19">
        <f t="shared" si="1"/>
        <v>10</v>
      </c>
      <c r="AB851" s="19" t="str">
        <f t="shared" si="2"/>
        <v/>
      </c>
    </row>
    <row r="852" ht="15.75" customHeight="1">
      <c r="A852" s="12">
        <v>45215.0</v>
      </c>
      <c r="B852" s="13" t="s">
        <v>28</v>
      </c>
      <c r="C852" s="14" t="s">
        <v>3620</v>
      </c>
      <c r="D852" s="14" t="s">
        <v>3621</v>
      </c>
      <c r="E852" s="13">
        <v>9.0</v>
      </c>
      <c r="F852" s="14"/>
      <c r="G852" s="14"/>
      <c r="H852" s="15" t="s">
        <v>3622</v>
      </c>
      <c r="I852" s="14"/>
      <c r="J852" s="14"/>
      <c r="K852" s="14" t="s">
        <v>3623</v>
      </c>
      <c r="L852" s="14" t="s">
        <v>111</v>
      </c>
      <c r="M852" s="14" t="s">
        <v>565</v>
      </c>
      <c r="N852" s="14" t="b">
        <v>0</v>
      </c>
      <c r="O852" s="14"/>
      <c r="P852" s="14"/>
      <c r="Q852" s="14"/>
      <c r="R852" s="14"/>
      <c r="S852" s="14" t="s">
        <v>3624</v>
      </c>
      <c r="T852" s="14" t="s">
        <v>36</v>
      </c>
      <c r="U852" s="17"/>
      <c r="V852" s="32">
        <v>45218.0</v>
      </c>
      <c r="W852" s="24" t="s">
        <v>1230</v>
      </c>
      <c r="X852" s="25">
        <v>3840000.0</v>
      </c>
      <c r="Y852" s="25">
        <v>576000.0</v>
      </c>
      <c r="Z852" s="25">
        <v>3264000.0</v>
      </c>
      <c r="AA852" s="19">
        <f t="shared" si="1"/>
        <v>10</v>
      </c>
      <c r="AB852" s="19" t="str">
        <f t="shared" si="2"/>
        <v/>
      </c>
    </row>
    <row r="853" ht="15.75" customHeight="1">
      <c r="A853" s="26">
        <v>45216.0</v>
      </c>
      <c r="B853" s="27" t="s">
        <v>84</v>
      </c>
      <c r="C853" s="27" t="s">
        <v>3625</v>
      </c>
      <c r="D853" s="27" t="s">
        <v>3626</v>
      </c>
      <c r="E853" s="24">
        <v>10.0</v>
      </c>
      <c r="F853" s="27">
        <v>5.0</v>
      </c>
      <c r="G853" s="27"/>
      <c r="H853" s="34" t="s">
        <v>3627</v>
      </c>
      <c r="I853" s="27"/>
      <c r="J853" s="27"/>
      <c r="K853" s="27" t="s">
        <v>3628</v>
      </c>
      <c r="L853" s="27" t="s">
        <v>111</v>
      </c>
      <c r="M853" s="27" t="s">
        <v>67</v>
      </c>
      <c r="N853" s="14" t="b">
        <v>1</v>
      </c>
      <c r="O853" s="24" t="s">
        <v>3629</v>
      </c>
      <c r="P853" s="13" t="s">
        <v>69</v>
      </c>
      <c r="Q853" s="24" t="s">
        <v>1230</v>
      </c>
      <c r="R853" s="27"/>
      <c r="S853" s="27" t="s">
        <v>3630</v>
      </c>
      <c r="T853" s="24" t="s">
        <v>72</v>
      </c>
      <c r="U853" s="26"/>
      <c r="V853" s="14"/>
      <c r="W853" s="14"/>
      <c r="X853" s="18"/>
      <c r="Y853" s="18"/>
      <c r="Z853" s="18"/>
      <c r="AA853" s="19">
        <f t="shared" si="1"/>
        <v>10</v>
      </c>
      <c r="AB853" s="19">
        <f t="shared" si="2"/>
        <v>10</v>
      </c>
    </row>
    <row r="854" ht="15.75" customHeight="1">
      <c r="A854" s="12">
        <v>45216.0</v>
      </c>
      <c r="B854" s="13" t="s">
        <v>28</v>
      </c>
      <c r="C854" s="14" t="s">
        <v>3631</v>
      </c>
      <c r="D854" s="14" t="s">
        <v>3632</v>
      </c>
      <c r="E854" s="13">
        <v>9.0</v>
      </c>
      <c r="F854" s="14">
        <v>4.0</v>
      </c>
      <c r="G854" s="14"/>
      <c r="H854" s="15" t="s">
        <v>3633</v>
      </c>
      <c r="I854" s="14"/>
      <c r="J854" s="14"/>
      <c r="K854" s="14"/>
      <c r="L854" s="14" t="s">
        <v>111</v>
      </c>
      <c r="M854" s="14" t="s">
        <v>13</v>
      </c>
      <c r="N854" s="14" t="b">
        <v>1</v>
      </c>
      <c r="O854" s="13" t="s">
        <v>3634</v>
      </c>
      <c r="P854" s="13" t="s">
        <v>42</v>
      </c>
      <c r="Q854" s="14"/>
      <c r="R854" s="14"/>
      <c r="S854" s="14" t="s">
        <v>3635</v>
      </c>
      <c r="T854" s="13" t="s">
        <v>129</v>
      </c>
      <c r="U854" s="17"/>
      <c r="V854" s="14"/>
      <c r="W854" s="14"/>
      <c r="X854" s="18"/>
      <c r="Y854" s="18"/>
      <c r="Z854" s="18"/>
      <c r="AA854" s="19">
        <f t="shared" si="1"/>
        <v>10</v>
      </c>
      <c r="AB854" s="19" t="str">
        <f t="shared" si="2"/>
        <v/>
      </c>
    </row>
    <row r="855" ht="15.75" customHeight="1">
      <c r="A855" s="12">
        <v>45216.0</v>
      </c>
      <c r="B855" s="13" t="s">
        <v>28</v>
      </c>
      <c r="C855" s="14" t="s">
        <v>3636</v>
      </c>
      <c r="D855" s="14"/>
      <c r="E855" s="14"/>
      <c r="F855" s="14"/>
      <c r="G855" s="14"/>
      <c r="H855" s="15" t="s">
        <v>3637</v>
      </c>
      <c r="I855" s="14"/>
      <c r="J855" s="14"/>
      <c r="K855" s="14" t="s">
        <v>3638</v>
      </c>
      <c r="L855" s="14" t="s">
        <v>111</v>
      </c>
      <c r="M855" s="14" t="s">
        <v>34</v>
      </c>
      <c r="N855" s="14" t="b">
        <v>0</v>
      </c>
      <c r="O855" s="14"/>
      <c r="P855" s="14"/>
      <c r="Q855" s="14"/>
      <c r="R855" s="14"/>
      <c r="S855" s="14" t="s">
        <v>3639</v>
      </c>
      <c r="T855" s="14" t="s">
        <v>36</v>
      </c>
      <c r="U855" s="17"/>
      <c r="V855" s="14"/>
      <c r="W855" s="14"/>
      <c r="X855" s="18"/>
      <c r="Y855" s="18"/>
      <c r="Z855" s="18"/>
      <c r="AA855" s="19">
        <f t="shared" si="1"/>
        <v>10</v>
      </c>
      <c r="AB855" s="19" t="str">
        <f t="shared" si="2"/>
        <v/>
      </c>
    </row>
    <row r="856" ht="15.75" customHeight="1">
      <c r="A856" s="12">
        <v>45216.0</v>
      </c>
      <c r="B856" s="13" t="s">
        <v>28</v>
      </c>
      <c r="C856" s="14" t="s">
        <v>3640</v>
      </c>
      <c r="D856" s="14" t="s">
        <v>3641</v>
      </c>
      <c r="E856" s="13">
        <v>8.0</v>
      </c>
      <c r="F856" s="14">
        <v>3.0</v>
      </c>
      <c r="G856" s="14"/>
      <c r="H856" s="15" t="s">
        <v>3642</v>
      </c>
      <c r="I856" s="14"/>
      <c r="J856" s="14"/>
      <c r="K856" s="14"/>
      <c r="L856" s="14" t="s">
        <v>111</v>
      </c>
      <c r="M856" s="14" t="s">
        <v>13</v>
      </c>
      <c r="N856" s="14" t="b">
        <v>1</v>
      </c>
      <c r="O856" s="13" t="s">
        <v>3643</v>
      </c>
      <c r="P856" s="13" t="s">
        <v>42</v>
      </c>
      <c r="Q856" s="14"/>
      <c r="R856" s="14"/>
      <c r="S856" s="14" t="s">
        <v>3644</v>
      </c>
      <c r="T856" s="13" t="s">
        <v>129</v>
      </c>
      <c r="U856" s="17"/>
      <c r="V856" s="14"/>
      <c r="W856" s="14"/>
      <c r="X856" s="18"/>
      <c r="Y856" s="18"/>
      <c r="Z856" s="18"/>
      <c r="AA856" s="19">
        <f t="shared" si="1"/>
        <v>10</v>
      </c>
      <c r="AB856" s="19" t="str">
        <f t="shared" si="2"/>
        <v/>
      </c>
    </row>
    <row r="857" ht="15.75" customHeight="1">
      <c r="A857" s="12">
        <v>45216.0</v>
      </c>
      <c r="B857" s="13" t="s">
        <v>28</v>
      </c>
      <c r="C857" s="14"/>
      <c r="D857" s="14" t="s">
        <v>3645</v>
      </c>
      <c r="E857" s="14"/>
      <c r="F857" s="14"/>
      <c r="G857" s="14"/>
      <c r="H857" s="15" t="s">
        <v>3646</v>
      </c>
      <c r="I857" s="14"/>
      <c r="J857" s="14"/>
      <c r="K857" s="14" t="s">
        <v>3647</v>
      </c>
      <c r="L857" s="14" t="s">
        <v>111</v>
      </c>
      <c r="M857" s="14" t="s">
        <v>565</v>
      </c>
      <c r="N857" s="14" t="b">
        <v>0</v>
      </c>
      <c r="O857" s="14"/>
      <c r="P857" s="14"/>
      <c r="Q857" s="14"/>
      <c r="R857" s="14"/>
      <c r="S857" s="13" t="s">
        <v>3648</v>
      </c>
      <c r="T857" s="14" t="s">
        <v>36</v>
      </c>
      <c r="U857" s="17"/>
      <c r="V857" s="32">
        <v>45223.0</v>
      </c>
      <c r="W857" s="24" t="s">
        <v>575</v>
      </c>
      <c r="X857" s="25">
        <v>6124000.0</v>
      </c>
      <c r="Y857" s="25">
        <v>796000.0</v>
      </c>
      <c r="Z857" s="25">
        <v>5328000.0</v>
      </c>
      <c r="AA857" s="19">
        <f t="shared" si="1"/>
        <v>10</v>
      </c>
      <c r="AB857" s="19" t="str">
        <f t="shared" si="2"/>
        <v/>
      </c>
    </row>
    <row r="858" ht="15.75" customHeight="1">
      <c r="A858" s="26">
        <v>45218.0</v>
      </c>
      <c r="B858" s="27" t="s">
        <v>201</v>
      </c>
      <c r="C858" s="27" t="s">
        <v>3649</v>
      </c>
      <c r="D858" s="27" t="s">
        <v>3650</v>
      </c>
      <c r="E858" s="24">
        <v>7.0</v>
      </c>
      <c r="F858" s="27">
        <v>2.0</v>
      </c>
      <c r="G858" s="27"/>
      <c r="H858" s="34" t="s">
        <v>3651</v>
      </c>
      <c r="I858" s="27"/>
      <c r="J858" s="27"/>
      <c r="K858" s="24" t="s">
        <v>3652</v>
      </c>
      <c r="L858" s="27" t="s">
        <v>111</v>
      </c>
      <c r="M858" s="27" t="s">
        <v>67</v>
      </c>
      <c r="N858" s="14" t="b">
        <v>1</v>
      </c>
      <c r="O858" s="24" t="s">
        <v>3653</v>
      </c>
      <c r="P858" s="13" t="s">
        <v>69</v>
      </c>
      <c r="Q858" s="24" t="s">
        <v>91</v>
      </c>
      <c r="R858" s="27"/>
      <c r="S858" s="27" t="s">
        <v>3654</v>
      </c>
      <c r="T858" s="24" t="s">
        <v>72</v>
      </c>
      <c r="U858" s="26"/>
      <c r="V858" s="14"/>
      <c r="W858" s="14"/>
      <c r="X858" s="18"/>
      <c r="Y858" s="18"/>
      <c r="Z858" s="18"/>
      <c r="AA858" s="19">
        <f t="shared" si="1"/>
        <v>10</v>
      </c>
      <c r="AB858" s="19">
        <f t="shared" si="2"/>
        <v>10</v>
      </c>
    </row>
    <row r="859" ht="15.75" customHeight="1">
      <c r="A859" s="12">
        <v>45218.0</v>
      </c>
      <c r="B859" s="13" t="s">
        <v>28</v>
      </c>
      <c r="C859" s="14" t="s">
        <v>3655</v>
      </c>
      <c r="D859" s="14" t="s">
        <v>3656</v>
      </c>
      <c r="E859" s="13">
        <v>12.0</v>
      </c>
      <c r="F859" s="14"/>
      <c r="G859" s="14"/>
      <c r="H859" s="15" t="s">
        <v>3657</v>
      </c>
      <c r="I859" s="14"/>
      <c r="J859" s="14"/>
      <c r="K859" s="14" t="s">
        <v>3658</v>
      </c>
      <c r="L859" s="14" t="s">
        <v>111</v>
      </c>
      <c r="M859" s="14" t="s">
        <v>13</v>
      </c>
      <c r="N859" s="14" t="b">
        <v>1</v>
      </c>
      <c r="O859" s="13" t="s">
        <v>3659</v>
      </c>
      <c r="P859" s="13" t="s">
        <v>69</v>
      </c>
      <c r="Q859" s="14"/>
      <c r="R859" s="14"/>
      <c r="S859" s="14" t="s">
        <v>3660</v>
      </c>
      <c r="T859" s="13" t="s">
        <v>129</v>
      </c>
      <c r="U859" s="17">
        <v>45268.0</v>
      </c>
      <c r="V859" s="14"/>
      <c r="W859" s="14"/>
      <c r="X859" s="18"/>
      <c r="Y859" s="18"/>
      <c r="Z859" s="18"/>
      <c r="AA859" s="19">
        <f t="shared" si="1"/>
        <v>10</v>
      </c>
      <c r="AB859" s="19" t="str">
        <f t="shared" si="2"/>
        <v/>
      </c>
    </row>
    <row r="860" ht="15.75" customHeight="1">
      <c r="A860" s="12">
        <v>45218.0</v>
      </c>
      <c r="B860" s="13" t="s">
        <v>28</v>
      </c>
      <c r="C860" s="14" t="s">
        <v>3655</v>
      </c>
      <c r="D860" s="14" t="s">
        <v>3661</v>
      </c>
      <c r="E860" s="13">
        <v>13.0</v>
      </c>
      <c r="F860" s="14"/>
      <c r="G860" s="14"/>
      <c r="H860" s="15" t="s">
        <v>3657</v>
      </c>
      <c r="I860" s="14"/>
      <c r="J860" s="14"/>
      <c r="K860" s="14" t="s">
        <v>3658</v>
      </c>
      <c r="L860" s="14" t="s">
        <v>111</v>
      </c>
      <c r="M860" s="14" t="s">
        <v>13</v>
      </c>
      <c r="N860" s="14" t="b">
        <v>1</v>
      </c>
      <c r="O860" s="13" t="s">
        <v>3662</v>
      </c>
      <c r="P860" s="13" t="s">
        <v>69</v>
      </c>
      <c r="Q860" s="14"/>
      <c r="R860" s="14"/>
      <c r="S860" s="14" t="s">
        <v>3663</v>
      </c>
      <c r="T860" s="13" t="s">
        <v>129</v>
      </c>
      <c r="U860" s="17">
        <v>45268.0</v>
      </c>
      <c r="V860" s="14"/>
      <c r="W860" s="14"/>
      <c r="X860" s="18"/>
      <c r="Y860" s="18"/>
      <c r="Z860" s="18"/>
      <c r="AA860" s="19">
        <f t="shared" si="1"/>
        <v>10</v>
      </c>
      <c r="AB860" s="19" t="str">
        <f t="shared" si="2"/>
        <v/>
      </c>
    </row>
    <row r="861" ht="15.75" customHeight="1">
      <c r="A861" s="12">
        <v>45218.0</v>
      </c>
      <c r="B861" s="13" t="s">
        <v>28</v>
      </c>
      <c r="C861" s="14"/>
      <c r="D861" s="14" t="s">
        <v>3664</v>
      </c>
      <c r="E861" s="14"/>
      <c r="F861" s="14"/>
      <c r="G861" s="14"/>
      <c r="H861" s="15" t="s">
        <v>3665</v>
      </c>
      <c r="I861" s="14"/>
      <c r="J861" s="14"/>
      <c r="K861" s="14" t="s">
        <v>3666</v>
      </c>
      <c r="L861" s="14" t="s">
        <v>111</v>
      </c>
      <c r="M861" s="14" t="s">
        <v>565</v>
      </c>
      <c r="N861" s="14" t="b">
        <v>0</v>
      </c>
      <c r="O861" s="14"/>
      <c r="P861" s="14"/>
      <c r="Q861" s="14"/>
      <c r="R861" s="14"/>
      <c r="S861" s="14" t="s">
        <v>3667</v>
      </c>
      <c r="T861" s="13" t="s">
        <v>129</v>
      </c>
      <c r="U861" s="17"/>
      <c r="V861" s="14"/>
      <c r="W861" s="14"/>
      <c r="X861" s="18"/>
      <c r="Y861" s="18"/>
      <c r="Z861" s="18"/>
      <c r="AA861" s="19">
        <f t="shared" si="1"/>
        <v>10</v>
      </c>
      <c r="AB861" s="19" t="str">
        <f t="shared" si="2"/>
        <v/>
      </c>
    </row>
    <row r="862" ht="15.75" customHeight="1">
      <c r="A862" s="12">
        <v>45218.0</v>
      </c>
      <c r="B862" s="13" t="s">
        <v>28</v>
      </c>
      <c r="C862" s="14" t="s">
        <v>3668</v>
      </c>
      <c r="D862" s="14"/>
      <c r="E862" s="13">
        <v>8.0</v>
      </c>
      <c r="F862" s="14">
        <v>3.0</v>
      </c>
      <c r="G862" s="14"/>
      <c r="H862" s="15" t="s">
        <v>3669</v>
      </c>
      <c r="I862" s="14"/>
      <c r="J862" s="14"/>
      <c r="K862" s="14"/>
      <c r="L862" s="14" t="s">
        <v>111</v>
      </c>
      <c r="M862" s="14" t="s">
        <v>565</v>
      </c>
      <c r="N862" s="14" t="b">
        <v>0</v>
      </c>
      <c r="O862" s="14"/>
      <c r="P862" s="14"/>
      <c r="Q862" s="14"/>
      <c r="R862" s="14"/>
      <c r="S862" s="14" t="s">
        <v>3670</v>
      </c>
      <c r="T862" s="14" t="s">
        <v>36</v>
      </c>
      <c r="U862" s="17"/>
      <c r="V862" s="14"/>
      <c r="W862" s="14"/>
      <c r="X862" s="18"/>
      <c r="Y862" s="18"/>
      <c r="Z862" s="18"/>
      <c r="AA862" s="19">
        <f t="shared" si="1"/>
        <v>10</v>
      </c>
      <c r="AB862" s="19" t="str">
        <f t="shared" si="2"/>
        <v/>
      </c>
    </row>
    <row r="863" ht="15.75" customHeight="1">
      <c r="A863" s="12">
        <v>45218.0</v>
      </c>
      <c r="B863" s="13" t="s">
        <v>28</v>
      </c>
      <c r="C863" s="14" t="s">
        <v>3668</v>
      </c>
      <c r="D863" s="14"/>
      <c r="E863" s="13">
        <v>6.0</v>
      </c>
      <c r="F863" s="14">
        <v>1.0</v>
      </c>
      <c r="G863" s="14"/>
      <c r="H863" s="15" t="s">
        <v>3669</v>
      </c>
      <c r="I863" s="14"/>
      <c r="J863" s="14"/>
      <c r="K863" s="14"/>
      <c r="L863" s="14" t="s">
        <v>111</v>
      </c>
      <c r="M863" s="14" t="s">
        <v>565</v>
      </c>
      <c r="N863" s="14" t="b">
        <v>0</v>
      </c>
      <c r="O863" s="14"/>
      <c r="P863" s="14"/>
      <c r="Q863" s="14"/>
      <c r="R863" s="14"/>
      <c r="S863" s="14" t="s">
        <v>3670</v>
      </c>
      <c r="T863" s="14" t="s">
        <v>36</v>
      </c>
      <c r="U863" s="17"/>
      <c r="V863" s="14"/>
      <c r="W863" s="14"/>
      <c r="X863" s="18"/>
      <c r="Y863" s="18"/>
      <c r="Z863" s="18"/>
      <c r="AA863" s="19">
        <f t="shared" si="1"/>
        <v>10</v>
      </c>
      <c r="AB863" s="19" t="str">
        <f t="shared" si="2"/>
        <v/>
      </c>
    </row>
    <row r="864" ht="15.75" customHeight="1">
      <c r="A864" s="12">
        <v>45219.0</v>
      </c>
      <c r="B864" s="13" t="s">
        <v>28</v>
      </c>
      <c r="C864" s="14" t="s">
        <v>3671</v>
      </c>
      <c r="D864" s="14"/>
      <c r="E864" s="14"/>
      <c r="F864" s="14"/>
      <c r="G864" s="14"/>
      <c r="H864" s="15" t="s">
        <v>3672</v>
      </c>
      <c r="I864" s="14"/>
      <c r="J864" s="14"/>
      <c r="K864" s="14"/>
      <c r="L864" s="14" t="s">
        <v>111</v>
      </c>
      <c r="M864" s="14" t="s">
        <v>565</v>
      </c>
      <c r="N864" s="14" t="b">
        <v>0</v>
      </c>
      <c r="O864" s="14"/>
      <c r="P864" s="14"/>
      <c r="Q864" s="14"/>
      <c r="R864" s="14"/>
      <c r="S864" s="14" t="s">
        <v>3673</v>
      </c>
      <c r="T864" s="13" t="s">
        <v>129</v>
      </c>
      <c r="U864" s="17"/>
      <c r="V864" s="14"/>
      <c r="W864" s="14"/>
      <c r="X864" s="18"/>
      <c r="Y864" s="18"/>
      <c r="Z864" s="18"/>
      <c r="AA864" s="19">
        <f t="shared" si="1"/>
        <v>10</v>
      </c>
      <c r="AB864" s="19" t="str">
        <f t="shared" si="2"/>
        <v/>
      </c>
    </row>
    <row r="865" ht="15.75" customHeight="1">
      <c r="A865" s="12">
        <v>45189.0</v>
      </c>
      <c r="B865" s="13" t="s">
        <v>28</v>
      </c>
      <c r="C865" s="14" t="s">
        <v>3674</v>
      </c>
      <c r="D865" s="14" t="s">
        <v>3228</v>
      </c>
      <c r="E865" s="13">
        <v>8.0</v>
      </c>
      <c r="F865" s="14">
        <v>3.0</v>
      </c>
      <c r="G865" s="14"/>
      <c r="H865" s="15" t="s">
        <v>3675</v>
      </c>
      <c r="I865" s="14"/>
      <c r="J865" s="14"/>
      <c r="K865" s="14"/>
      <c r="L865" s="14" t="s">
        <v>111</v>
      </c>
      <c r="M865" s="14" t="s">
        <v>13</v>
      </c>
      <c r="N865" s="14" t="b">
        <v>1</v>
      </c>
      <c r="O865" s="13" t="s">
        <v>3676</v>
      </c>
      <c r="P865" s="13" t="s">
        <v>42</v>
      </c>
      <c r="Q865" s="14"/>
      <c r="R865" s="14"/>
      <c r="S865" s="13" t="s">
        <v>3677</v>
      </c>
      <c r="T865" s="13" t="s">
        <v>129</v>
      </c>
      <c r="U865" s="17"/>
      <c r="V865" s="14"/>
      <c r="W865" s="14"/>
      <c r="X865" s="18"/>
      <c r="Y865" s="18"/>
      <c r="Z865" s="18"/>
      <c r="AA865" s="19">
        <f t="shared" si="1"/>
        <v>9</v>
      </c>
      <c r="AB865" s="19" t="str">
        <f t="shared" si="2"/>
        <v/>
      </c>
    </row>
    <row r="866" ht="15.75" customHeight="1">
      <c r="A866" s="12">
        <v>45190.0</v>
      </c>
      <c r="B866" s="14" t="s">
        <v>84</v>
      </c>
      <c r="C866" s="14" t="s">
        <v>3678</v>
      </c>
      <c r="D866" s="14" t="s">
        <v>3678</v>
      </c>
      <c r="E866" s="14"/>
      <c r="F866" s="14"/>
      <c r="G866" s="14"/>
      <c r="H866" s="15" t="s">
        <v>3646</v>
      </c>
      <c r="I866" s="14"/>
      <c r="J866" s="14"/>
      <c r="K866" s="14" t="s">
        <v>3679</v>
      </c>
      <c r="L866" s="14" t="s">
        <v>111</v>
      </c>
      <c r="M866" s="14" t="s">
        <v>565</v>
      </c>
      <c r="N866" s="14" t="b">
        <v>0</v>
      </c>
      <c r="O866" s="14"/>
      <c r="P866" s="14"/>
      <c r="Q866" s="14"/>
      <c r="R866" s="14"/>
      <c r="S866" s="14" t="s">
        <v>3680</v>
      </c>
      <c r="T866" s="13" t="s">
        <v>129</v>
      </c>
      <c r="U866" s="17"/>
      <c r="V866" s="14"/>
      <c r="W866" s="14"/>
      <c r="X866" s="18"/>
      <c r="Y866" s="18"/>
      <c r="Z866" s="18"/>
      <c r="AA866" s="19">
        <f t="shared" si="1"/>
        <v>9</v>
      </c>
      <c r="AB866" s="19" t="str">
        <f t="shared" si="2"/>
        <v/>
      </c>
    </row>
    <row r="867" ht="15.75" customHeight="1">
      <c r="A867" s="12">
        <v>45190.0</v>
      </c>
      <c r="B867" s="13" t="s">
        <v>28</v>
      </c>
      <c r="C867" s="14" t="s">
        <v>3681</v>
      </c>
      <c r="D867" s="14"/>
      <c r="E867" s="14"/>
      <c r="F867" s="14"/>
      <c r="G867" s="14"/>
      <c r="H867" s="15" t="s">
        <v>3682</v>
      </c>
      <c r="I867" s="14"/>
      <c r="J867" s="14"/>
      <c r="K867" s="14" t="s">
        <v>3431</v>
      </c>
      <c r="L867" s="14" t="s">
        <v>111</v>
      </c>
      <c r="M867" s="14" t="s">
        <v>565</v>
      </c>
      <c r="N867" s="14" t="b">
        <v>0</v>
      </c>
      <c r="O867" s="14" t="s">
        <v>3683</v>
      </c>
      <c r="P867" s="14"/>
      <c r="Q867" s="14"/>
      <c r="R867" s="14"/>
      <c r="S867" s="14" t="s">
        <v>3684</v>
      </c>
      <c r="T867" s="13" t="s">
        <v>129</v>
      </c>
      <c r="U867" s="17"/>
      <c r="V867" s="14"/>
      <c r="W867" s="14"/>
      <c r="X867" s="18"/>
      <c r="Y867" s="18"/>
      <c r="Z867" s="18"/>
      <c r="AA867" s="19">
        <f t="shared" si="1"/>
        <v>9</v>
      </c>
      <c r="AB867" s="19" t="str">
        <f t="shared" si="2"/>
        <v/>
      </c>
    </row>
    <row r="868" ht="15.75" customHeight="1">
      <c r="A868" s="12">
        <v>45190.0</v>
      </c>
      <c r="B868" s="13" t="s">
        <v>28</v>
      </c>
      <c r="C868" s="14" t="s">
        <v>3685</v>
      </c>
      <c r="D868" s="14"/>
      <c r="E868" s="13">
        <v>9.0</v>
      </c>
      <c r="F868" s="14">
        <v>4.0</v>
      </c>
      <c r="G868" s="14"/>
      <c r="H868" s="15" t="s">
        <v>3686</v>
      </c>
      <c r="I868" s="14"/>
      <c r="J868" s="14"/>
      <c r="K868" s="120" t="s">
        <v>3687</v>
      </c>
      <c r="L868" s="14" t="s">
        <v>111</v>
      </c>
      <c r="M868" s="14" t="s">
        <v>158</v>
      </c>
      <c r="N868" s="14" t="b">
        <v>0</v>
      </c>
      <c r="O868" s="14"/>
      <c r="P868" s="14"/>
      <c r="Q868" s="14"/>
      <c r="R868" s="14"/>
      <c r="S868" s="14" t="s">
        <v>3688</v>
      </c>
      <c r="T868" s="14" t="s">
        <v>36</v>
      </c>
      <c r="U868" s="17"/>
      <c r="V868" s="14"/>
      <c r="W868" s="14"/>
      <c r="X868" s="18"/>
      <c r="Y868" s="18"/>
      <c r="Z868" s="18"/>
      <c r="AA868" s="19">
        <f t="shared" si="1"/>
        <v>9</v>
      </c>
      <c r="AB868" s="19" t="str">
        <f t="shared" si="2"/>
        <v/>
      </c>
    </row>
    <row r="869" ht="15.75" customHeight="1">
      <c r="A869" s="12">
        <v>45190.0</v>
      </c>
      <c r="B869" s="13" t="s">
        <v>28</v>
      </c>
      <c r="C869" s="14" t="s">
        <v>3689</v>
      </c>
      <c r="D869" s="14"/>
      <c r="E869" s="14"/>
      <c r="F869" s="14"/>
      <c r="G869" s="14"/>
      <c r="H869" s="15" t="s">
        <v>3690</v>
      </c>
      <c r="I869" s="14"/>
      <c r="J869" s="14"/>
      <c r="K869" s="14" t="s">
        <v>3691</v>
      </c>
      <c r="L869" s="14" t="s">
        <v>111</v>
      </c>
      <c r="M869" s="14" t="s">
        <v>565</v>
      </c>
      <c r="N869" s="14" t="b">
        <v>0</v>
      </c>
      <c r="O869" s="14"/>
      <c r="P869" s="14"/>
      <c r="Q869" s="14"/>
      <c r="R869" s="14"/>
      <c r="S869" s="14" t="s">
        <v>3692</v>
      </c>
      <c r="T869" s="13" t="s">
        <v>129</v>
      </c>
      <c r="U869" s="17"/>
      <c r="V869" s="32">
        <v>45230.0</v>
      </c>
      <c r="W869" s="24" t="s">
        <v>575</v>
      </c>
      <c r="X869" s="25">
        <v>6124000.0</v>
      </c>
      <c r="Y869" s="25">
        <v>796000.0</v>
      </c>
      <c r="Z869" s="25">
        <v>5328000.0</v>
      </c>
      <c r="AA869" s="19">
        <f t="shared" si="1"/>
        <v>9</v>
      </c>
      <c r="AB869" s="19" t="str">
        <f t="shared" si="2"/>
        <v/>
      </c>
    </row>
    <row r="870" ht="15.75" customHeight="1">
      <c r="A870" s="26">
        <v>45222.0</v>
      </c>
      <c r="B870" s="13" t="s">
        <v>28</v>
      </c>
      <c r="C870" s="27" t="s">
        <v>3693</v>
      </c>
      <c r="D870" s="27" t="s">
        <v>3694</v>
      </c>
      <c r="E870" s="24">
        <v>8.0</v>
      </c>
      <c r="F870" s="27">
        <v>3.0</v>
      </c>
      <c r="G870" s="27"/>
      <c r="H870" s="34" t="s">
        <v>3695</v>
      </c>
      <c r="I870" s="27"/>
      <c r="J870" s="27"/>
      <c r="K870" s="24" t="s">
        <v>3696</v>
      </c>
      <c r="L870" s="27" t="s">
        <v>111</v>
      </c>
      <c r="M870" s="27" t="s">
        <v>67</v>
      </c>
      <c r="N870" s="14" t="b">
        <v>1</v>
      </c>
      <c r="O870" s="24" t="s">
        <v>3697</v>
      </c>
      <c r="P870" s="13" t="s">
        <v>69</v>
      </c>
      <c r="Q870" s="24" t="s">
        <v>91</v>
      </c>
      <c r="R870" s="27"/>
      <c r="S870" s="27" t="s">
        <v>3698</v>
      </c>
      <c r="T870" s="24" t="s">
        <v>72</v>
      </c>
      <c r="U870" s="26"/>
      <c r="V870" s="14"/>
      <c r="W870" s="14"/>
      <c r="X870" s="18"/>
      <c r="Y870" s="18"/>
      <c r="Z870" s="18"/>
      <c r="AA870" s="19">
        <f t="shared" si="1"/>
        <v>10</v>
      </c>
      <c r="AB870" s="19">
        <f t="shared" si="2"/>
        <v>10</v>
      </c>
    </row>
    <row r="871" ht="15.75" customHeight="1">
      <c r="A871" s="12">
        <v>45223.0</v>
      </c>
      <c r="B871" s="13" t="s">
        <v>28</v>
      </c>
      <c r="C871" s="14" t="s">
        <v>3699</v>
      </c>
      <c r="D871" s="14"/>
      <c r="E871" s="14"/>
      <c r="F871" s="14"/>
      <c r="G871" s="14"/>
      <c r="H871" s="15" t="s">
        <v>3700</v>
      </c>
      <c r="I871" s="14"/>
      <c r="J871" s="14"/>
      <c r="K871" s="14" t="s">
        <v>3701</v>
      </c>
      <c r="L871" s="14" t="s">
        <v>111</v>
      </c>
      <c r="M871" s="14" t="s">
        <v>216</v>
      </c>
      <c r="N871" s="14" t="b">
        <v>0</v>
      </c>
      <c r="O871" s="14"/>
      <c r="P871" s="14"/>
      <c r="Q871" s="14"/>
      <c r="R871" s="14"/>
      <c r="S871" s="14" t="s">
        <v>3702</v>
      </c>
      <c r="T871" s="14" t="s">
        <v>36</v>
      </c>
      <c r="U871" s="17"/>
      <c r="V871" s="32">
        <v>45226.0</v>
      </c>
      <c r="W871" s="24" t="s">
        <v>130</v>
      </c>
      <c r="X871" s="25">
        <v>5500000.0</v>
      </c>
      <c r="Y871" s="25">
        <v>715000.0</v>
      </c>
      <c r="Z871" s="25">
        <v>4785000.0</v>
      </c>
      <c r="AA871" s="19">
        <f t="shared" si="1"/>
        <v>10</v>
      </c>
      <c r="AB871" s="19" t="str">
        <f t="shared" si="2"/>
        <v/>
      </c>
    </row>
    <row r="872" ht="15.75" customHeight="1">
      <c r="A872" s="26">
        <v>45223.0</v>
      </c>
      <c r="B872" s="27" t="s">
        <v>84</v>
      </c>
      <c r="C872" s="27" t="s">
        <v>3703</v>
      </c>
      <c r="D872" s="27" t="s">
        <v>3704</v>
      </c>
      <c r="E872" s="24">
        <v>9.0</v>
      </c>
      <c r="F872" s="27">
        <v>4.0</v>
      </c>
      <c r="G872" s="27"/>
      <c r="H872" s="34" t="s">
        <v>3705</v>
      </c>
      <c r="I872" s="27"/>
      <c r="J872" s="27"/>
      <c r="K872" s="27"/>
      <c r="L872" s="27" t="s">
        <v>111</v>
      </c>
      <c r="M872" s="27" t="s">
        <v>67</v>
      </c>
      <c r="N872" s="14" t="b">
        <v>1</v>
      </c>
      <c r="O872" s="24" t="s">
        <v>3706</v>
      </c>
      <c r="P872" s="13" t="s">
        <v>69</v>
      </c>
      <c r="Q872" s="24" t="s">
        <v>91</v>
      </c>
      <c r="R872" s="27"/>
      <c r="S872" s="27" t="s">
        <v>3707</v>
      </c>
      <c r="T872" s="24" t="s">
        <v>72</v>
      </c>
      <c r="U872" s="26"/>
      <c r="V872" s="41"/>
      <c r="W872" s="61"/>
      <c r="X872" s="211"/>
      <c r="Y872" s="211"/>
      <c r="Z872" s="211"/>
      <c r="AA872" s="19">
        <f t="shared" si="1"/>
        <v>10</v>
      </c>
      <c r="AB872" s="19">
        <f t="shared" si="2"/>
        <v>10</v>
      </c>
    </row>
    <row r="873" ht="15.75" customHeight="1">
      <c r="A873" s="17">
        <v>45223.0</v>
      </c>
      <c r="B873" s="61" t="s">
        <v>84</v>
      </c>
      <c r="C873" s="61" t="s">
        <v>3703</v>
      </c>
      <c r="D873" s="61" t="s">
        <v>3708</v>
      </c>
      <c r="E873" s="100">
        <v>5.0</v>
      </c>
      <c r="F873" s="61"/>
      <c r="G873" s="61"/>
      <c r="H873" s="99" t="s">
        <v>3705</v>
      </c>
      <c r="I873" s="61"/>
      <c r="J873" s="61"/>
      <c r="K873" s="61"/>
      <c r="L873" s="61" t="s">
        <v>111</v>
      </c>
      <c r="M873" s="61" t="s">
        <v>13</v>
      </c>
      <c r="N873" s="14" t="b">
        <v>1</v>
      </c>
      <c r="O873" s="100" t="s">
        <v>3709</v>
      </c>
      <c r="P873" s="13" t="s">
        <v>69</v>
      </c>
      <c r="Q873" s="61"/>
      <c r="R873" s="61"/>
      <c r="S873" s="61" t="s">
        <v>3710</v>
      </c>
      <c r="T873" s="13" t="s">
        <v>129</v>
      </c>
      <c r="U873" s="17"/>
      <c r="V873" s="14"/>
      <c r="W873" s="14"/>
      <c r="X873" s="18"/>
      <c r="Y873" s="18"/>
      <c r="Z873" s="18"/>
      <c r="AA873" s="19">
        <f t="shared" si="1"/>
        <v>10</v>
      </c>
      <c r="AB873" s="19" t="str">
        <f t="shared" si="2"/>
        <v/>
      </c>
    </row>
    <row r="874" ht="15.75" customHeight="1">
      <c r="A874" s="12">
        <v>45223.0</v>
      </c>
      <c r="B874" s="13" t="s">
        <v>28</v>
      </c>
      <c r="C874" s="14" t="s">
        <v>3711</v>
      </c>
      <c r="D874" s="14" t="s">
        <v>3712</v>
      </c>
      <c r="E874" s="13">
        <v>8.0</v>
      </c>
      <c r="F874" s="14">
        <v>3.0</v>
      </c>
      <c r="G874" s="14"/>
      <c r="H874" s="15" t="s">
        <v>3713</v>
      </c>
      <c r="I874" s="14"/>
      <c r="J874" s="14"/>
      <c r="K874" s="14"/>
      <c r="L874" s="14" t="s">
        <v>111</v>
      </c>
      <c r="M874" s="14" t="s">
        <v>13</v>
      </c>
      <c r="N874" s="14" t="b">
        <v>1</v>
      </c>
      <c r="O874" s="14" t="s">
        <v>3714</v>
      </c>
      <c r="P874" s="13" t="s">
        <v>69</v>
      </c>
      <c r="Q874" s="14"/>
      <c r="R874" s="14"/>
      <c r="S874" s="14" t="s">
        <v>3715</v>
      </c>
      <c r="T874" s="13" t="s">
        <v>129</v>
      </c>
      <c r="U874" s="17"/>
      <c r="V874" s="14"/>
      <c r="W874" s="14"/>
      <c r="X874" s="18"/>
      <c r="Y874" s="18"/>
      <c r="Z874" s="18"/>
      <c r="AA874" s="19">
        <f t="shared" si="1"/>
        <v>10</v>
      </c>
      <c r="AB874" s="19" t="str">
        <f t="shared" si="2"/>
        <v/>
      </c>
    </row>
    <row r="875" ht="15.75" customHeight="1">
      <c r="A875" s="12">
        <v>45224.0</v>
      </c>
      <c r="B875" s="13" t="s">
        <v>28</v>
      </c>
      <c r="C875" s="14" t="s">
        <v>3716</v>
      </c>
      <c r="D875" s="14"/>
      <c r="E875" s="13">
        <v>8.0</v>
      </c>
      <c r="F875" s="14">
        <v>3.0</v>
      </c>
      <c r="G875" s="14"/>
      <c r="H875" s="15" t="s">
        <v>3717</v>
      </c>
      <c r="I875" s="14"/>
      <c r="J875" s="14"/>
      <c r="K875" s="14"/>
      <c r="L875" s="14" t="s">
        <v>111</v>
      </c>
      <c r="M875" s="14" t="s">
        <v>565</v>
      </c>
      <c r="N875" s="14" t="b">
        <v>0</v>
      </c>
      <c r="O875" s="14"/>
      <c r="P875" s="14"/>
      <c r="Q875" s="14"/>
      <c r="R875" s="14"/>
      <c r="S875" s="13" t="s">
        <v>3718</v>
      </c>
      <c r="T875" s="13" t="s">
        <v>129</v>
      </c>
      <c r="U875" s="17"/>
      <c r="V875" s="14"/>
      <c r="W875" s="14"/>
      <c r="X875" s="18"/>
      <c r="Y875" s="18"/>
      <c r="Z875" s="18"/>
      <c r="AA875" s="19">
        <f t="shared" si="1"/>
        <v>10</v>
      </c>
      <c r="AB875" s="19" t="str">
        <f t="shared" si="2"/>
        <v/>
      </c>
    </row>
    <row r="876" ht="15.75" customHeight="1">
      <c r="A876" s="12">
        <v>45224.0</v>
      </c>
      <c r="B876" s="13" t="s">
        <v>28</v>
      </c>
      <c r="C876" s="14" t="s">
        <v>3719</v>
      </c>
      <c r="D876" s="14"/>
      <c r="E876" s="13">
        <v>9.0</v>
      </c>
      <c r="F876" s="14">
        <v>4.0</v>
      </c>
      <c r="G876" s="14"/>
      <c r="H876" s="15" t="s">
        <v>3720</v>
      </c>
      <c r="I876" s="14"/>
      <c r="J876" s="14"/>
      <c r="K876" s="14"/>
      <c r="L876" s="14" t="s">
        <v>111</v>
      </c>
      <c r="M876" s="14" t="s">
        <v>565</v>
      </c>
      <c r="N876" s="14" t="b">
        <v>0</v>
      </c>
      <c r="O876" s="14"/>
      <c r="P876" s="14"/>
      <c r="Q876" s="14"/>
      <c r="R876" s="14"/>
      <c r="S876" s="13" t="s">
        <v>3721</v>
      </c>
      <c r="T876" s="13" t="s">
        <v>129</v>
      </c>
      <c r="U876" s="17"/>
      <c r="V876" s="14"/>
      <c r="W876" s="14"/>
      <c r="X876" s="18"/>
      <c r="Y876" s="18"/>
      <c r="Z876" s="18"/>
      <c r="AA876" s="19">
        <f t="shared" si="1"/>
        <v>10</v>
      </c>
      <c r="AB876" s="19" t="str">
        <f t="shared" si="2"/>
        <v/>
      </c>
    </row>
    <row r="877" ht="15.75" customHeight="1">
      <c r="A877" s="12">
        <v>45226.0</v>
      </c>
      <c r="B877" s="14" t="s">
        <v>703</v>
      </c>
      <c r="C877" s="14" t="s">
        <v>3722</v>
      </c>
      <c r="D877" s="14"/>
      <c r="E877" s="14"/>
      <c r="F877" s="14"/>
      <c r="G877" s="14"/>
      <c r="H877" s="15" t="s">
        <v>3723</v>
      </c>
      <c r="I877" s="14"/>
      <c r="J877" s="14"/>
      <c r="K877" s="14"/>
      <c r="L877" s="14" t="s">
        <v>111</v>
      </c>
      <c r="M877" s="14" t="s">
        <v>34</v>
      </c>
      <c r="N877" s="14" t="b">
        <v>0</v>
      </c>
      <c r="O877" s="14"/>
      <c r="P877" s="14"/>
      <c r="Q877" s="14"/>
      <c r="R877" s="14"/>
      <c r="S877" s="14" t="s">
        <v>3724</v>
      </c>
      <c r="T877" s="14" t="s">
        <v>36</v>
      </c>
      <c r="U877" s="17"/>
      <c r="V877" s="14"/>
      <c r="W877" s="14"/>
      <c r="X877" s="18"/>
      <c r="Y877" s="18"/>
      <c r="Z877" s="18"/>
      <c r="AA877" s="19">
        <f t="shared" si="1"/>
        <v>10</v>
      </c>
      <c r="AB877" s="19" t="str">
        <f t="shared" si="2"/>
        <v/>
      </c>
    </row>
    <row r="878" ht="15.75" customHeight="1">
      <c r="A878" s="12">
        <v>45226.0</v>
      </c>
      <c r="B878" s="14" t="s">
        <v>703</v>
      </c>
      <c r="C878" s="14" t="s">
        <v>3725</v>
      </c>
      <c r="D878" s="14"/>
      <c r="E878" s="14"/>
      <c r="F878" s="14"/>
      <c r="G878" s="14"/>
      <c r="H878" s="15" t="s">
        <v>3726</v>
      </c>
      <c r="I878" s="14"/>
      <c r="J878" s="14"/>
      <c r="K878" s="14"/>
      <c r="L878" s="14" t="s">
        <v>111</v>
      </c>
      <c r="M878" s="14" t="s">
        <v>34</v>
      </c>
      <c r="N878" s="14" t="b">
        <v>0</v>
      </c>
      <c r="O878" s="14"/>
      <c r="P878" s="14"/>
      <c r="Q878" s="14"/>
      <c r="R878" s="14"/>
      <c r="S878" s="14" t="s">
        <v>3727</v>
      </c>
      <c r="T878" s="14" t="s">
        <v>36</v>
      </c>
      <c r="U878" s="17"/>
      <c r="V878" s="14"/>
      <c r="W878" s="14"/>
      <c r="X878" s="18"/>
      <c r="Y878" s="18"/>
      <c r="Z878" s="18"/>
      <c r="AA878" s="19">
        <f t="shared" si="1"/>
        <v>10</v>
      </c>
      <c r="AB878" s="19" t="str">
        <f t="shared" si="2"/>
        <v/>
      </c>
    </row>
    <row r="879" ht="15.75" customHeight="1">
      <c r="A879" s="12">
        <v>45226.0</v>
      </c>
      <c r="B879" s="14" t="s">
        <v>703</v>
      </c>
      <c r="C879" s="14" t="s">
        <v>3728</v>
      </c>
      <c r="D879" s="14"/>
      <c r="E879" s="14"/>
      <c r="F879" s="14"/>
      <c r="G879" s="14"/>
      <c r="H879" s="15" t="s">
        <v>3729</v>
      </c>
      <c r="I879" s="14"/>
      <c r="J879" s="14"/>
      <c r="K879" s="14"/>
      <c r="L879" s="14" t="s">
        <v>111</v>
      </c>
      <c r="M879" s="14" t="s">
        <v>34</v>
      </c>
      <c r="N879" s="14" t="b">
        <v>0</v>
      </c>
      <c r="O879" s="14"/>
      <c r="P879" s="14"/>
      <c r="Q879" s="14"/>
      <c r="R879" s="14"/>
      <c r="S879" s="14" t="s">
        <v>3730</v>
      </c>
      <c r="T879" s="14" t="s">
        <v>36</v>
      </c>
      <c r="U879" s="17"/>
      <c r="V879" s="14"/>
      <c r="W879" s="14"/>
      <c r="X879" s="18"/>
      <c r="Y879" s="18"/>
      <c r="Z879" s="18"/>
      <c r="AA879" s="19">
        <f t="shared" si="1"/>
        <v>10</v>
      </c>
      <c r="AB879" s="19" t="str">
        <f t="shared" si="2"/>
        <v/>
      </c>
    </row>
    <row r="880" ht="15.75" customHeight="1">
      <c r="A880" s="12">
        <v>45226.0</v>
      </c>
      <c r="B880" s="13" t="s">
        <v>28</v>
      </c>
      <c r="C880" s="14" t="s">
        <v>3731</v>
      </c>
      <c r="D880" s="14"/>
      <c r="E880" s="14"/>
      <c r="F880" s="14"/>
      <c r="G880" s="14"/>
      <c r="H880" s="15" t="s">
        <v>3732</v>
      </c>
      <c r="I880" s="14"/>
      <c r="J880" s="14"/>
      <c r="K880" s="14"/>
      <c r="L880" s="14" t="s">
        <v>111</v>
      </c>
      <c r="M880" s="14" t="s">
        <v>565</v>
      </c>
      <c r="N880" s="14" t="b">
        <v>0</v>
      </c>
      <c r="O880" s="14"/>
      <c r="P880" s="14"/>
      <c r="Q880" s="14"/>
      <c r="R880" s="14"/>
      <c r="S880" s="14" t="s">
        <v>3733</v>
      </c>
      <c r="T880" s="14" t="s">
        <v>36</v>
      </c>
      <c r="U880" s="17"/>
      <c r="V880" s="14"/>
      <c r="W880" s="14"/>
      <c r="X880" s="18"/>
      <c r="Y880" s="18"/>
      <c r="Z880" s="18"/>
      <c r="AA880" s="19">
        <f t="shared" si="1"/>
        <v>10</v>
      </c>
      <c r="AB880" s="19" t="str">
        <f t="shared" si="2"/>
        <v/>
      </c>
    </row>
    <row r="881" ht="15.75" customHeight="1">
      <c r="A881" s="12">
        <v>45227.0</v>
      </c>
      <c r="B881" s="13" t="s">
        <v>28</v>
      </c>
      <c r="C881" s="14" t="s">
        <v>3734</v>
      </c>
      <c r="D881" s="14" t="s">
        <v>3735</v>
      </c>
      <c r="E881" s="13">
        <v>12.0</v>
      </c>
      <c r="F881" s="14">
        <v>7.0</v>
      </c>
      <c r="G881" s="14"/>
      <c r="H881" s="15" t="s">
        <v>3736</v>
      </c>
      <c r="I881" s="14"/>
      <c r="J881" s="14"/>
      <c r="K881" s="14" t="s">
        <v>3737</v>
      </c>
      <c r="L881" s="14" t="s">
        <v>111</v>
      </c>
      <c r="M881" s="14" t="s">
        <v>565</v>
      </c>
      <c r="N881" s="14" t="b">
        <v>0</v>
      </c>
      <c r="O881" s="14"/>
      <c r="P881" s="14"/>
      <c r="Q881" s="14"/>
      <c r="R881" s="14"/>
      <c r="S881" s="14" t="s">
        <v>3738</v>
      </c>
      <c r="T881" s="13" t="s">
        <v>229</v>
      </c>
      <c r="U881" s="17"/>
      <c r="V881" s="14"/>
      <c r="W881" s="14"/>
      <c r="X881" s="18"/>
      <c r="Y881" s="18"/>
      <c r="Z881" s="18"/>
      <c r="AA881" s="19">
        <f t="shared" si="1"/>
        <v>10</v>
      </c>
      <c r="AB881" s="19" t="str">
        <f t="shared" si="2"/>
        <v/>
      </c>
    </row>
    <row r="882" ht="15.75" customHeight="1">
      <c r="A882" s="12">
        <v>45228.0</v>
      </c>
      <c r="B882" s="13" t="s">
        <v>28</v>
      </c>
      <c r="C882" s="14" t="s">
        <v>3739</v>
      </c>
      <c r="D882" s="14"/>
      <c r="E882" s="13">
        <v>8.0</v>
      </c>
      <c r="F882" s="14">
        <v>3.0</v>
      </c>
      <c r="G882" s="14"/>
      <c r="H882" s="15" t="s">
        <v>3740</v>
      </c>
      <c r="I882" s="14"/>
      <c r="J882" s="14"/>
      <c r="K882" s="14" t="s">
        <v>3741</v>
      </c>
      <c r="L882" s="14" t="s">
        <v>111</v>
      </c>
      <c r="M882" s="14" t="s">
        <v>565</v>
      </c>
      <c r="N882" s="14" t="b">
        <v>0</v>
      </c>
      <c r="O882" s="14"/>
      <c r="P882" s="14"/>
      <c r="Q882" s="14"/>
      <c r="R882" s="14"/>
      <c r="S882" s="14" t="s">
        <v>3742</v>
      </c>
      <c r="T882" s="13" t="s">
        <v>229</v>
      </c>
      <c r="U882" s="17"/>
      <c r="V882" s="14"/>
      <c r="W882" s="14"/>
      <c r="X882" s="18"/>
      <c r="Y882" s="18"/>
      <c r="Z882" s="18"/>
      <c r="AA882" s="19">
        <f t="shared" si="1"/>
        <v>10</v>
      </c>
      <c r="AB882" s="19" t="str">
        <f t="shared" si="2"/>
        <v/>
      </c>
    </row>
    <row r="883" ht="15.75" customHeight="1">
      <c r="A883" s="12">
        <v>45229.0</v>
      </c>
      <c r="B883" s="13" t="s">
        <v>28</v>
      </c>
      <c r="C883" s="14" t="s">
        <v>3743</v>
      </c>
      <c r="D883" s="14" t="s">
        <v>3744</v>
      </c>
      <c r="E883" s="13">
        <v>11.0</v>
      </c>
      <c r="F883" s="14">
        <v>6.0</v>
      </c>
      <c r="G883" s="14"/>
      <c r="H883" s="15" t="s">
        <v>3745</v>
      </c>
      <c r="I883" s="14"/>
      <c r="J883" s="14"/>
      <c r="K883" s="14" t="s">
        <v>3746</v>
      </c>
      <c r="L883" s="14" t="s">
        <v>111</v>
      </c>
      <c r="M883" s="14" t="s">
        <v>13</v>
      </c>
      <c r="N883" s="14" t="b">
        <v>1</v>
      </c>
      <c r="O883" s="14" t="s">
        <v>3747</v>
      </c>
      <c r="P883" s="13" t="s">
        <v>42</v>
      </c>
      <c r="Q883" s="14" t="s">
        <v>289</v>
      </c>
      <c r="R883" s="14"/>
      <c r="S883" s="14" t="s">
        <v>3748</v>
      </c>
      <c r="T883" s="14" t="s">
        <v>36</v>
      </c>
      <c r="U883" s="17"/>
      <c r="V883" s="14"/>
      <c r="W883" s="14"/>
      <c r="X883" s="18"/>
      <c r="Y883" s="18"/>
      <c r="Z883" s="18"/>
      <c r="AA883" s="19">
        <f t="shared" si="1"/>
        <v>10</v>
      </c>
      <c r="AB883" s="19" t="str">
        <f t="shared" si="2"/>
        <v/>
      </c>
    </row>
    <row r="884" ht="15.75" customHeight="1">
      <c r="A884" s="12">
        <v>45229.0</v>
      </c>
      <c r="B884" s="13" t="s">
        <v>28</v>
      </c>
      <c r="C884" s="14" t="s">
        <v>3749</v>
      </c>
      <c r="D884" s="14"/>
      <c r="E884" s="13">
        <v>10.0</v>
      </c>
      <c r="F884" s="14">
        <v>5.0</v>
      </c>
      <c r="G884" s="14"/>
      <c r="H884" s="15" t="s">
        <v>3750</v>
      </c>
      <c r="I884" s="14"/>
      <c r="J884" s="14"/>
      <c r="K884" s="14"/>
      <c r="L884" s="14" t="s">
        <v>111</v>
      </c>
      <c r="M884" s="14" t="s">
        <v>565</v>
      </c>
      <c r="N884" s="14" t="b">
        <v>0</v>
      </c>
      <c r="O884" s="14"/>
      <c r="P884" s="14"/>
      <c r="Q884" s="14"/>
      <c r="R884" s="14"/>
      <c r="S884" s="14" t="s">
        <v>3751</v>
      </c>
      <c r="T884" s="14" t="s">
        <v>36</v>
      </c>
      <c r="U884" s="17"/>
      <c r="V884" s="14"/>
      <c r="W884" s="14"/>
      <c r="X884" s="18"/>
      <c r="Y884" s="18"/>
      <c r="Z884" s="18"/>
      <c r="AA884" s="19">
        <f t="shared" si="1"/>
        <v>10</v>
      </c>
      <c r="AB884" s="19" t="str">
        <f t="shared" si="2"/>
        <v/>
      </c>
    </row>
    <row r="885" ht="15.75" customHeight="1">
      <c r="A885" s="12">
        <v>45230.0</v>
      </c>
      <c r="B885" s="14" t="s">
        <v>201</v>
      </c>
      <c r="C885" s="13" t="s">
        <v>3752</v>
      </c>
      <c r="D885" s="14" t="s">
        <v>3753</v>
      </c>
      <c r="E885" s="13">
        <v>6.0</v>
      </c>
      <c r="F885" s="14">
        <v>1.0</v>
      </c>
      <c r="G885" s="14"/>
      <c r="H885" s="15" t="s">
        <v>3754</v>
      </c>
      <c r="I885" s="14"/>
      <c r="J885" s="14"/>
      <c r="K885" s="14"/>
      <c r="L885" s="14" t="s">
        <v>111</v>
      </c>
      <c r="M885" s="14" t="s">
        <v>13</v>
      </c>
      <c r="N885" s="14" t="b">
        <v>1</v>
      </c>
      <c r="O885" s="13" t="s">
        <v>3755</v>
      </c>
      <c r="P885" s="13" t="s">
        <v>69</v>
      </c>
      <c r="Q885" s="14"/>
      <c r="R885" s="14"/>
      <c r="S885" s="14" t="s">
        <v>3756</v>
      </c>
      <c r="T885" s="14" t="s">
        <v>36</v>
      </c>
      <c r="U885" s="17"/>
      <c r="V885" s="14"/>
      <c r="W885" s="14"/>
      <c r="X885" s="18"/>
      <c r="Y885" s="18"/>
      <c r="Z885" s="18"/>
      <c r="AA885" s="19">
        <f t="shared" si="1"/>
        <v>10</v>
      </c>
      <c r="AB885" s="19" t="str">
        <f t="shared" si="2"/>
        <v/>
      </c>
    </row>
    <row r="886" ht="15.75" customHeight="1">
      <c r="A886" s="12">
        <v>45231.0</v>
      </c>
      <c r="B886" s="14" t="s">
        <v>201</v>
      </c>
      <c r="C886" s="14" t="s">
        <v>3757</v>
      </c>
      <c r="D886" s="14"/>
      <c r="E886" s="13">
        <v>9.0</v>
      </c>
      <c r="F886" s="14">
        <v>5.0</v>
      </c>
      <c r="G886" s="14"/>
      <c r="H886" s="15" t="s">
        <v>3758</v>
      </c>
      <c r="I886" s="14"/>
      <c r="J886" s="14"/>
      <c r="K886" s="14"/>
      <c r="L886" s="14" t="s">
        <v>111</v>
      </c>
      <c r="M886" s="14" t="s">
        <v>565</v>
      </c>
      <c r="N886" s="14" t="b">
        <v>0</v>
      </c>
      <c r="O886" s="14"/>
      <c r="P886" s="14"/>
      <c r="Q886" s="14"/>
      <c r="R886" s="14"/>
      <c r="S886" s="14" t="s">
        <v>3759</v>
      </c>
      <c r="T886" s="13" t="s">
        <v>129</v>
      </c>
      <c r="U886" s="17"/>
      <c r="V886" s="14"/>
      <c r="W886" s="14"/>
      <c r="X886" s="18"/>
      <c r="Y886" s="18"/>
      <c r="Z886" s="18"/>
      <c r="AA886" s="19">
        <f t="shared" si="1"/>
        <v>11</v>
      </c>
      <c r="AB886" s="19" t="str">
        <f t="shared" si="2"/>
        <v/>
      </c>
    </row>
    <row r="887" ht="15.75" customHeight="1">
      <c r="A887" s="12">
        <v>45231.0</v>
      </c>
      <c r="B887" s="14" t="s">
        <v>201</v>
      </c>
      <c r="C887" s="14" t="s">
        <v>3760</v>
      </c>
      <c r="D887" s="14"/>
      <c r="E887" s="13">
        <v>8.0</v>
      </c>
      <c r="F887" s="14">
        <v>3.0</v>
      </c>
      <c r="G887" s="14"/>
      <c r="H887" s="15" t="s">
        <v>3761</v>
      </c>
      <c r="I887" s="14"/>
      <c r="J887" s="14"/>
      <c r="K887" s="14"/>
      <c r="L887" s="14" t="s">
        <v>111</v>
      </c>
      <c r="M887" s="14" t="s">
        <v>565</v>
      </c>
      <c r="N887" s="14" t="b">
        <v>0</v>
      </c>
      <c r="O887" s="14"/>
      <c r="P887" s="14"/>
      <c r="Q887" s="14"/>
      <c r="R887" s="14"/>
      <c r="S887" s="14" t="s">
        <v>3762</v>
      </c>
      <c r="T887" s="14" t="s">
        <v>36</v>
      </c>
      <c r="U887" s="17"/>
      <c r="V887" s="32">
        <v>45248.0</v>
      </c>
      <c r="W887" s="24" t="s">
        <v>130</v>
      </c>
      <c r="X887" s="25">
        <v>2750000.0</v>
      </c>
      <c r="Y887" s="25">
        <v>0.0</v>
      </c>
      <c r="Z887" s="25">
        <v>2750000.0</v>
      </c>
      <c r="AA887" s="19">
        <f t="shared" si="1"/>
        <v>11</v>
      </c>
      <c r="AB887" s="19" t="str">
        <f t="shared" si="2"/>
        <v/>
      </c>
    </row>
    <row r="888" ht="15.75" customHeight="1">
      <c r="A888" s="26">
        <v>45107.0</v>
      </c>
      <c r="B888" s="13" t="s">
        <v>28</v>
      </c>
      <c r="C888" s="27" t="s">
        <v>3763</v>
      </c>
      <c r="D888" s="27" t="s">
        <v>3764</v>
      </c>
      <c r="E888" s="24">
        <v>10.0</v>
      </c>
      <c r="F888" s="27">
        <v>5.0</v>
      </c>
      <c r="G888" s="27"/>
      <c r="H888" s="34" t="s">
        <v>3765</v>
      </c>
      <c r="I888" s="27"/>
      <c r="J888" s="27"/>
      <c r="K888" s="27"/>
      <c r="L888" s="27" t="s">
        <v>111</v>
      </c>
      <c r="M888" s="27" t="s">
        <v>67</v>
      </c>
      <c r="N888" s="14" t="b">
        <v>1</v>
      </c>
      <c r="O888" s="24" t="s">
        <v>3766</v>
      </c>
      <c r="P888" s="13" t="s">
        <v>69</v>
      </c>
      <c r="Q888" s="24" t="s">
        <v>91</v>
      </c>
      <c r="R888" s="27"/>
      <c r="S888" s="27" t="s">
        <v>3767</v>
      </c>
      <c r="T888" s="24" t="s">
        <v>72</v>
      </c>
      <c r="U888" s="26">
        <v>45124.0</v>
      </c>
      <c r="V888" s="14"/>
      <c r="W888" s="14"/>
      <c r="X888" s="18"/>
      <c r="Y888" s="18"/>
      <c r="Z888" s="18"/>
      <c r="AA888" s="19">
        <f t="shared" si="1"/>
        <v>6</v>
      </c>
      <c r="AB888" s="19">
        <f t="shared" si="2"/>
        <v>11</v>
      </c>
    </row>
    <row r="889" ht="15.75" customHeight="1">
      <c r="A889" s="12">
        <v>45236.0</v>
      </c>
      <c r="B889" s="13" t="s">
        <v>28</v>
      </c>
      <c r="C889" s="14" t="s">
        <v>3768</v>
      </c>
      <c r="D889" s="14"/>
      <c r="E889" s="13">
        <v>13.0</v>
      </c>
      <c r="F889" s="14">
        <v>7.0</v>
      </c>
      <c r="G889" s="14"/>
      <c r="H889" s="15" t="s">
        <v>3769</v>
      </c>
      <c r="I889" s="14"/>
      <c r="J889" s="14"/>
      <c r="K889" s="14"/>
      <c r="L889" s="27" t="s">
        <v>111</v>
      </c>
      <c r="M889" s="14" t="s">
        <v>565</v>
      </c>
      <c r="N889" s="14" t="b">
        <v>0</v>
      </c>
      <c r="O889" s="14"/>
      <c r="P889" s="14"/>
      <c r="Q889" s="14"/>
      <c r="R889" s="14"/>
      <c r="S889" s="14" t="s">
        <v>3770</v>
      </c>
      <c r="T889" s="14" t="s">
        <v>36</v>
      </c>
      <c r="U889" s="17"/>
      <c r="V889" s="14"/>
      <c r="W889" s="14"/>
      <c r="X889" s="18"/>
      <c r="Y889" s="18"/>
      <c r="Z889" s="18"/>
      <c r="AA889" s="19">
        <f t="shared" si="1"/>
        <v>11</v>
      </c>
      <c r="AB889" s="19" t="str">
        <f t="shared" si="2"/>
        <v/>
      </c>
    </row>
    <row r="890" ht="15.75" customHeight="1">
      <c r="A890" s="12">
        <v>45236.0</v>
      </c>
      <c r="B890" s="13" t="s">
        <v>28</v>
      </c>
      <c r="C890" s="14" t="s">
        <v>3768</v>
      </c>
      <c r="D890" s="14"/>
      <c r="E890" s="13">
        <v>11.0</v>
      </c>
      <c r="F890" s="14">
        <v>5.0</v>
      </c>
      <c r="G890" s="14"/>
      <c r="H890" s="15" t="s">
        <v>3769</v>
      </c>
      <c r="I890" s="14"/>
      <c r="J890" s="14"/>
      <c r="K890" s="14"/>
      <c r="L890" s="27" t="s">
        <v>111</v>
      </c>
      <c r="M890" s="14" t="s">
        <v>565</v>
      </c>
      <c r="N890" s="14" t="b">
        <v>0</v>
      </c>
      <c r="O890" s="14"/>
      <c r="P890" s="14"/>
      <c r="Q890" s="14"/>
      <c r="R890" s="14"/>
      <c r="S890" s="14" t="s">
        <v>3770</v>
      </c>
      <c r="T890" s="14" t="s">
        <v>36</v>
      </c>
      <c r="U890" s="17"/>
      <c r="V890" s="32">
        <v>45246.0</v>
      </c>
      <c r="W890" s="24" t="s">
        <v>91</v>
      </c>
      <c r="X890" s="25">
        <v>5784000.0</v>
      </c>
      <c r="Y890" s="25">
        <v>867600.0</v>
      </c>
      <c r="Z890" s="25">
        <v>4916400.0</v>
      </c>
      <c r="AA890" s="19">
        <f t="shared" si="1"/>
        <v>11</v>
      </c>
      <c r="AB890" s="19" t="str">
        <f t="shared" si="2"/>
        <v/>
      </c>
    </row>
    <row r="891" ht="15.75" customHeight="1">
      <c r="A891" s="26">
        <v>45236.0</v>
      </c>
      <c r="B891" s="27" t="s">
        <v>84</v>
      </c>
      <c r="C891" s="27" t="s">
        <v>3771</v>
      </c>
      <c r="D891" s="27" t="s">
        <v>3772</v>
      </c>
      <c r="E891" s="24">
        <v>13.0</v>
      </c>
      <c r="F891" s="27">
        <v>7.0</v>
      </c>
      <c r="G891" s="27"/>
      <c r="H891" s="34" t="s">
        <v>3773</v>
      </c>
      <c r="I891" s="27"/>
      <c r="J891" s="27"/>
      <c r="K891" s="27"/>
      <c r="L891" s="27" t="s">
        <v>111</v>
      </c>
      <c r="M891" s="27" t="s">
        <v>67</v>
      </c>
      <c r="N891" s="14" t="b">
        <v>1</v>
      </c>
      <c r="O891" s="24" t="s">
        <v>3774</v>
      </c>
      <c r="P891" s="13" t="s">
        <v>42</v>
      </c>
      <c r="Q891" s="24" t="s">
        <v>130</v>
      </c>
      <c r="R891" s="27"/>
      <c r="S891" s="27" t="s">
        <v>3775</v>
      </c>
      <c r="T891" s="24" t="s">
        <v>72</v>
      </c>
      <c r="U891" s="26"/>
      <c r="V891" s="14"/>
      <c r="W891" s="14"/>
      <c r="X891" s="18"/>
      <c r="Y891" s="18"/>
      <c r="Z891" s="18"/>
      <c r="AA891" s="19">
        <f t="shared" si="1"/>
        <v>11</v>
      </c>
      <c r="AB891" s="19">
        <f t="shared" si="2"/>
        <v>11</v>
      </c>
    </row>
    <row r="892" ht="15.75" customHeight="1">
      <c r="A892" s="12">
        <v>45237.0</v>
      </c>
      <c r="B892" s="13" t="s">
        <v>28</v>
      </c>
      <c r="C892" s="14" t="s">
        <v>3776</v>
      </c>
      <c r="D892" s="14"/>
      <c r="E892" s="14"/>
      <c r="F892" s="14"/>
      <c r="G892" s="14"/>
      <c r="H892" s="15" t="s">
        <v>3777</v>
      </c>
      <c r="I892" s="14"/>
      <c r="J892" s="14"/>
      <c r="K892" s="14"/>
      <c r="L892" s="27" t="s">
        <v>111</v>
      </c>
      <c r="M892" s="14" t="s">
        <v>13</v>
      </c>
      <c r="N892" s="14" t="b">
        <v>1</v>
      </c>
      <c r="O892" s="14" t="s">
        <v>3778</v>
      </c>
      <c r="P892" s="13" t="s">
        <v>69</v>
      </c>
      <c r="Q892" s="14"/>
      <c r="R892" s="14"/>
      <c r="S892" s="14" t="s">
        <v>3779</v>
      </c>
      <c r="T892" s="13" t="s">
        <v>129</v>
      </c>
      <c r="U892" s="17"/>
      <c r="V892" s="14"/>
      <c r="W892" s="14"/>
      <c r="X892" s="18"/>
      <c r="Y892" s="18"/>
      <c r="Z892" s="18"/>
      <c r="AA892" s="19">
        <f t="shared" si="1"/>
        <v>11</v>
      </c>
      <c r="AB892" s="19" t="str">
        <f t="shared" si="2"/>
        <v/>
      </c>
    </row>
    <row r="893" ht="15.75" customHeight="1">
      <c r="A893" s="12">
        <v>45238.0</v>
      </c>
      <c r="B893" s="13" t="s">
        <v>28</v>
      </c>
      <c r="C893" s="14" t="s">
        <v>3780</v>
      </c>
      <c r="D893" s="14" t="s">
        <v>3781</v>
      </c>
      <c r="E893" s="13">
        <v>5.0</v>
      </c>
      <c r="F893" s="14"/>
      <c r="G893" s="14"/>
      <c r="H893" s="15" t="s">
        <v>3782</v>
      </c>
      <c r="I893" s="14"/>
      <c r="J893" s="14"/>
      <c r="K893" s="14"/>
      <c r="L893" s="27" t="s">
        <v>111</v>
      </c>
      <c r="M893" s="14" t="s">
        <v>565</v>
      </c>
      <c r="N893" s="14" t="b">
        <v>0</v>
      </c>
      <c r="O893" s="14"/>
      <c r="P893" s="14"/>
      <c r="Q893" s="14"/>
      <c r="R893" s="14"/>
      <c r="S893" s="14" t="s">
        <v>3783</v>
      </c>
      <c r="T893" s="13" t="s">
        <v>229</v>
      </c>
      <c r="U893" s="17"/>
      <c r="V893" s="14"/>
      <c r="W893" s="14"/>
      <c r="X893" s="18"/>
      <c r="Y893" s="18"/>
      <c r="Z893" s="18"/>
      <c r="AA893" s="19">
        <f t="shared" si="1"/>
        <v>11</v>
      </c>
      <c r="AB893" s="19" t="str">
        <f t="shared" si="2"/>
        <v/>
      </c>
    </row>
    <row r="894" ht="15.75" customHeight="1">
      <c r="A894" s="12">
        <v>45240.0</v>
      </c>
      <c r="B894" s="14" t="s">
        <v>84</v>
      </c>
      <c r="C894" s="14" t="s">
        <v>3784</v>
      </c>
      <c r="D894" s="14"/>
      <c r="E894" s="13">
        <v>9.0</v>
      </c>
      <c r="F894" s="14">
        <v>4.0</v>
      </c>
      <c r="G894" s="14"/>
      <c r="H894" s="15" t="s">
        <v>3785</v>
      </c>
      <c r="I894" s="14"/>
      <c r="J894" s="14"/>
      <c r="K894" s="14"/>
      <c r="L894" s="27" t="s">
        <v>111</v>
      </c>
      <c r="M894" s="14" t="s">
        <v>565</v>
      </c>
      <c r="N894" s="14" t="b">
        <v>0</v>
      </c>
      <c r="O894" s="14"/>
      <c r="P894" s="14"/>
      <c r="Q894" s="14"/>
      <c r="R894" s="14"/>
      <c r="S894" s="14" t="s">
        <v>3786</v>
      </c>
      <c r="T894" s="13" t="s">
        <v>129</v>
      </c>
      <c r="U894" s="17"/>
      <c r="V894" s="14"/>
      <c r="W894" s="14"/>
      <c r="X894" s="18"/>
      <c r="Y894" s="18"/>
      <c r="Z894" s="18"/>
      <c r="AA894" s="19">
        <f t="shared" si="1"/>
        <v>11</v>
      </c>
      <c r="AB894" s="19" t="str">
        <f t="shared" si="2"/>
        <v/>
      </c>
    </row>
    <row r="895" ht="15.75" customHeight="1">
      <c r="A895" s="12">
        <v>45240.0</v>
      </c>
      <c r="B895" s="13" t="s">
        <v>28</v>
      </c>
      <c r="C895" s="14" t="s">
        <v>3787</v>
      </c>
      <c r="D895" s="14" t="s">
        <v>3788</v>
      </c>
      <c r="E895" s="13">
        <v>10.0</v>
      </c>
      <c r="F895" s="14">
        <v>5.0</v>
      </c>
      <c r="G895" s="14"/>
      <c r="H895" s="15" t="s">
        <v>3789</v>
      </c>
      <c r="I895" s="14"/>
      <c r="J895" s="14"/>
      <c r="K895" s="14"/>
      <c r="L895" s="27" t="s">
        <v>111</v>
      </c>
      <c r="M895" s="14" t="s">
        <v>565</v>
      </c>
      <c r="N895" s="14" t="b">
        <v>0</v>
      </c>
      <c r="O895" s="14"/>
      <c r="P895" s="14"/>
      <c r="Q895" s="14"/>
      <c r="R895" s="14"/>
      <c r="S895" s="14" t="s">
        <v>3790</v>
      </c>
      <c r="T895" s="13" t="s">
        <v>129</v>
      </c>
      <c r="U895" s="17"/>
      <c r="V895" s="14"/>
      <c r="W895" s="14"/>
      <c r="X895" s="18"/>
      <c r="Y895" s="18"/>
      <c r="Z895" s="18"/>
      <c r="AA895" s="19">
        <f t="shared" si="1"/>
        <v>11</v>
      </c>
      <c r="AB895" s="19" t="str">
        <f t="shared" si="2"/>
        <v/>
      </c>
    </row>
    <row r="896" ht="15.75" customHeight="1">
      <c r="A896" s="12">
        <v>45243.0</v>
      </c>
      <c r="B896" s="13" t="s">
        <v>28</v>
      </c>
      <c r="C896" s="14" t="s">
        <v>3791</v>
      </c>
      <c r="D896" s="14" t="s">
        <v>3792</v>
      </c>
      <c r="E896" s="13">
        <v>10.0</v>
      </c>
      <c r="F896" s="14">
        <v>5.0</v>
      </c>
      <c r="G896" s="14"/>
      <c r="H896" s="15" t="s">
        <v>3793</v>
      </c>
      <c r="I896" s="14"/>
      <c r="J896" s="14"/>
      <c r="K896" s="14"/>
      <c r="L896" s="27" t="s">
        <v>111</v>
      </c>
      <c r="M896" s="14" t="s">
        <v>13</v>
      </c>
      <c r="N896" s="14" t="b">
        <v>1</v>
      </c>
      <c r="O896" s="13" t="s">
        <v>3794</v>
      </c>
      <c r="P896" s="13" t="s">
        <v>42</v>
      </c>
      <c r="Q896" s="14"/>
      <c r="R896" s="14"/>
      <c r="S896" s="14" t="s">
        <v>3795</v>
      </c>
      <c r="T896" s="13" t="s">
        <v>129</v>
      </c>
      <c r="U896" s="17"/>
      <c r="V896" s="14"/>
      <c r="W896" s="14"/>
      <c r="X896" s="18"/>
      <c r="Y896" s="18"/>
      <c r="Z896" s="18"/>
      <c r="AA896" s="19">
        <f t="shared" si="1"/>
        <v>11</v>
      </c>
      <c r="AB896" s="19" t="str">
        <f t="shared" si="2"/>
        <v/>
      </c>
    </row>
    <row r="897" ht="15.75" customHeight="1">
      <c r="A897" s="12">
        <v>45244.0</v>
      </c>
      <c r="B897" s="13" t="s">
        <v>28</v>
      </c>
      <c r="C897" s="14" t="s">
        <v>3796</v>
      </c>
      <c r="D897" s="212"/>
      <c r="E897" s="13">
        <v>11.0</v>
      </c>
      <c r="F897" s="14">
        <v>6.0</v>
      </c>
      <c r="G897" s="14"/>
      <c r="H897" s="213">
        <v>9.05881786E8</v>
      </c>
      <c r="I897" s="14"/>
      <c r="J897" s="14"/>
      <c r="K897" s="14"/>
      <c r="L897" s="27" t="s">
        <v>111</v>
      </c>
      <c r="M897" s="14" t="s">
        <v>565</v>
      </c>
      <c r="N897" s="14" t="b">
        <v>0</v>
      </c>
      <c r="O897" s="14"/>
      <c r="P897" s="14"/>
      <c r="Q897" s="14"/>
      <c r="R897" s="14"/>
      <c r="S897" s="14" t="s">
        <v>3797</v>
      </c>
      <c r="T897" s="13" t="s">
        <v>129</v>
      </c>
      <c r="U897" s="17"/>
      <c r="V897" s="32">
        <v>45248.0</v>
      </c>
      <c r="W897" s="24" t="s">
        <v>862</v>
      </c>
      <c r="X897" s="25">
        <v>5116000.0</v>
      </c>
      <c r="Y897" s="25">
        <v>516000.0</v>
      </c>
      <c r="Z897" s="25">
        <v>4605000.0</v>
      </c>
      <c r="AA897" s="19">
        <f t="shared" si="1"/>
        <v>11</v>
      </c>
      <c r="AB897" s="19" t="str">
        <f t="shared" si="2"/>
        <v/>
      </c>
    </row>
    <row r="898" ht="15.75" customHeight="1">
      <c r="A898" s="26">
        <v>45245.0</v>
      </c>
      <c r="B898" s="13" t="s">
        <v>28</v>
      </c>
      <c r="C898" s="27" t="s">
        <v>3798</v>
      </c>
      <c r="D898" s="27" t="s">
        <v>3799</v>
      </c>
      <c r="E898" s="24">
        <v>10.0</v>
      </c>
      <c r="F898" s="27">
        <v>5.0</v>
      </c>
      <c r="G898" s="27"/>
      <c r="H898" s="34" t="s">
        <v>3800</v>
      </c>
      <c r="I898" s="27"/>
      <c r="J898" s="27"/>
      <c r="K898" s="27"/>
      <c r="L898" s="27" t="s">
        <v>111</v>
      </c>
      <c r="M898" s="27" t="s">
        <v>67</v>
      </c>
      <c r="N898" s="14" t="b">
        <v>1</v>
      </c>
      <c r="O898" s="27" t="s">
        <v>3801</v>
      </c>
      <c r="P898" s="13" t="s">
        <v>42</v>
      </c>
      <c r="Q898" s="24" t="s">
        <v>238</v>
      </c>
      <c r="R898" s="27"/>
      <c r="S898" s="27" t="s">
        <v>3802</v>
      </c>
      <c r="T898" s="24" t="s">
        <v>72</v>
      </c>
      <c r="U898" s="26"/>
      <c r="V898" s="14"/>
      <c r="W898" s="14"/>
      <c r="X898" s="18"/>
      <c r="Y898" s="18"/>
      <c r="Z898" s="18"/>
      <c r="AA898" s="19">
        <f t="shared" si="1"/>
        <v>11</v>
      </c>
      <c r="AB898" s="19">
        <f t="shared" si="2"/>
        <v>11</v>
      </c>
    </row>
    <row r="899" ht="15.75" customHeight="1">
      <c r="A899" s="12">
        <v>45246.0</v>
      </c>
      <c r="B899" s="13" t="s">
        <v>28</v>
      </c>
      <c r="C899" s="14" t="s">
        <v>3803</v>
      </c>
      <c r="D899" s="14" t="s">
        <v>3804</v>
      </c>
      <c r="E899" s="13">
        <v>11.0</v>
      </c>
      <c r="F899" s="14">
        <v>6.0</v>
      </c>
      <c r="G899" s="14"/>
      <c r="H899" s="214" t="s">
        <v>3805</v>
      </c>
      <c r="I899" s="14"/>
      <c r="J899" s="14"/>
      <c r="K899" s="14"/>
      <c r="L899" s="27" t="s">
        <v>111</v>
      </c>
      <c r="M899" s="14" t="s">
        <v>565</v>
      </c>
      <c r="N899" s="14" t="b">
        <v>0</v>
      </c>
      <c r="O899" s="14"/>
      <c r="P899" s="14"/>
      <c r="Q899" s="14"/>
      <c r="R899" s="14"/>
      <c r="S899" s="14" t="s">
        <v>3806</v>
      </c>
      <c r="T899" s="13" t="s">
        <v>129</v>
      </c>
      <c r="U899" s="17"/>
      <c r="V899" s="14"/>
      <c r="W899" s="14"/>
      <c r="X899" s="18"/>
      <c r="Y899" s="18"/>
      <c r="Z899" s="18"/>
      <c r="AA899" s="19">
        <f t="shared" si="1"/>
        <v>11</v>
      </c>
      <c r="AB899" s="19" t="str">
        <f t="shared" si="2"/>
        <v/>
      </c>
    </row>
    <row r="900" ht="15.75" customHeight="1">
      <c r="A900" s="12">
        <v>45246.0</v>
      </c>
      <c r="B900" s="14" t="s">
        <v>201</v>
      </c>
      <c r="C900" s="13" t="s">
        <v>3807</v>
      </c>
      <c r="D900" s="14"/>
      <c r="E900" s="14"/>
      <c r="F900" s="14"/>
      <c r="G900" s="14"/>
      <c r="H900" s="15" t="s">
        <v>3808</v>
      </c>
      <c r="I900" s="14"/>
      <c r="J900" s="14"/>
      <c r="K900" s="14"/>
      <c r="L900" s="27" t="s">
        <v>111</v>
      </c>
      <c r="M900" s="14" t="s">
        <v>565</v>
      </c>
      <c r="N900" s="14" t="b">
        <v>0</v>
      </c>
      <c r="O900" s="14"/>
      <c r="P900" s="14"/>
      <c r="Q900" s="14"/>
      <c r="R900" s="14"/>
      <c r="S900" s="14" t="s">
        <v>3809</v>
      </c>
      <c r="T900" s="14" t="s">
        <v>36</v>
      </c>
      <c r="U900" s="17"/>
      <c r="V900" s="32">
        <v>45258.0</v>
      </c>
      <c r="W900" s="24" t="s">
        <v>407</v>
      </c>
      <c r="X900" s="25">
        <v>6124000.0</v>
      </c>
      <c r="Y900" s="25">
        <v>918600.0</v>
      </c>
      <c r="Z900" s="25">
        <v>5205400.0</v>
      </c>
      <c r="AA900" s="19">
        <f t="shared" si="1"/>
        <v>11</v>
      </c>
      <c r="AB900" s="19" t="str">
        <f t="shared" si="2"/>
        <v/>
      </c>
    </row>
    <row r="901" ht="15.75" customHeight="1">
      <c r="A901" s="26">
        <v>45247.0</v>
      </c>
      <c r="B901" s="13" t="s">
        <v>28</v>
      </c>
      <c r="C901" s="27" t="s">
        <v>3810</v>
      </c>
      <c r="D901" s="27" t="s">
        <v>3811</v>
      </c>
      <c r="E901" s="24">
        <v>10.0</v>
      </c>
      <c r="F901" s="27">
        <v>5.0</v>
      </c>
      <c r="G901" s="27"/>
      <c r="H901" s="34"/>
      <c r="I901" s="27"/>
      <c r="J901" s="27"/>
      <c r="K901" s="27"/>
      <c r="L901" s="27" t="s">
        <v>111</v>
      </c>
      <c r="M901" s="27" t="s">
        <v>67</v>
      </c>
      <c r="N901" s="14" t="b">
        <v>1</v>
      </c>
      <c r="O901" s="31" t="s">
        <v>3812</v>
      </c>
      <c r="P901" s="13" t="s">
        <v>42</v>
      </c>
      <c r="Q901" s="24" t="s">
        <v>91</v>
      </c>
      <c r="R901" s="27"/>
      <c r="S901" s="27" t="s">
        <v>3813</v>
      </c>
      <c r="T901" s="24" t="s">
        <v>72</v>
      </c>
      <c r="U901" s="26"/>
      <c r="V901" s="14"/>
      <c r="W901" s="14"/>
      <c r="X901" s="18"/>
      <c r="Y901" s="18"/>
      <c r="Z901" s="18"/>
      <c r="AA901" s="19">
        <f t="shared" si="1"/>
        <v>11</v>
      </c>
      <c r="AB901" s="19">
        <f t="shared" si="2"/>
        <v>11</v>
      </c>
    </row>
    <row r="902" ht="15.75" customHeight="1">
      <c r="A902" s="12">
        <v>45250.0</v>
      </c>
      <c r="B902" s="13" t="s">
        <v>28</v>
      </c>
      <c r="C902" s="14" t="s">
        <v>1214</v>
      </c>
      <c r="D902" s="14" t="s">
        <v>3814</v>
      </c>
      <c r="E902" s="13">
        <v>6.0</v>
      </c>
      <c r="F902" s="14">
        <v>1.0</v>
      </c>
      <c r="G902" s="14"/>
      <c r="H902" s="214" t="s">
        <v>1216</v>
      </c>
      <c r="I902" s="14"/>
      <c r="J902" s="14"/>
      <c r="K902" s="14"/>
      <c r="L902" s="27" t="s">
        <v>111</v>
      </c>
      <c r="M902" s="14" t="s">
        <v>565</v>
      </c>
      <c r="N902" s="14" t="b">
        <v>0</v>
      </c>
      <c r="O902" s="14"/>
      <c r="P902" s="14"/>
      <c r="Q902" s="14"/>
      <c r="R902" s="14"/>
      <c r="S902" s="14" t="s">
        <v>3815</v>
      </c>
      <c r="T902" s="14" t="s">
        <v>36</v>
      </c>
      <c r="U902" s="17"/>
      <c r="V902" s="14"/>
      <c r="W902" s="14"/>
      <c r="X902" s="18"/>
      <c r="Y902" s="18"/>
      <c r="Z902" s="18"/>
      <c r="AA902" s="19">
        <f t="shared" si="1"/>
        <v>11</v>
      </c>
      <c r="AB902" s="19" t="str">
        <f t="shared" si="2"/>
        <v/>
      </c>
    </row>
    <row r="903" ht="15.75" customHeight="1">
      <c r="A903" s="12">
        <v>45249.0</v>
      </c>
      <c r="B903" s="13" t="s">
        <v>28</v>
      </c>
      <c r="C903" s="14" t="s">
        <v>3816</v>
      </c>
      <c r="D903" s="14"/>
      <c r="E903" s="14"/>
      <c r="F903" s="14"/>
      <c r="G903" s="14"/>
      <c r="H903" s="214" t="s">
        <v>3817</v>
      </c>
      <c r="I903" s="14"/>
      <c r="J903" s="14"/>
      <c r="K903" s="14"/>
      <c r="L903" s="27" t="s">
        <v>111</v>
      </c>
      <c r="M903" s="14" t="s">
        <v>565</v>
      </c>
      <c r="N903" s="14" t="b">
        <v>0</v>
      </c>
      <c r="O903" s="14"/>
      <c r="P903" s="14"/>
      <c r="Q903" s="14"/>
      <c r="R903" s="14"/>
      <c r="S903" s="14" t="s">
        <v>3818</v>
      </c>
      <c r="T903" s="14" t="s">
        <v>36</v>
      </c>
      <c r="U903" s="17"/>
      <c r="V903" s="14"/>
      <c r="W903" s="14"/>
      <c r="X903" s="18"/>
      <c r="Y903" s="18"/>
      <c r="Z903" s="18"/>
      <c r="AA903" s="19">
        <f t="shared" si="1"/>
        <v>11</v>
      </c>
      <c r="AB903" s="19" t="str">
        <f t="shared" si="2"/>
        <v/>
      </c>
    </row>
    <row r="904" ht="15.75" customHeight="1">
      <c r="A904" s="12">
        <v>45250.0</v>
      </c>
      <c r="B904" s="13" t="s">
        <v>28</v>
      </c>
      <c r="C904" s="14" t="s">
        <v>3819</v>
      </c>
      <c r="D904" s="14" t="s">
        <v>3820</v>
      </c>
      <c r="E904" s="13">
        <v>7.0</v>
      </c>
      <c r="F904" s="14">
        <v>2.0</v>
      </c>
      <c r="G904" s="14"/>
      <c r="H904" s="15" t="s">
        <v>426</v>
      </c>
      <c r="I904" s="14"/>
      <c r="J904" s="14"/>
      <c r="K904" s="14"/>
      <c r="L904" s="27" t="s">
        <v>111</v>
      </c>
      <c r="M904" s="14" t="s">
        <v>13</v>
      </c>
      <c r="N904" s="14" t="b">
        <v>1</v>
      </c>
      <c r="O904" s="13" t="s">
        <v>3821</v>
      </c>
      <c r="P904" s="13" t="s">
        <v>69</v>
      </c>
      <c r="Q904" s="14"/>
      <c r="R904" s="14"/>
      <c r="S904" s="14" t="s">
        <v>3822</v>
      </c>
      <c r="T904" s="14" t="s">
        <v>36</v>
      </c>
      <c r="U904" s="17"/>
      <c r="V904" s="14"/>
      <c r="W904" s="14"/>
      <c r="X904" s="18"/>
      <c r="Y904" s="18"/>
      <c r="Z904" s="18"/>
      <c r="AA904" s="19">
        <f t="shared" si="1"/>
        <v>11</v>
      </c>
      <c r="AB904" s="19" t="str">
        <f t="shared" si="2"/>
        <v/>
      </c>
    </row>
    <row r="905" ht="15.75" customHeight="1">
      <c r="A905" s="12">
        <v>45250.0</v>
      </c>
      <c r="B905" s="13" t="s">
        <v>28</v>
      </c>
      <c r="C905" s="13" t="s">
        <v>3823</v>
      </c>
      <c r="D905" s="14"/>
      <c r="E905" s="13">
        <v>6.0</v>
      </c>
      <c r="F905" s="14">
        <v>1.0</v>
      </c>
      <c r="G905" s="14"/>
      <c r="H905" s="15" t="s">
        <v>3824</v>
      </c>
      <c r="I905" s="14"/>
      <c r="J905" s="14"/>
      <c r="K905" s="14"/>
      <c r="L905" s="27" t="s">
        <v>111</v>
      </c>
      <c r="M905" s="14" t="s">
        <v>565</v>
      </c>
      <c r="N905" s="14" t="b">
        <v>0</v>
      </c>
      <c r="O905" s="14"/>
      <c r="P905" s="14"/>
      <c r="Q905" s="14"/>
      <c r="R905" s="14"/>
      <c r="S905" s="14" t="s">
        <v>3825</v>
      </c>
      <c r="T905" s="14" t="s">
        <v>36</v>
      </c>
      <c r="U905" s="17"/>
      <c r="V905" s="14"/>
      <c r="W905" s="14"/>
      <c r="X905" s="18"/>
      <c r="Y905" s="18"/>
      <c r="Z905" s="18"/>
      <c r="AA905" s="19">
        <f t="shared" si="1"/>
        <v>11</v>
      </c>
      <c r="AB905" s="19" t="str">
        <f t="shared" si="2"/>
        <v/>
      </c>
    </row>
    <row r="906" ht="15.75" customHeight="1">
      <c r="A906" s="12">
        <v>45250.0</v>
      </c>
      <c r="B906" s="13" t="s">
        <v>28</v>
      </c>
      <c r="C906" s="14" t="s">
        <v>3826</v>
      </c>
      <c r="D906" s="14" t="s">
        <v>3827</v>
      </c>
      <c r="E906" s="13">
        <v>13.0</v>
      </c>
      <c r="F906" s="14">
        <v>8.0</v>
      </c>
      <c r="G906" s="14"/>
      <c r="H906" s="15" t="s">
        <v>3828</v>
      </c>
      <c r="I906" s="14"/>
      <c r="J906" s="14"/>
      <c r="K906" s="14"/>
      <c r="L906" s="27" t="s">
        <v>111</v>
      </c>
      <c r="M906" s="14" t="s">
        <v>13</v>
      </c>
      <c r="N906" s="14" t="b">
        <v>1</v>
      </c>
      <c r="O906" s="14" t="s">
        <v>3829</v>
      </c>
      <c r="P906" s="13" t="s">
        <v>42</v>
      </c>
      <c r="Q906" s="14"/>
      <c r="R906" s="14"/>
      <c r="S906" s="14" t="s">
        <v>3830</v>
      </c>
      <c r="T906" s="13" t="s">
        <v>129</v>
      </c>
      <c r="U906" s="17"/>
      <c r="V906" s="14"/>
      <c r="W906" s="14"/>
      <c r="X906" s="18"/>
      <c r="Y906" s="18"/>
      <c r="Z906" s="18"/>
      <c r="AA906" s="19">
        <f t="shared" si="1"/>
        <v>11</v>
      </c>
      <c r="AB906" s="19" t="str">
        <f t="shared" si="2"/>
        <v/>
      </c>
    </row>
    <row r="907" ht="15.75" customHeight="1">
      <c r="A907" s="12">
        <v>45251.0</v>
      </c>
      <c r="B907" s="13" t="s">
        <v>28</v>
      </c>
      <c r="C907" s="14" t="s">
        <v>3831</v>
      </c>
      <c r="D907" s="14" t="s">
        <v>3832</v>
      </c>
      <c r="E907" s="13">
        <v>5.0</v>
      </c>
      <c r="F907" s="14" t="s">
        <v>3833</v>
      </c>
      <c r="G907" s="14"/>
      <c r="H907" s="214" t="s">
        <v>3834</v>
      </c>
      <c r="I907" s="14"/>
      <c r="J907" s="14"/>
      <c r="K907" s="14"/>
      <c r="L907" s="27" t="s">
        <v>111</v>
      </c>
      <c r="M907" s="14" t="s">
        <v>565</v>
      </c>
      <c r="N907" s="14" t="b">
        <v>0</v>
      </c>
      <c r="O907" s="14"/>
      <c r="P907" s="14"/>
      <c r="Q907" s="14"/>
      <c r="R907" s="14"/>
      <c r="S907" s="14" t="s">
        <v>3835</v>
      </c>
      <c r="T907" s="13" t="s">
        <v>129</v>
      </c>
      <c r="U907" s="17"/>
      <c r="V907" s="32">
        <v>45275.0</v>
      </c>
      <c r="W907" s="24" t="s">
        <v>407</v>
      </c>
      <c r="X907" s="25">
        <v>6124000.0</v>
      </c>
      <c r="Y907" s="25">
        <v>600000.0</v>
      </c>
      <c r="Z907" s="25">
        <v>5524000.0</v>
      </c>
      <c r="AA907" s="19">
        <f t="shared" si="1"/>
        <v>11</v>
      </c>
      <c r="AB907" s="19" t="str">
        <f t="shared" si="2"/>
        <v/>
      </c>
    </row>
    <row r="908" ht="15.75" customHeight="1">
      <c r="A908" s="26">
        <v>45251.0</v>
      </c>
      <c r="B908" s="13" t="s">
        <v>28</v>
      </c>
      <c r="C908" s="27" t="s">
        <v>3836</v>
      </c>
      <c r="D908" s="27" t="s">
        <v>3837</v>
      </c>
      <c r="E908" s="24">
        <v>9.0</v>
      </c>
      <c r="F908" s="27">
        <v>4.0</v>
      </c>
      <c r="G908" s="27"/>
      <c r="H908" s="34" t="s">
        <v>3838</v>
      </c>
      <c r="I908" s="27"/>
      <c r="J908" s="27"/>
      <c r="K908" s="27"/>
      <c r="L908" s="27" t="s">
        <v>111</v>
      </c>
      <c r="M908" s="27" t="s">
        <v>67</v>
      </c>
      <c r="N908" s="14" t="b">
        <v>1</v>
      </c>
      <c r="O908" s="24" t="s">
        <v>3839</v>
      </c>
      <c r="P908" s="13" t="s">
        <v>42</v>
      </c>
      <c r="Q908" s="24" t="s">
        <v>91</v>
      </c>
      <c r="R908" s="27"/>
      <c r="S908" s="27" t="s">
        <v>3840</v>
      </c>
      <c r="T908" s="24" t="s">
        <v>72</v>
      </c>
      <c r="U908" s="26"/>
      <c r="V908" s="14"/>
      <c r="W908" s="14"/>
      <c r="X908" s="18"/>
      <c r="Y908" s="18"/>
      <c r="Z908" s="18"/>
      <c r="AA908" s="123">
        <f t="shared" si="1"/>
        <v>11</v>
      </c>
      <c r="AB908" s="123">
        <f t="shared" si="2"/>
        <v>12</v>
      </c>
    </row>
    <row r="909" ht="15.75" customHeight="1">
      <c r="A909" s="12">
        <v>45253.0</v>
      </c>
      <c r="B909" s="14" t="s">
        <v>84</v>
      </c>
      <c r="C909" s="13" t="s">
        <v>3841</v>
      </c>
      <c r="D909" s="14" t="s">
        <v>3842</v>
      </c>
      <c r="E909" s="13">
        <v>7.0</v>
      </c>
      <c r="F909" s="14">
        <v>2.0</v>
      </c>
      <c r="G909" s="14"/>
      <c r="H909" s="15" t="s">
        <v>3843</v>
      </c>
      <c r="I909" s="14"/>
      <c r="J909" s="14"/>
      <c r="K909" s="14"/>
      <c r="L909" s="27" t="s">
        <v>111</v>
      </c>
      <c r="M909" s="14" t="s">
        <v>13</v>
      </c>
      <c r="N909" s="14" t="b">
        <v>1</v>
      </c>
      <c r="O909" s="61" t="s">
        <v>3844</v>
      </c>
      <c r="P909" s="13" t="s">
        <v>42</v>
      </c>
      <c r="Q909" s="14"/>
      <c r="R909" s="14"/>
      <c r="S909" s="14" t="s">
        <v>3845</v>
      </c>
      <c r="T909" s="13" t="s">
        <v>129</v>
      </c>
      <c r="U909" s="17"/>
      <c r="V909" s="32">
        <v>45253.0</v>
      </c>
      <c r="W909" s="24" t="s">
        <v>59</v>
      </c>
      <c r="X909" s="25">
        <v>3675000.0</v>
      </c>
      <c r="Y909" s="25">
        <v>367000.0</v>
      </c>
      <c r="Z909" s="25">
        <v>3308000.0</v>
      </c>
      <c r="AA909" s="19">
        <f t="shared" si="1"/>
        <v>11</v>
      </c>
      <c r="AB909" s="19" t="str">
        <f t="shared" si="2"/>
        <v/>
      </c>
    </row>
    <row r="910" ht="15.75" customHeight="1">
      <c r="A910" s="26">
        <v>45253.0</v>
      </c>
      <c r="B910" s="27" t="s">
        <v>201</v>
      </c>
      <c r="C910" s="24" t="s">
        <v>3846</v>
      </c>
      <c r="D910" s="27" t="s">
        <v>3847</v>
      </c>
      <c r="E910" s="24">
        <v>8.0</v>
      </c>
      <c r="F910" s="27">
        <v>3.0</v>
      </c>
      <c r="G910" s="27"/>
      <c r="H910" s="34" t="s">
        <v>3848</v>
      </c>
      <c r="I910" s="27"/>
      <c r="J910" s="27"/>
      <c r="K910" s="27"/>
      <c r="L910" s="27" t="s">
        <v>111</v>
      </c>
      <c r="M910" s="27" t="s">
        <v>67</v>
      </c>
      <c r="N910" s="14" t="b">
        <v>1</v>
      </c>
      <c r="O910" s="27" t="s">
        <v>3849</v>
      </c>
      <c r="P910" s="13" t="s">
        <v>69</v>
      </c>
      <c r="Q910" s="24" t="s">
        <v>59</v>
      </c>
      <c r="R910" s="27"/>
      <c r="S910" s="27" t="s">
        <v>3850</v>
      </c>
      <c r="T910" s="24" t="s">
        <v>72</v>
      </c>
      <c r="U910" s="26"/>
      <c r="V910" s="14"/>
      <c r="W910" s="14"/>
      <c r="X910" s="18"/>
      <c r="Y910" s="18"/>
      <c r="Z910" s="18"/>
      <c r="AA910" s="19">
        <f t="shared" si="1"/>
        <v>11</v>
      </c>
      <c r="AB910" s="19">
        <f t="shared" si="2"/>
        <v>11</v>
      </c>
    </row>
    <row r="911" ht="15.75" customHeight="1">
      <c r="A911" s="12">
        <v>45253.0</v>
      </c>
      <c r="B911" s="13" t="s">
        <v>28</v>
      </c>
      <c r="C911" s="14" t="s">
        <v>3851</v>
      </c>
      <c r="D911" s="14" t="s">
        <v>3852</v>
      </c>
      <c r="E911" s="13">
        <v>11.0</v>
      </c>
      <c r="F911" s="14">
        <v>6.0</v>
      </c>
      <c r="G911" s="14"/>
      <c r="H911" s="214" t="s">
        <v>3853</v>
      </c>
      <c r="I911" s="14"/>
      <c r="J911" s="14"/>
      <c r="K911" s="14"/>
      <c r="L911" s="27" t="s">
        <v>111</v>
      </c>
      <c r="M911" s="27" t="s">
        <v>13</v>
      </c>
      <c r="N911" s="14" t="b">
        <v>1</v>
      </c>
      <c r="O911" s="13" t="s">
        <v>3854</v>
      </c>
      <c r="P911" s="13" t="s">
        <v>69</v>
      </c>
      <c r="Q911" s="14"/>
      <c r="R911" s="14"/>
      <c r="S911" s="14" t="s">
        <v>3855</v>
      </c>
      <c r="T911" s="14" t="s">
        <v>36</v>
      </c>
      <c r="U911" s="17"/>
      <c r="V911" s="32">
        <v>45278.0</v>
      </c>
      <c r="W911" s="24" t="s">
        <v>130</v>
      </c>
      <c r="X911" s="25">
        <v>6124000.0</v>
      </c>
      <c r="Y911" s="25">
        <v>612400.0</v>
      </c>
      <c r="Z911" s="25">
        <v>5511600.0</v>
      </c>
      <c r="AA911" s="19">
        <f t="shared" si="1"/>
        <v>11</v>
      </c>
      <c r="AB911" s="19" t="str">
        <f t="shared" si="2"/>
        <v/>
      </c>
    </row>
    <row r="912" ht="15.75" customHeight="1">
      <c r="A912" s="26">
        <v>45254.0</v>
      </c>
      <c r="B912" s="27" t="s">
        <v>201</v>
      </c>
      <c r="C912" s="24" t="s">
        <v>3856</v>
      </c>
      <c r="D912" s="27" t="s">
        <v>3857</v>
      </c>
      <c r="E912" s="24">
        <v>8.0</v>
      </c>
      <c r="F912" s="27">
        <v>3.0</v>
      </c>
      <c r="G912" s="27"/>
      <c r="H912" s="215" t="s">
        <v>3858</v>
      </c>
      <c r="I912" s="27"/>
      <c r="J912" s="27"/>
      <c r="K912" s="27"/>
      <c r="L912" s="27" t="s">
        <v>111</v>
      </c>
      <c r="M912" s="27" t="s">
        <v>67</v>
      </c>
      <c r="N912" s="14" t="b">
        <v>1</v>
      </c>
      <c r="O912" s="24" t="s">
        <v>3859</v>
      </c>
      <c r="P912" s="13" t="s">
        <v>69</v>
      </c>
      <c r="Q912" s="24" t="s">
        <v>91</v>
      </c>
      <c r="R912" s="27"/>
      <c r="S912" s="27" t="s">
        <v>3860</v>
      </c>
      <c r="T912" s="24" t="s">
        <v>72</v>
      </c>
      <c r="U912" s="26"/>
      <c r="V912" s="14"/>
      <c r="W912" s="14"/>
      <c r="X912" s="18"/>
      <c r="Y912" s="18"/>
      <c r="Z912" s="18"/>
      <c r="AA912" s="123">
        <f t="shared" si="1"/>
        <v>11</v>
      </c>
      <c r="AB912" s="123">
        <f t="shared" si="2"/>
        <v>12</v>
      </c>
    </row>
    <row r="913" ht="15.75" customHeight="1">
      <c r="A913" s="12">
        <v>45254.0</v>
      </c>
      <c r="B913" s="13" t="s">
        <v>28</v>
      </c>
      <c r="C913" s="14" t="s">
        <v>3861</v>
      </c>
      <c r="D913" s="14" t="s">
        <v>3862</v>
      </c>
      <c r="E913" s="13">
        <v>11.0</v>
      </c>
      <c r="F913" s="14">
        <v>6.0</v>
      </c>
      <c r="G913" s="14"/>
      <c r="H913" s="214" t="s">
        <v>3863</v>
      </c>
      <c r="I913" s="14"/>
      <c r="J913" s="14"/>
      <c r="K913" s="14"/>
      <c r="L913" s="27" t="s">
        <v>111</v>
      </c>
      <c r="M913" s="27" t="s">
        <v>13</v>
      </c>
      <c r="N913" s="14" t="b">
        <v>1</v>
      </c>
      <c r="O913" s="13" t="s">
        <v>3864</v>
      </c>
      <c r="P913" s="13" t="s">
        <v>42</v>
      </c>
      <c r="Q913" s="14"/>
      <c r="R913" s="14"/>
      <c r="S913" s="14" t="s">
        <v>3865</v>
      </c>
      <c r="T913" s="13" t="s">
        <v>129</v>
      </c>
      <c r="U913" s="17">
        <v>45301.0</v>
      </c>
      <c r="V913" s="216">
        <v>45273.0</v>
      </c>
      <c r="W913" s="79" t="s">
        <v>311</v>
      </c>
      <c r="X913" s="80">
        <v>6124000.0</v>
      </c>
      <c r="Y913" s="80">
        <v>612400.0</v>
      </c>
      <c r="Z913" s="80">
        <v>5511600.0</v>
      </c>
      <c r="AA913" s="19">
        <f t="shared" si="1"/>
        <v>11</v>
      </c>
      <c r="AB913" s="19" t="str">
        <f t="shared" si="2"/>
        <v/>
      </c>
    </row>
    <row r="914" ht="15.75" customHeight="1">
      <c r="A914" s="81">
        <v>45254.0</v>
      </c>
      <c r="B914" s="13" t="s">
        <v>28</v>
      </c>
      <c r="C914" s="33" t="s">
        <v>3866</v>
      </c>
      <c r="D914" s="33" t="s">
        <v>3867</v>
      </c>
      <c r="E914" s="79">
        <v>6.0</v>
      </c>
      <c r="F914" s="33">
        <v>1.0</v>
      </c>
      <c r="G914" s="33"/>
      <c r="H914" s="82" t="s">
        <v>3868</v>
      </c>
      <c r="I914" s="33"/>
      <c r="J914" s="33"/>
      <c r="K914" s="33"/>
      <c r="L914" s="33" t="s">
        <v>111</v>
      </c>
      <c r="M914" s="33" t="s">
        <v>67</v>
      </c>
      <c r="N914" s="14" t="b">
        <v>1</v>
      </c>
      <c r="O914" s="79" t="s">
        <v>3869</v>
      </c>
      <c r="P914" s="13" t="s">
        <v>69</v>
      </c>
      <c r="Q914" s="24" t="s">
        <v>91</v>
      </c>
      <c r="R914" s="33"/>
      <c r="S914" s="33" t="s">
        <v>3870</v>
      </c>
      <c r="T914" s="24" t="s">
        <v>72</v>
      </c>
      <c r="U914" s="81"/>
      <c r="V914" s="14"/>
      <c r="W914" s="14"/>
      <c r="X914" s="18"/>
      <c r="Y914" s="18"/>
      <c r="Z914" s="18"/>
      <c r="AA914" s="217">
        <f t="shared" si="1"/>
        <v>11</v>
      </c>
      <c r="AB914" s="217">
        <f t="shared" si="2"/>
        <v>12</v>
      </c>
    </row>
    <row r="915" ht="15.75" customHeight="1">
      <c r="A915" s="12">
        <v>45256.0</v>
      </c>
      <c r="B915" s="13" t="s">
        <v>28</v>
      </c>
      <c r="C915" s="14" t="s">
        <v>3871</v>
      </c>
      <c r="D915" s="14"/>
      <c r="E915" s="13">
        <v>10.0</v>
      </c>
      <c r="F915" s="14">
        <v>5.0</v>
      </c>
      <c r="G915" s="14"/>
      <c r="H915" s="214" t="s">
        <v>3872</v>
      </c>
      <c r="I915" s="14"/>
      <c r="J915" s="14"/>
      <c r="K915" s="14"/>
      <c r="L915" s="27" t="s">
        <v>111</v>
      </c>
      <c r="M915" s="27" t="s">
        <v>13</v>
      </c>
      <c r="N915" s="14" t="b">
        <v>1</v>
      </c>
      <c r="O915" s="13" t="s">
        <v>3873</v>
      </c>
      <c r="P915" s="13" t="s">
        <v>69</v>
      </c>
      <c r="Q915" s="14"/>
      <c r="R915" s="14"/>
      <c r="S915" s="14" t="s">
        <v>3874</v>
      </c>
      <c r="T915" s="13" t="s">
        <v>129</v>
      </c>
      <c r="U915" s="17"/>
      <c r="V915" s="32">
        <v>45268.0</v>
      </c>
      <c r="W915" s="24" t="s">
        <v>1376</v>
      </c>
      <c r="X915" s="25">
        <v>5784000.0</v>
      </c>
      <c r="Y915" s="25">
        <v>578400.0</v>
      </c>
      <c r="Z915" s="25">
        <v>5205600.0</v>
      </c>
      <c r="AA915" s="19">
        <f t="shared" si="1"/>
        <v>11</v>
      </c>
      <c r="AB915" s="19" t="str">
        <f t="shared" si="2"/>
        <v/>
      </c>
    </row>
    <row r="916" ht="15.75" customHeight="1">
      <c r="A916" s="26">
        <v>45257.0</v>
      </c>
      <c r="B916" s="13" t="s">
        <v>28</v>
      </c>
      <c r="C916" s="27" t="s">
        <v>3875</v>
      </c>
      <c r="D916" s="27" t="s">
        <v>3876</v>
      </c>
      <c r="E916" s="24">
        <v>8.0</v>
      </c>
      <c r="F916" s="27">
        <v>2015.0</v>
      </c>
      <c r="G916" s="27"/>
      <c r="H916" s="34" t="s">
        <v>3877</v>
      </c>
      <c r="I916" s="27"/>
      <c r="J916" s="27"/>
      <c r="K916" s="27"/>
      <c r="L916" s="27" t="s">
        <v>111</v>
      </c>
      <c r="M916" s="27" t="s">
        <v>67</v>
      </c>
      <c r="N916" s="14" t="b">
        <v>1</v>
      </c>
      <c r="O916" s="24" t="s">
        <v>3878</v>
      </c>
      <c r="P916" s="13" t="s">
        <v>42</v>
      </c>
      <c r="Q916" s="24" t="s">
        <v>91</v>
      </c>
      <c r="R916" s="27"/>
      <c r="S916" s="27" t="s">
        <v>3879</v>
      </c>
      <c r="T916" s="24" t="s">
        <v>72</v>
      </c>
      <c r="U916" s="26"/>
      <c r="V916" s="32">
        <v>45260.0</v>
      </c>
      <c r="W916" s="24" t="s">
        <v>575</v>
      </c>
      <c r="X916" s="25">
        <v>5500000.0</v>
      </c>
      <c r="Y916" s="25">
        <v>825000.0</v>
      </c>
      <c r="Z916" s="25">
        <v>4675000.0</v>
      </c>
      <c r="AA916" s="123">
        <f t="shared" si="1"/>
        <v>11</v>
      </c>
      <c r="AB916" s="123">
        <f t="shared" si="2"/>
        <v>12</v>
      </c>
    </row>
    <row r="917" ht="15.75" customHeight="1">
      <c r="A917" s="26">
        <v>45258.0</v>
      </c>
      <c r="B917" s="13" t="s">
        <v>28</v>
      </c>
      <c r="C917" s="27" t="s">
        <v>3880</v>
      </c>
      <c r="D917" s="27" t="s">
        <v>3881</v>
      </c>
      <c r="E917" s="24">
        <v>7.0</v>
      </c>
      <c r="F917" s="27">
        <v>2.0</v>
      </c>
      <c r="G917" s="27"/>
      <c r="H917" s="34" t="s">
        <v>3882</v>
      </c>
      <c r="I917" s="27"/>
      <c r="J917" s="27"/>
      <c r="K917" s="27"/>
      <c r="L917" s="27" t="s">
        <v>111</v>
      </c>
      <c r="M917" s="27" t="s">
        <v>67</v>
      </c>
      <c r="N917" s="14" t="b">
        <v>1</v>
      </c>
      <c r="O917" s="24" t="s">
        <v>3883</v>
      </c>
      <c r="P917" s="13" t="s">
        <v>69</v>
      </c>
      <c r="Q917" s="24" t="s">
        <v>91</v>
      </c>
      <c r="R917" s="27"/>
      <c r="S917" s="27" t="s">
        <v>3884</v>
      </c>
      <c r="T917" s="24" t="s">
        <v>72</v>
      </c>
      <c r="U917" s="26"/>
      <c r="V917" s="14"/>
      <c r="W917" s="14"/>
      <c r="X917" s="18"/>
      <c r="Y917" s="18"/>
      <c r="Z917" s="18"/>
      <c r="AA917" s="19">
        <f t="shared" si="1"/>
        <v>11</v>
      </c>
      <c r="AB917" s="19">
        <f t="shared" si="2"/>
        <v>11</v>
      </c>
    </row>
    <row r="918" ht="15.75" customHeight="1">
      <c r="A918" s="12">
        <v>45260.0</v>
      </c>
      <c r="B918" s="13" t="s">
        <v>28</v>
      </c>
      <c r="C918" s="14" t="s">
        <v>2063</v>
      </c>
      <c r="D918" s="14" t="s">
        <v>3885</v>
      </c>
      <c r="E918" s="13">
        <v>8.0</v>
      </c>
      <c r="F918" s="14">
        <v>3.0</v>
      </c>
      <c r="G918" s="14"/>
      <c r="H918" s="214" t="s">
        <v>3886</v>
      </c>
      <c r="I918" s="14"/>
      <c r="J918" s="14"/>
      <c r="K918" s="14"/>
      <c r="L918" s="27" t="s">
        <v>111</v>
      </c>
      <c r="M918" s="27" t="s">
        <v>13</v>
      </c>
      <c r="N918" s="14" t="b">
        <v>1</v>
      </c>
      <c r="O918" s="13" t="s">
        <v>3887</v>
      </c>
      <c r="P918" s="13" t="s">
        <v>69</v>
      </c>
      <c r="Q918" s="14"/>
      <c r="R918" s="14"/>
      <c r="S918" s="14" t="s">
        <v>3888</v>
      </c>
      <c r="T918" s="13" t="s">
        <v>129</v>
      </c>
      <c r="U918" s="17"/>
      <c r="V918" s="14"/>
      <c r="W918" s="14"/>
      <c r="X918" s="18"/>
      <c r="Y918" s="18"/>
      <c r="Z918" s="18"/>
      <c r="AA918" s="19">
        <f t="shared" si="1"/>
        <v>11</v>
      </c>
      <c r="AB918" s="19" t="str">
        <f t="shared" si="2"/>
        <v/>
      </c>
    </row>
    <row r="919" ht="15.75" customHeight="1">
      <c r="A919" s="12">
        <v>45260.0</v>
      </c>
      <c r="B919" s="13" t="s">
        <v>28</v>
      </c>
      <c r="C919" s="14" t="s">
        <v>3889</v>
      </c>
      <c r="D919" s="14"/>
      <c r="E919" s="13">
        <v>11.0</v>
      </c>
      <c r="F919" s="14">
        <v>6.0</v>
      </c>
      <c r="G919" s="14"/>
      <c r="H919" s="15" t="s">
        <v>3890</v>
      </c>
      <c r="I919" s="14"/>
      <c r="J919" s="14"/>
      <c r="K919" s="14"/>
      <c r="L919" s="27" t="s">
        <v>111</v>
      </c>
      <c r="M919" s="27" t="s">
        <v>565</v>
      </c>
      <c r="N919" s="14" t="b">
        <v>0</v>
      </c>
      <c r="O919" s="14"/>
      <c r="P919" s="14"/>
      <c r="Q919" s="14"/>
      <c r="R919" s="14"/>
      <c r="S919" s="14" t="s">
        <v>3891</v>
      </c>
      <c r="T919" s="13" t="s">
        <v>129</v>
      </c>
      <c r="U919" s="17"/>
      <c r="V919" s="14"/>
      <c r="W919" s="14"/>
      <c r="X919" s="18"/>
      <c r="Y919" s="18"/>
      <c r="Z919" s="18"/>
      <c r="AA919" s="19">
        <f t="shared" si="1"/>
        <v>11</v>
      </c>
      <c r="AB919" s="19" t="str">
        <f t="shared" si="2"/>
        <v/>
      </c>
    </row>
    <row r="920" ht="15.75" customHeight="1">
      <c r="A920" s="12">
        <v>45260.0</v>
      </c>
      <c r="B920" s="13" t="s">
        <v>28</v>
      </c>
      <c r="C920" s="14" t="s">
        <v>3892</v>
      </c>
      <c r="D920" s="14"/>
      <c r="E920" s="14"/>
      <c r="F920" s="14"/>
      <c r="G920" s="14"/>
      <c r="H920" s="15" t="s">
        <v>3893</v>
      </c>
      <c r="I920" s="14"/>
      <c r="J920" s="14"/>
      <c r="K920" s="14"/>
      <c r="L920" s="27" t="s">
        <v>111</v>
      </c>
      <c r="M920" s="27" t="s">
        <v>216</v>
      </c>
      <c r="N920" s="14" t="b">
        <v>0</v>
      </c>
      <c r="O920" s="14"/>
      <c r="P920" s="14"/>
      <c r="Q920" s="14"/>
      <c r="R920" s="14"/>
      <c r="S920" s="14" t="s">
        <v>3894</v>
      </c>
      <c r="T920" s="14" t="s">
        <v>36</v>
      </c>
      <c r="U920" s="17"/>
      <c r="V920" s="14"/>
      <c r="W920" s="14"/>
      <c r="X920" s="18"/>
      <c r="Y920" s="18"/>
      <c r="Z920" s="18"/>
      <c r="AA920" s="19">
        <f t="shared" si="1"/>
        <v>11</v>
      </c>
      <c r="AB920" s="19" t="str">
        <f t="shared" si="2"/>
        <v/>
      </c>
    </row>
    <row r="921" ht="15.75" customHeight="1">
      <c r="A921" s="12">
        <v>45261.0</v>
      </c>
      <c r="B921" s="13" t="s">
        <v>28</v>
      </c>
      <c r="C921" s="14" t="s">
        <v>3895</v>
      </c>
      <c r="D921" s="14"/>
      <c r="E921" s="14"/>
      <c r="F921" s="14"/>
      <c r="G921" s="14"/>
      <c r="H921" s="15" t="s">
        <v>3896</v>
      </c>
      <c r="I921" s="14"/>
      <c r="J921" s="14"/>
      <c r="K921" s="14" t="s">
        <v>2941</v>
      </c>
      <c r="L921" s="27" t="s">
        <v>111</v>
      </c>
      <c r="M921" s="27" t="s">
        <v>565</v>
      </c>
      <c r="N921" s="14" t="b">
        <v>0</v>
      </c>
      <c r="O921" s="14"/>
      <c r="P921" s="14"/>
      <c r="Q921" s="14"/>
      <c r="R921" s="14"/>
      <c r="S921" s="14" t="s">
        <v>3897</v>
      </c>
      <c r="T921" s="13" t="s">
        <v>129</v>
      </c>
      <c r="U921" s="17"/>
      <c r="V921" s="14"/>
      <c r="W921" s="14"/>
      <c r="X921" s="18"/>
      <c r="Y921" s="18"/>
      <c r="Z921" s="18"/>
      <c r="AA921" s="19">
        <f t="shared" si="1"/>
        <v>12</v>
      </c>
      <c r="AB921" s="19" t="str">
        <f t="shared" si="2"/>
        <v/>
      </c>
    </row>
    <row r="922" ht="15.75" customHeight="1">
      <c r="A922" s="12">
        <v>45264.0</v>
      </c>
      <c r="B922" s="13" t="s">
        <v>28</v>
      </c>
      <c r="C922" s="14" t="s">
        <v>3898</v>
      </c>
      <c r="D922" s="14"/>
      <c r="E922" s="14"/>
      <c r="F922" s="14"/>
      <c r="G922" s="14"/>
      <c r="H922" s="15" t="s">
        <v>3899</v>
      </c>
      <c r="I922" s="14"/>
      <c r="J922" s="14"/>
      <c r="K922" s="14" t="s">
        <v>2941</v>
      </c>
      <c r="L922" s="27" t="s">
        <v>111</v>
      </c>
      <c r="M922" s="27" t="s">
        <v>565</v>
      </c>
      <c r="N922" s="14" t="b">
        <v>0</v>
      </c>
      <c r="O922" s="14"/>
      <c r="P922" s="14"/>
      <c r="Q922" s="14"/>
      <c r="R922" s="14"/>
      <c r="S922" s="14" t="s">
        <v>3900</v>
      </c>
      <c r="T922" s="14" t="s">
        <v>36</v>
      </c>
      <c r="U922" s="17"/>
      <c r="V922" s="14"/>
      <c r="W922" s="14"/>
      <c r="X922" s="18"/>
      <c r="Y922" s="18"/>
      <c r="Z922" s="18"/>
      <c r="AA922" s="19">
        <f t="shared" si="1"/>
        <v>12</v>
      </c>
      <c r="AB922" s="19" t="str">
        <f t="shared" si="2"/>
        <v/>
      </c>
    </row>
    <row r="923" ht="15.75" customHeight="1">
      <c r="A923" s="12">
        <v>45264.0</v>
      </c>
      <c r="B923" s="13" t="s">
        <v>28</v>
      </c>
      <c r="C923" s="14" t="s">
        <v>3901</v>
      </c>
      <c r="D923" s="14"/>
      <c r="E923" s="13">
        <v>4.0</v>
      </c>
      <c r="F923" s="14"/>
      <c r="G923" s="14"/>
      <c r="H923" s="15" t="s">
        <v>3902</v>
      </c>
      <c r="I923" s="14"/>
      <c r="J923" s="14"/>
      <c r="K923" s="14" t="s">
        <v>2941</v>
      </c>
      <c r="L923" s="27" t="s">
        <v>111</v>
      </c>
      <c r="M923" s="27" t="s">
        <v>565</v>
      </c>
      <c r="N923" s="14" t="b">
        <v>0</v>
      </c>
      <c r="O923" s="14"/>
      <c r="P923" s="14"/>
      <c r="Q923" s="14"/>
      <c r="R923" s="14"/>
      <c r="S923" s="14" t="s">
        <v>3903</v>
      </c>
      <c r="T923" s="14" t="s">
        <v>36</v>
      </c>
      <c r="U923" s="17"/>
      <c r="V923" s="14"/>
      <c r="W923" s="14"/>
      <c r="X923" s="18"/>
      <c r="Y923" s="18"/>
      <c r="Z923" s="18"/>
      <c r="AA923" s="19">
        <f t="shared" si="1"/>
        <v>12</v>
      </c>
      <c r="AB923" s="19" t="str">
        <f t="shared" si="2"/>
        <v/>
      </c>
    </row>
    <row r="924" ht="15.75" customHeight="1">
      <c r="A924" s="12">
        <v>45265.0</v>
      </c>
      <c r="B924" s="13" t="s">
        <v>28</v>
      </c>
      <c r="C924" s="14" t="s">
        <v>3315</v>
      </c>
      <c r="D924" s="14" t="s">
        <v>3904</v>
      </c>
      <c r="E924" s="13">
        <v>10.0</v>
      </c>
      <c r="F924" s="14">
        <v>5.0</v>
      </c>
      <c r="G924" s="14"/>
      <c r="H924" s="15" t="s">
        <v>3316</v>
      </c>
      <c r="I924" s="14"/>
      <c r="J924" s="14">
        <v>9.19520301E8</v>
      </c>
      <c r="K924" s="13" t="s">
        <v>91</v>
      </c>
      <c r="L924" s="27" t="s">
        <v>111</v>
      </c>
      <c r="M924" s="27" t="s">
        <v>13</v>
      </c>
      <c r="N924" s="14" t="b">
        <v>1</v>
      </c>
      <c r="O924" s="13" t="s">
        <v>3905</v>
      </c>
      <c r="P924" s="13" t="s">
        <v>42</v>
      </c>
      <c r="Q924" s="14"/>
      <c r="R924" s="14"/>
      <c r="S924" s="14" t="s">
        <v>3906</v>
      </c>
      <c r="T924" s="13" t="s">
        <v>129</v>
      </c>
      <c r="U924" s="17"/>
      <c r="V924" s="32">
        <v>45266.0</v>
      </c>
      <c r="W924" s="24" t="s">
        <v>3907</v>
      </c>
      <c r="X924" s="25">
        <v>6124000.0</v>
      </c>
      <c r="Y924" s="25">
        <v>356200.0</v>
      </c>
      <c r="Z924" s="25">
        <v>5767800.0</v>
      </c>
      <c r="AA924" s="19">
        <f t="shared" si="1"/>
        <v>12</v>
      </c>
      <c r="AB924" s="19" t="str">
        <f t="shared" si="2"/>
        <v/>
      </c>
    </row>
    <row r="925" ht="15.75" customHeight="1">
      <c r="A925" s="26">
        <v>45265.0</v>
      </c>
      <c r="B925" s="13" t="s">
        <v>28</v>
      </c>
      <c r="C925" s="27" t="s">
        <v>3908</v>
      </c>
      <c r="D925" s="27" t="s">
        <v>3909</v>
      </c>
      <c r="E925" s="24">
        <v>6.0</v>
      </c>
      <c r="F925" s="27">
        <v>1.0</v>
      </c>
      <c r="G925" s="27"/>
      <c r="H925" s="34" t="s">
        <v>3910</v>
      </c>
      <c r="I925" s="27"/>
      <c r="J925" s="27"/>
      <c r="K925" s="24" t="s">
        <v>91</v>
      </c>
      <c r="L925" s="27" t="s">
        <v>111</v>
      </c>
      <c r="M925" s="27" t="s">
        <v>67</v>
      </c>
      <c r="N925" s="14" t="b">
        <v>1</v>
      </c>
      <c r="O925" s="24" t="s">
        <v>3911</v>
      </c>
      <c r="P925" s="13" t="s">
        <v>69</v>
      </c>
      <c r="Q925" s="24" t="s">
        <v>91</v>
      </c>
      <c r="R925" s="27"/>
      <c r="S925" s="27" t="s">
        <v>3912</v>
      </c>
      <c r="T925" s="24" t="s">
        <v>72</v>
      </c>
      <c r="U925" s="26"/>
      <c r="V925" s="14"/>
      <c r="W925" s="14"/>
      <c r="X925" s="18"/>
      <c r="Y925" s="18"/>
      <c r="Z925" s="18"/>
      <c r="AA925" s="123">
        <f t="shared" si="1"/>
        <v>12</v>
      </c>
      <c r="AB925" s="123">
        <f t="shared" si="2"/>
        <v>12</v>
      </c>
    </row>
    <row r="926" ht="15.75" customHeight="1">
      <c r="A926" s="12">
        <v>45265.0</v>
      </c>
      <c r="B926" s="13" t="s">
        <v>28</v>
      </c>
      <c r="C926" s="14" t="s">
        <v>3913</v>
      </c>
      <c r="D926" s="14"/>
      <c r="E926" s="14"/>
      <c r="F926" s="14"/>
      <c r="G926" s="14"/>
      <c r="H926" s="15" t="s">
        <v>3914</v>
      </c>
      <c r="I926" s="14"/>
      <c r="J926" s="14"/>
      <c r="K926" s="14"/>
      <c r="L926" s="27" t="s">
        <v>111</v>
      </c>
      <c r="M926" s="27" t="s">
        <v>216</v>
      </c>
      <c r="N926" s="14" t="b">
        <v>0</v>
      </c>
      <c r="O926" s="14"/>
      <c r="P926" s="14"/>
      <c r="Q926" s="14"/>
      <c r="R926" s="14"/>
      <c r="S926" s="14" t="s">
        <v>3915</v>
      </c>
      <c r="T926" s="14" t="s">
        <v>36</v>
      </c>
      <c r="U926" s="17"/>
      <c r="V926" s="32">
        <v>45268.0</v>
      </c>
      <c r="W926" s="24" t="s">
        <v>83</v>
      </c>
      <c r="X926" s="25">
        <v>5784000.0</v>
      </c>
      <c r="Y926" s="25">
        <v>578400.0</v>
      </c>
      <c r="Z926" s="25">
        <v>5205600.0</v>
      </c>
      <c r="AA926" s="19">
        <f t="shared" si="1"/>
        <v>12</v>
      </c>
      <c r="AB926" s="19" t="str">
        <f t="shared" si="2"/>
        <v/>
      </c>
    </row>
    <row r="927" ht="15.75" customHeight="1">
      <c r="A927" s="26">
        <v>45265.0</v>
      </c>
      <c r="B927" s="27" t="s">
        <v>201</v>
      </c>
      <c r="C927" s="24" t="s">
        <v>3916</v>
      </c>
      <c r="D927" s="27" t="s">
        <v>3917</v>
      </c>
      <c r="E927" s="24">
        <v>8.0</v>
      </c>
      <c r="F927" s="27">
        <v>3.0</v>
      </c>
      <c r="G927" s="27"/>
      <c r="H927" s="34" t="s">
        <v>3918</v>
      </c>
      <c r="I927" s="27"/>
      <c r="J927" s="27"/>
      <c r="K927" s="24" t="s">
        <v>91</v>
      </c>
      <c r="L927" s="27" t="s">
        <v>111</v>
      </c>
      <c r="M927" s="27" t="s">
        <v>67</v>
      </c>
      <c r="N927" s="14" t="b">
        <v>1</v>
      </c>
      <c r="O927" s="27" t="s">
        <v>3919</v>
      </c>
      <c r="P927" s="13" t="s">
        <v>42</v>
      </c>
      <c r="Q927" s="24" t="s">
        <v>91</v>
      </c>
      <c r="R927" s="27"/>
      <c r="S927" s="27" t="s">
        <v>3920</v>
      </c>
      <c r="T927" s="24" t="s">
        <v>72</v>
      </c>
      <c r="U927" s="26"/>
      <c r="V927" s="32">
        <v>45268.0</v>
      </c>
      <c r="W927" s="27" t="s">
        <v>3921</v>
      </c>
      <c r="X927" s="25">
        <v>1400000.0</v>
      </c>
      <c r="Y927" s="25">
        <v>70000.0</v>
      </c>
      <c r="Z927" s="25">
        <v>1330000.0</v>
      </c>
      <c r="AA927" s="123">
        <f t="shared" si="1"/>
        <v>12</v>
      </c>
      <c r="AB927" s="123">
        <f t="shared" si="2"/>
        <v>12</v>
      </c>
    </row>
    <row r="928" ht="15.75" customHeight="1">
      <c r="A928" s="26">
        <v>45265.0</v>
      </c>
      <c r="B928" s="27" t="s">
        <v>84</v>
      </c>
      <c r="C928" s="27" t="s">
        <v>3922</v>
      </c>
      <c r="D928" s="27" t="s">
        <v>3923</v>
      </c>
      <c r="E928" s="24">
        <v>6.0</v>
      </c>
      <c r="F928" s="27">
        <v>1.0</v>
      </c>
      <c r="G928" s="27"/>
      <c r="H928" s="34" t="s">
        <v>3924</v>
      </c>
      <c r="I928" s="27"/>
      <c r="J928" s="27"/>
      <c r="K928" s="24" t="s">
        <v>91</v>
      </c>
      <c r="L928" s="27" t="s">
        <v>111</v>
      </c>
      <c r="M928" s="27" t="s">
        <v>67</v>
      </c>
      <c r="N928" s="14" t="b">
        <v>1</v>
      </c>
      <c r="O928" s="27" t="s">
        <v>3925</v>
      </c>
      <c r="P928" s="13" t="s">
        <v>42</v>
      </c>
      <c r="Q928" s="24" t="s">
        <v>3921</v>
      </c>
      <c r="R928" s="27"/>
      <c r="S928" s="27" t="s">
        <v>3926</v>
      </c>
      <c r="T928" s="24" t="s">
        <v>72</v>
      </c>
      <c r="U928" s="26"/>
      <c r="V928" s="14"/>
      <c r="W928" s="14"/>
      <c r="X928" s="18"/>
      <c r="Y928" s="18"/>
      <c r="Z928" s="18"/>
      <c r="AA928" s="123">
        <f t="shared" si="1"/>
        <v>12</v>
      </c>
      <c r="AB928" s="123">
        <f t="shared" si="2"/>
        <v>12</v>
      </c>
    </row>
    <row r="929" ht="15.75" customHeight="1">
      <c r="A929" s="12">
        <v>45267.0</v>
      </c>
      <c r="B929" s="14" t="s">
        <v>340</v>
      </c>
      <c r="C929" s="14"/>
      <c r="D929" s="14" t="s">
        <v>3927</v>
      </c>
      <c r="E929" s="13">
        <v>29.0</v>
      </c>
      <c r="F929" s="14"/>
      <c r="G929" s="14"/>
      <c r="H929" s="15" t="s">
        <v>3928</v>
      </c>
      <c r="I929" s="14"/>
      <c r="J929" s="14"/>
      <c r="K929" s="14" t="s">
        <v>3929</v>
      </c>
      <c r="L929" s="27" t="s">
        <v>111</v>
      </c>
      <c r="M929" s="27" t="s">
        <v>34</v>
      </c>
      <c r="N929" s="14" t="b">
        <v>0</v>
      </c>
      <c r="O929" s="14"/>
      <c r="P929" s="14"/>
      <c r="Q929" s="14"/>
      <c r="R929" s="14"/>
      <c r="S929" s="13" t="s">
        <v>3930</v>
      </c>
      <c r="T929" s="14" t="s">
        <v>36</v>
      </c>
      <c r="U929" s="17"/>
      <c r="V929" s="14"/>
      <c r="W929" s="14"/>
      <c r="X929" s="18"/>
      <c r="Y929" s="18"/>
      <c r="Z929" s="18"/>
      <c r="AA929" s="19">
        <f t="shared" si="1"/>
        <v>12</v>
      </c>
      <c r="AB929" s="19" t="str">
        <f t="shared" si="2"/>
        <v/>
      </c>
    </row>
    <row r="930" ht="15.75" customHeight="1">
      <c r="A930" s="12">
        <v>45267.0</v>
      </c>
      <c r="B930" s="14" t="s">
        <v>201</v>
      </c>
      <c r="C930" s="14"/>
      <c r="D930" s="14" t="s">
        <v>3931</v>
      </c>
      <c r="E930" s="14"/>
      <c r="F930" s="14"/>
      <c r="G930" s="14"/>
      <c r="H930" s="15" t="s">
        <v>3932</v>
      </c>
      <c r="I930" s="14"/>
      <c r="J930" s="14"/>
      <c r="K930" s="13" t="s">
        <v>399</v>
      </c>
      <c r="L930" s="27" t="s">
        <v>111</v>
      </c>
      <c r="M930" s="27" t="s">
        <v>565</v>
      </c>
      <c r="N930" s="14" t="b">
        <v>0</v>
      </c>
      <c r="O930" s="14"/>
      <c r="P930" s="14"/>
      <c r="Q930" s="14"/>
      <c r="R930" s="14"/>
      <c r="S930" s="14" t="s">
        <v>3933</v>
      </c>
      <c r="T930" s="13" t="s">
        <v>229</v>
      </c>
      <c r="U930" s="17"/>
      <c r="V930" s="14"/>
      <c r="W930" s="14"/>
      <c r="X930" s="18"/>
      <c r="Y930" s="18"/>
      <c r="Z930" s="18"/>
      <c r="AA930" s="19">
        <f t="shared" si="1"/>
        <v>12</v>
      </c>
      <c r="AB930" s="19" t="str">
        <f t="shared" si="2"/>
        <v/>
      </c>
    </row>
    <row r="931" ht="15.75" customHeight="1">
      <c r="A931" s="12">
        <v>45267.0</v>
      </c>
      <c r="B931" s="14" t="s">
        <v>201</v>
      </c>
      <c r="C931" s="14"/>
      <c r="D931" s="14" t="s">
        <v>3931</v>
      </c>
      <c r="E931" s="13">
        <v>10.0</v>
      </c>
      <c r="F931" s="14">
        <v>5.0</v>
      </c>
      <c r="G931" s="14"/>
      <c r="H931" s="15" t="s">
        <v>3932</v>
      </c>
      <c r="I931" s="14"/>
      <c r="J931" s="14"/>
      <c r="K931" s="13" t="s">
        <v>91</v>
      </c>
      <c r="L931" s="27" t="s">
        <v>111</v>
      </c>
      <c r="M931" s="27" t="s">
        <v>565</v>
      </c>
      <c r="N931" s="14" t="b">
        <v>0</v>
      </c>
      <c r="O931" s="14"/>
      <c r="P931" s="14"/>
      <c r="Q931" s="14"/>
      <c r="R931" s="14"/>
      <c r="S931" s="14" t="s">
        <v>3933</v>
      </c>
      <c r="T931" s="13" t="s">
        <v>229</v>
      </c>
      <c r="U931" s="17"/>
      <c r="V931" s="14"/>
      <c r="W931" s="14"/>
      <c r="X931" s="18"/>
      <c r="Y931" s="18"/>
      <c r="Z931" s="18"/>
      <c r="AA931" s="19">
        <f t="shared" si="1"/>
        <v>12</v>
      </c>
      <c r="AB931" s="19" t="str">
        <f t="shared" si="2"/>
        <v/>
      </c>
    </row>
    <row r="932" ht="15.75" customHeight="1">
      <c r="A932" s="12">
        <v>45267.0</v>
      </c>
      <c r="B932" s="14" t="s">
        <v>201</v>
      </c>
      <c r="C932" s="13" t="s">
        <v>3934</v>
      </c>
      <c r="D932" s="14" t="s">
        <v>3935</v>
      </c>
      <c r="E932" s="13">
        <v>5.0</v>
      </c>
      <c r="F932" s="14">
        <v>1.0</v>
      </c>
      <c r="G932" s="14"/>
      <c r="H932" s="15" t="s">
        <v>3936</v>
      </c>
      <c r="I932" s="14"/>
      <c r="J932" s="14"/>
      <c r="K932" s="13" t="s">
        <v>91</v>
      </c>
      <c r="L932" s="27" t="s">
        <v>111</v>
      </c>
      <c r="M932" s="27" t="s">
        <v>13</v>
      </c>
      <c r="N932" s="14" t="b">
        <v>1</v>
      </c>
      <c r="O932" s="100" t="s">
        <v>3937</v>
      </c>
      <c r="P932" s="13" t="s">
        <v>69</v>
      </c>
      <c r="Q932" s="14"/>
      <c r="R932" s="14"/>
      <c r="S932" s="14" t="s">
        <v>3938</v>
      </c>
      <c r="T932" s="13" t="s">
        <v>129</v>
      </c>
      <c r="U932" s="17"/>
      <c r="V932" s="14"/>
      <c r="W932" s="14"/>
      <c r="X932" s="18"/>
      <c r="Y932" s="18"/>
      <c r="Z932" s="18"/>
      <c r="AA932" s="19">
        <f t="shared" si="1"/>
        <v>12</v>
      </c>
      <c r="AB932" s="218"/>
    </row>
    <row r="933" ht="15.75" customHeight="1">
      <c r="A933" s="12">
        <v>45268.0</v>
      </c>
      <c r="B933" s="13" t="s">
        <v>28</v>
      </c>
      <c r="C933" s="14" t="s">
        <v>3939</v>
      </c>
      <c r="D933" s="14" t="s">
        <v>3940</v>
      </c>
      <c r="E933" s="13">
        <v>9.0</v>
      </c>
      <c r="F933" s="14">
        <v>4.0</v>
      </c>
      <c r="G933" s="14"/>
      <c r="H933" s="15" t="s">
        <v>3941</v>
      </c>
      <c r="I933" s="14"/>
      <c r="J933" s="14"/>
      <c r="K933" s="14"/>
      <c r="L933" s="27" t="s">
        <v>111</v>
      </c>
      <c r="M933" s="27" t="s">
        <v>13</v>
      </c>
      <c r="N933" s="14" t="b">
        <v>1</v>
      </c>
      <c r="O933" s="100" t="s">
        <v>3942</v>
      </c>
      <c r="P933" s="13" t="s">
        <v>69</v>
      </c>
      <c r="Q933" s="14"/>
      <c r="R933" s="14"/>
      <c r="S933" s="14" t="s">
        <v>3943</v>
      </c>
      <c r="T933" s="13" t="s">
        <v>129</v>
      </c>
      <c r="U933" s="17"/>
      <c r="V933" s="14"/>
      <c r="W933" s="14"/>
      <c r="X933" s="18"/>
      <c r="Y933" s="18"/>
      <c r="Z933" s="18"/>
      <c r="AA933" s="19">
        <f t="shared" si="1"/>
        <v>12</v>
      </c>
      <c r="AB933" s="218"/>
    </row>
    <row r="934" ht="15.75" customHeight="1">
      <c r="A934" s="12">
        <v>45271.0</v>
      </c>
      <c r="B934" s="24" t="s">
        <v>28</v>
      </c>
      <c r="C934" s="14" t="s">
        <v>3944</v>
      </c>
      <c r="D934" s="219"/>
      <c r="E934" s="14"/>
      <c r="F934" s="14"/>
      <c r="G934" s="14"/>
      <c r="H934" s="152" t="s">
        <v>3945</v>
      </c>
      <c r="I934" s="14"/>
      <c r="J934" s="14"/>
      <c r="K934" s="13" t="s">
        <v>399</v>
      </c>
      <c r="L934" s="27" t="s">
        <v>111</v>
      </c>
      <c r="M934" s="27" t="s">
        <v>565</v>
      </c>
      <c r="N934" s="14" t="b">
        <v>0</v>
      </c>
      <c r="O934" s="14"/>
      <c r="P934" s="14"/>
      <c r="Q934" s="14"/>
      <c r="R934" s="14"/>
      <c r="S934" s="14" t="s">
        <v>3946</v>
      </c>
      <c r="T934" s="13" t="s">
        <v>129</v>
      </c>
      <c r="U934" s="17"/>
      <c r="V934" s="14"/>
      <c r="W934" s="14"/>
      <c r="X934" s="18"/>
      <c r="Y934" s="18"/>
      <c r="Z934" s="18"/>
      <c r="AA934" s="19">
        <f t="shared" si="1"/>
        <v>12</v>
      </c>
      <c r="AB934" s="218"/>
    </row>
    <row r="935" ht="15.75" customHeight="1">
      <c r="A935" s="12">
        <v>45104.0</v>
      </c>
      <c r="B935" s="14" t="s">
        <v>60</v>
      </c>
      <c r="C935" s="13" t="s">
        <v>3947</v>
      </c>
      <c r="D935" s="14" t="s">
        <v>3948</v>
      </c>
      <c r="E935" s="13">
        <v>11.0</v>
      </c>
      <c r="F935" s="14" t="s">
        <v>297</v>
      </c>
      <c r="G935" s="14"/>
      <c r="H935" s="121" t="s">
        <v>3949</v>
      </c>
      <c r="I935" s="14"/>
      <c r="J935" s="14"/>
      <c r="K935" s="14" t="s">
        <v>3950</v>
      </c>
      <c r="L935" s="27" t="s">
        <v>111</v>
      </c>
      <c r="M935" s="14" t="s">
        <v>34</v>
      </c>
      <c r="N935" s="14" t="b">
        <v>1</v>
      </c>
      <c r="O935" s="100" t="s">
        <v>3951</v>
      </c>
      <c r="P935" s="13" t="s">
        <v>42</v>
      </c>
      <c r="Q935" s="14"/>
      <c r="R935" s="14"/>
      <c r="S935" s="14" t="s">
        <v>3952</v>
      </c>
      <c r="T935" s="13" t="s">
        <v>129</v>
      </c>
      <c r="U935" s="17"/>
      <c r="V935" s="32">
        <v>45282.0</v>
      </c>
      <c r="W935" s="24" t="s">
        <v>83</v>
      </c>
      <c r="X935" s="25">
        <v>6124000.0</v>
      </c>
      <c r="Y935" s="25">
        <v>600000.0</v>
      </c>
      <c r="Z935" s="25">
        <v>5524000.0</v>
      </c>
      <c r="AA935" s="19">
        <f t="shared" si="1"/>
        <v>6</v>
      </c>
      <c r="AB935" s="19" t="str">
        <f t="shared" ref="AB935:AB936" si="7">if(V934="","", month(V934))</f>
        <v/>
      </c>
    </row>
    <row r="936" ht="15.75" customHeight="1">
      <c r="A936" s="26">
        <v>45104.0</v>
      </c>
      <c r="B936" s="27" t="s">
        <v>60</v>
      </c>
      <c r="C936" s="24" t="s">
        <v>3947</v>
      </c>
      <c r="D936" s="27" t="s">
        <v>3953</v>
      </c>
      <c r="E936" s="24">
        <v>10.0</v>
      </c>
      <c r="F936" s="27" t="s">
        <v>155</v>
      </c>
      <c r="G936" s="27"/>
      <c r="H936" s="65" t="s">
        <v>3949</v>
      </c>
      <c r="I936" s="27"/>
      <c r="J936" s="27"/>
      <c r="K936" s="27" t="s">
        <v>3954</v>
      </c>
      <c r="L936" s="27" t="s">
        <v>111</v>
      </c>
      <c r="M936" s="27" t="s">
        <v>67</v>
      </c>
      <c r="N936" s="27" t="b">
        <v>1</v>
      </c>
      <c r="O936" s="24" t="s">
        <v>3955</v>
      </c>
      <c r="P936" s="13" t="s">
        <v>42</v>
      </c>
      <c r="Q936" s="24" t="s">
        <v>91</v>
      </c>
      <c r="R936" s="27"/>
      <c r="S936" s="27" t="s">
        <v>3956</v>
      </c>
      <c r="T936" s="24" t="s">
        <v>72</v>
      </c>
      <c r="U936" s="26"/>
      <c r="V936" s="14"/>
      <c r="W936" s="14"/>
      <c r="X936" s="18"/>
      <c r="Y936" s="18"/>
      <c r="Z936" s="18"/>
      <c r="AA936" s="123">
        <f t="shared" si="1"/>
        <v>6</v>
      </c>
      <c r="AB936" s="123">
        <f t="shared" si="7"/>
        <v>12</v>
      </c>
    </row>
    <row r="937" ht="15.75" customHeight="1">
      <c r="A937" s="12">
        <v>45273.0</v>
      </c>
      <c r="B937" s="13" t="s">
        <v>28</v>
      </c>
      <c r="C937" s="14" t="s">
        <v>3957</v>
      </c>
      <c r="D937" s="220"/>
      <c r="E937" s="14"/>
      <c r="F937" s="14"/>
      <c r="G937" s="14"/>
      <c r="H937" s="214" t="s">
        <v>3958</v>
      </c>
      <c r="I937" s="14"/>
      <c r="J937" s="14"/>
      <c r="K937" s="14" t="s">
        <v>3959</v>
      </c>
      <c r="L937" s="27" t="s">
        <v>111</v>
      </c>
      <c r="M937" s="14" t="s">
        <v>216</v>
      </c>
      <c r="N937" s="14" t="b">
        <v>0</v>
      </c>
      <c r="O937" s="14"/>
      <c r="P937" s="14"/>
      <c r="Q937" s="14"/>
      <c r="R937" s="14"/>
      <c r="S937" s="14" t="s">
        <v>3960</v>
      </c>
      <c r="T937" s="14" t="s">
        <v>36</v>
      </c>
      <c r="U937" s="17"/>
      <c r="V937" s="14"/>
      <c r="W937" s="14"/>
      <c r="X937" s="18"/>
      <c r="Y937" s="18"/>
      <c r="Z937" s="18"/>
      <c r="AA937" s="19">
        <f t="shared" si="1"/>
        <v>12</v>
      </c>
      <c r="AB937" s="218"/>
    </row>
    <row r="938" ht="15.75" customHeight="1">
      <c r="A938" s="12">
        <v>45276.0</v>
      </c>
      <c r="B938" s="13" t="s">
        <v>28</v>
      </c>
      <c r="C938" s="14" t="s">
        <v>3961</v>
      </c>
      <c r="D938" s="14"/>
      <c r="E938" s="13">
        <v>4.0</v>
      </c>
      <c r="F938" s="14"/>
      <c r="G938" s="14"/>
      <c r="H938" s="214" t="s">
        <v>3962</v>
      </c>
      <c r="I938" s="14"/>
      <c r="J938" s="14"/>
      <c r="K938" s="14" t="s">
        <v>3963</v>
      </c>
      <c r="L938" s="27" t="s">
        <v>111</v>
      </c>
      <c r="M938" s="14" t="s">
        <v>565</v>
      </c>
      <c r="N938" s="14" t="b">
        <v>0</v>
      </c>
      <c r="O938" s="14"/>
      <c r="P938" s="14"/>
      <c r="Q938" s="14"/>
      <c r="R938" s="14"/>
      <c r="S938" s="14" t="s">
        <v>3964</v>
      </c>
      <c r="T938" s="14" t="s">
        <v>36</v>
      </c>
      <c r="U938" s="17"/>
      <c r="V938" s="14"/>
      <c r="W938" s="14"/>
      <c r="X938" s="18"/>
      <c r="Y938" s="18"/>
      <c r="Z938" s="18"/>
      <c r="AA938" s="19">
        <f t="shared" si="1"/>
        <v>12</v>
      </c>
      <c r="AB938" s="218"/>
    </row>
    <row r="939" ht="15.75" customHeight="1">
      <c r="A939" s="12">
        <v>45280.0</v>
      </c>
      <c r="B939" s="13" t="s">
        <v>28</v>
      </c>
      <c r="C939" s="14" t="s">
        <v>3965</v>
      </c>
      <c r="D939" s="14"/>
      <c r="E939" s="13">
        <v>9.0</v>
      </c>
      <c r="F939" s="14"/>
      <c r="G939" s="14"/>
      <c r="H939" s="214" t="s">
        <v>3966</v>
      </c>
      <c r="I939" s="14"/>
      <c r="J939" s="14"/>
      <c r="K939" s="13" t="s">
        <v>3967</v>
      </c>
      <c r="L939" s="27" t="s">
        <v>111</v>
      </c>
      <c r="M939" s="14" t="s">
        <v>216</v>
      </c>
      <c r="N939" s="14" t="b">
        <v>0</v>
      </c>
      <c r="O939" s="14"/>
      <c r="P939" s="14"/>
      <c r="Q939" s="14"/>
      <c r="R939" s="14"/>
      <c r="S939" s="14" t="s">
        <v>3968</v>
      </c>
      <c r="T939" s="13" t="s">
        <v>129</v>
      </c>
      <c r="U939" s="17"/>
      <c r="V939" s="14"/>
      <c r="W939" s="14"/>
      <c r="X939" s="18"/>
      <c r="Y939" s="18"/>
      <c r="Z939" s="18"/>
      <c r="AA939" s="19">
        <f t="shared" si="1"/>
        <v>12</v>
      </c>
      <c r="AB939" s="218"/>
    </row>
    <row r="940" ht="15.75" customHeight="1">
      <c r="A940" s="12">
        <v>45280.0</v>
      </c>
      <c r="B940" s="14" t="s">
        <v>73</v>
      </c>
      <c r="C940" s="14" t="s">
        <v>3969</v>
      </c>
      <c r="D940" s="14"/>
      <c r="E940" s="13">
        <v>10.0</v>
      </c>
      <c r="F940" s="14">
        <v>5.0</v>
      </c>
      <c r="G940" s="14"/>
      <c r="H940" s="15"/>
      <c r="I940" s="14"/>
      <c r="J940" s="14"/>
      <c r="K940" s="14" t="s">
        <v>3970</v>
      </c>
      <c r="L940" s="27" t="s">
        <v>111</v>
      </c>
      <c r="M940" s="14" t="s">
        <v>565</v>
      </c>
      <c r="N940" s="14" t="b">
        <v>0</v>
      </c>
      <c r="O940" s="14"/>
      <c r="P940" s="14"/>
      <c r="Q940" s="14"/>
      <c r="R940" s="14"/>
      <c r="S940" s="14" t="s">
        <v>3971</v>
      </c>
      <c r="T940" s="13" t="s">
        <v>129</v>
      </c>
      <c r="U940" s="17"/>
      <c r="V940" s="14"/>
      <c r="W940" s="14"/>
      <c r="X940" s="18"/>
      <c r="Y940" s="18"/>
      <c r="Z940" s="18"/>
      <c r="AA940" s="19">
        <f t="shared" si="1"/>
        <v>12</v>
      </c>
      <c r="AB940" s="218"/>
    </row>
    <row r="941" ht="15.75" customHeight="1">
      <c r="A941" s="12">
        <v>45285.0</v>
      </c>
      <c r="B941" s="13" t="s">
        <v>28</v>
      </c>
      <c r="C941" s="14" t="s">
        <v>3972</v>
      </c>
      <c r="D941" s="14" t="s">
        <v>3973</v>
      </c>
      <c r="E941" s="13">
        <v>9.0</v>
      </c>
      <c r="F941" s="14">
        <v>4.0</v>
      </c>
      <c r="G941" s="14"/>
      <c r="H941" s="214" t="s">
        <v>3974</v>
      </c>
      <c r="I941" s="14"/>
      <c r="J941" s="14"/>
      <c r="K941" s="14" t="s">
        <v>3975</v>
      </c>
      <c r="L941" s="27" t="s">
        <v>111</v>
      </c>
      <c r="M941" s="14" t="s">
        <v>565</v>
      </c>
      <c r="N941" s="14" t="b">
        <v>0</v>
      </c>
      <c r="O941" s="14"/>
      <c r="P941" s="14"/>
      <c r="Q941" s="14"/>
      <c r="R941" s="14"/>
      <c r="S941" s="14" t="s">
        <v>3976</v>
      </c>
      <c r="T941" s="13" t="s">
        <v>129</v>
      </c>
      <c r="U941" s="17">
        <v>45293.0</v>
      </c>
      <c r="V941" s="14"/>
      <c r="W941" s="14"/>
      <c r="X941" s="18"/>
      <c r="Y941" s="18"/>
      <c r="Z941" s="18"/>
      <c r="AA941" s="19">
        <f t="shared" si="1"/>
        <v>12</v>
      </c>
      <c r="AB941" s="218"/>
    </row>
    <row r="942" ht="15.75" customHeight="1">
      <c r="A942" s="12">
        <v>45286.0</v>
      </c>
      <c r="B942" s="13" t="s">
        <v>28</v>
      </c>
      <c r="C942" s="14"/>
      <c r="D942" s="13" t="s">
        <v>3977</v>
      </c>
      <c r="E942" s="14"/>
      <c r="F942" s="14"/>
      <c r="G942" s="14"/>
      <c r="H942" s="15" t="s">
        <v>3978</v>
      </c>
      <c r="I942" s="14"/>
      <c r="J942" s="14"/>
      <c r="K942" s="14" t="s">
        <v>3979</v>
      </c>
      <c r="L942" s="27" t="s">
        <v>111</v>
      </c>
      <c r="M942" s="14" t="s">
        <v>565</v>
      </c>
      <c r="N942" s="14" t="b">
        <v>0</v>
      </c>
      <c r="O942" s="14"/>
      <c r="P942" s="14"/>
      <c r="Q942" s="14"/>
      <c r="R942" s="14"/>
      <c r="S942" s="14" t="s">
        <v>3980</v>
      </c>
      <c r="T942" s="13" t="s">
        <v>129</v>
      </c>
      <c r="U942" s="17"/>
      <c r="V942" s="14"/>
      <c r="W942" s="14"/>
      <c r="X942" s="18"/>
      <c r="Y942" s="18"/>
      <c r="Z942" s="18"/>
      <c r="AA942" s="19">
        <f t="shared" si="1"/>
        <v>12</v>
      </c>
      <c r="AB942" s="218"/>
    </row>
    <row r="943" ht="15.75" customHeight="1">
      <c r="A943" s="12">
        <v>45287.0</v>
      </c>
      <c r="B943" s="13" t="s">
        <v>28</v>
      </c>
      <c r="C943" s="14"/>
      <c r="D943" s="13" t="s">
        <v>3981</v>
      </c>
      <c r="E943" s="14"/>
      <c r="F943" s="14"/>
      <c r="G943" s="14"/>
      <c r="H943" s="15" t="s">
        <v>3982</v>
      </c>
      <c r="I943" s="14"/>
      <c r="J943" s="14"/>
      <c r="K943" s="14" t="s">
        <v>3979</v>
      </c>
      <c r="L943" s="27" t="s">
        <v>111</v>
      </c>
      <c r="M943" s="14" t="s">
        <v>216</v>
      </c>
      <c r="N943" s="14" t="b">
        <v>0</v>
      </c>
      <c r="O943" s="14"/>
      <c r="P943" s="14"/>
      <c r="Q943" s="14"/>
      <c r="R943" s="14"/>
      <c r="S943" s="14" t="s">
        <v>3983</v>
      </c>
      <c r="T943" s="14" t="s">
        <v>36</v>
      </c>
      <c r="U943" s="17"/>
      <c r="V943" s="14"/>
      <c r="W943" s="14"/>
      <c r="X943" s="18"/>
      <c r="Y943" s="18"/>
      <c r="Z943" s="18"/>
      <c r="AA943" s="19">
        <f t="shared" si="1"/>
        <v>12</v>
      </c>
      <c r="AB943" s="218"/>
    </row>
    <row r="944" ht="15.75" customHeight="1">
      <c r="A944" s="12">
        <v>45287.0</v>
      </c>
      <c r="B944" s="13" t="s">
        <v>28</v>
      </c>
      <c r="C944" s="13" t="s">
        <v>3984</v>
      </c>
      <c r="D944" s="14"/>
      <c r="E944" s="14"/>
      <c r="F944" s="14"/>
      <c r="G944" s="14"/>
      <c r="H944" s="15" t="s">
        <v>3985</v>
      </c>
      <c r="I944" s="14"/>
      <c r="J944" s="14"/>
      <c r="K944" s="14" t="s">
        <v>3979</v>
      </c>
      <c r="L944" s="27" t="s">
        <v>111</v>
      </c>
      <c r="M944" s="14" t="s">
        <v>216</v>
      </c>
      <c r="N944" s="14" t="b">
        <v>0</v>
      </c>
      <c r="O944" s="14"/>
      <c r="P944" s="14"/>
      <c r="Q944" s="14"/>
      <c r="R944" s="14"/>
      <c r="S944" s="14" t="s">
        <v>3986</v>
      </c>
      <c r="T944" s="14" t="s">
        <v>36</v>
      </c>
      <c r="U944" s="17"/>
      <c r="V944" s="14"/>
      <c r="W944" s="14"/>
      <c r="X944" s="18"/>
      <c r="Y944" s="18"/>
      <c r="Z944" s="18"/>
      <c r="AA944" s="19">
        <f t="shared" si="1"/>
        <v>12</v>
      </c>
      <c r="AB944" s="218"/>
    </row>
    <row r="945" ht="15.75" customHeight="1">
      <c r="A945" s="12">
        <v>45288.0</v>
      </c>
      <c r="B945" s="13" t="s">
        <v>28</v>
      </c>
      <c r="C945" s="14" t="s">
        <v>3987</v>
      </c>
      <c r="D945" s="14" t="s">
        <v>3987</v>
      </c>
      <c r="E945" s="13">
        <v>16.0</v>
      </c>
      <c r="F945" s="14">
        <v>11.0</v>
      </c>
      <c r="G945" s="14"/>
      <c r="H945" s="214" t="s">
        <v>3988</v>
      </c>
      <c r="I945" s="14"/>
      <c r="J945" s="14"/>
      <c r="K945" s="14" t="s">
        <v>3989</v>
      </c>
      <c r="L945" s="27" t="s">
        <v>111</v>
      </c>
      <c r="M945" s="14" t="s">
        <v>565</v>
      </c>
      <c r="N945" s="14" t="b">
        <v>0</v>
      </c>
      <c r="O945" s="14"/>
      <c r="P945" s="14"/>
      <c r="Q945" s="14"/>
      <c r="R945" s="14"/>
      <c r="S945" s="14" t="s">
        <v>3990</v>
      </c>
      <c r="T945" s="13" t="s">
        <v>129</v>
      </c>
      <c r="U945" s="17"/>
      <c r="V945" s="14"/>
      <c r="W945" s="14"/>
      <c r="X945" s="18"/>
      <c r="Y945" s="18"/>
      <c r="Z945" s="18"/>
      <c r="AA945" s="19">
        <f t="shared" si="1"/>
        <v>12</v>
      </c>
      <c r="AB945" s="218"/>
    </row>
    <row r="946" ht="15.75" customHeight="1">
      <c r="A946" s="12">
        <v>45288.0</v>
      </c>
      <c r="B946" s="24" t="s">
        <v>28</v>
      </c>
      <c r="C946" s="14" t="s">
        <v>3991</v>
      </c>
      <c r="D946" s="14"/>
      <c r="E946" s="14"/>
      <c r="F946" s="14"/>
      <c r="G946" s="14"/>
      <c r="H946" s="214" t="s">
        <v>3992</v>
      </c>
      <c r="I946" s="14"/>
      <c r="J946" s="14"/>
      <c r="K946" s="14" t="s">
        <v>3993</v>
      </c>
      <c r="L946" s="27" t="s">
        <v>111</v>
      </c>
      <c r="M946" s="14" t="s">
        <v>565</v>
      </c>
      <c r="N946" s="14" t="b">
        <v>0</v>
      </c>
      <c r="O946" s="14"/>
      <c r="P946" s="14"/>
      <c r="Q946" s="14"/>
      <c r="R946" s="14"/>
      <c r="S946" s="14" t="s">
        <v>3994</v>
      </c>
      <c r="T946" s="13" t="s">
        <v>129</v>
      </c>
      <c r="U946" s="17"/>
      <c r="V946" s="14"/>
      <c r="W946" s="14"/>
      <c r="X946" s="18"/>
      <c r="Y946" s="18"/>
      <c r="Z946" s="18"/>
      <c r="AA946" s="19">
        <f t="shared" si="1"/>
        <v>12</v>
      </c>
      <c r="AB946" s="218"/>
    </row>
    <row r="947" ht="15.75" customHeight="1">
      <c r="A947" s="12">
        <v>45288.0</v>
      </c>
      <c r="B947" s="13" t="s">
        <v>28</v>
      </c>
      <c r="C947" s="14" t="s">
        <v>3995</v>
      </c>
      <c r="D947" s="14" t="s">
        <v>3996</v>
      </c>
      <c r="E947" s="13">
        <v>8.0</v>
      </c>
      <c r="F947" s="14">
        <v>3.0</v>
      </c>
      <c r="G947" s="14" t="s">
        <v>64</v>
      </c>
      <c r="H947" s="221" t="s">
        <v>688</v>
      </c>
      <c r="I947" s="14"/>
      <c r="J947" s="14"/>
      <c r="K947" s="14"/>
      <c r="L947" s="27" t="s">
        <v>111</v>
      </c>
      <c r="M947" s="14" t="s">
        <v>565</v>
      </c>
      <c r="N947" s="14" t="b">
        <v>0</v>
      </c>
      <c r="O947" s="14"/>
      <c r="P947" s="14"/>
      <c r="Q947" s="14"/>
      <c r="R947" s="14"/>
      <c r="S947" s="14" t="s">
        <v>3997</v>
      </c>
      <c r="T947" s="13" t="s">
        <v>129</v>
      </c>
      <c r="U947" s="17">
        <v>45294.0</v>
      </c>
      <c r="V947" s="14"/>
      <c r="W947" s="14"/>
      <c r="X947" s="18"/>
      <c r="Y947" s="18"/>
      <c r="Z947" s="18"/>
      <c r="AA947" s="19">
        <f t="shared" si="1"/>
        <v>12</v>
      </c>
      <c r="AB947" s="218"/>
    </row>
    <row r="948" ht="15.75" customHeight="1">
      <c r="A948" s="12">
        <v>45288.0</v>
      </c>
      <c r="B948" s="13" t="s">
        <v>28</v>
      </c>
      <c r="C948" s="14" t="s">
        <v>3998</v>
      </c>
      <c r="D948" s="14"/>
      <c r="E948" s="14"/>
      <c r="F948" s="14"/>
      <c r="G948" s="14"/>
      <c r="H948" s="15" t="s">
        <v>3999</v>
      </c>
      <c r="I948" s="14"/>
      <c r="J948" s="14"/>
      <c r="K948" s="14" t="s">
        <v>2233</v>
      </c>
      <c r="L948" s="27" t="s">
        <v>111</v>
      </c>
      <c r="M948" s="14" t="s">
        <v>216</v>
      </c>
      <c r="N948" s="14" t="b">
        <v>0</v>
      </c>
      <c r="O948" s="14"/>
      <c r="P948" s="14"/>
      <c r="Q948" s="14"/>
      <c r="R948" s="14"/>
      <c r="S948" s="14" t="s">
        <v>4000</v>
      </c>
      <c r="T948" s="13" t="s">
        <v>129</v>
      </c>
      <c r="U948" s="17"/>
      <c r="V948" s="14"/>
      <c r="W948" s="14"/>
      <c r="X948" s="18"/>
      <c r="Y948" s="18"/>
      <c r="Z948" s="18"/>
      <c r="AA948" s="19">
        <f t="shared" si="1"/>
        <v>12</v>
      </c>
      <c r="AB948" s="218"/>
    </row>
    <row r="949" ht="15.75" customHeight="1">
      <c r="A949" s="12">
        <v>45288.0</v>
      </c>
      <c r="B949" s="13" t="s">
        <v>28</v>
      </c>
      <c r="C949" s="14" t="s">
        <v>4001</v>
      </c>
      <c r="D949" s="14"/>
      <c r="E949" s="14"/>
      <c r="F949" s="14"/>
      <c r="G949" s="14"/>
      <c r="H949" s="15" t="s">
        <v>4002</v>
      </c>
      <c r="I949" s="14"/>
      <c r="J949" s="14"/>
      <c r="K949" s="14" t="s">
        <v>2233</v>
      </c>
      <c r="L949" s="27" t="s">
        <v>111</v>
      </c>
      <c r="M949" s="14" t="s">
        <v>216</v>
      </c>
      <c r="N949" s="14" t="b">
        <v>0</v>
      </c>
      <c r="O949" s="14"/>
      <c r="P949" s="14"/>
      <c r="Q949" s="14"/>
      <c r="R949" s="14"/>
      <c r="S949" s="14" t="s">
        <v>4003</v>
      </c>
      <c r="T949" s="13" t="s">
        <v>129</v>
      </c>
      <c r="U949" s="17"/>
      <c r="V949" s="14"/>
      <c r="W949" s="14"/>
      <c r="X949" s="18"/>
      <c r="Y949" s="18"/>
      <c r="Z949" s="18"/>
      <c r="AA949" s="19">
        <f t="shared" si="1"/>
        <v>12</v>
      </c>
      <c r="AB949" s="218"/>
    </row>
    <row r="950" ht="15.75" customHeight="1">
      <c r="A950" s="12">
        <v>45288.0</v>
      </c>
      <c r="B950" s="13" t="s">
        <v>28</v>
      </c>
      <c r="C950" s="14" t="s">
        <v>4004</v>
      </c>
      <c r="D950" s="14"/>
      <c r="E950" s="14"/>
      <c r="F950" s="14"/>
      <c r="G950" s="14"/>
      <c r="H950" s="15" t="s">
        <v>4005</v>
      </c>
      <c r="I950" s="14"/>
      <c r="J950" s="14"/>
      <c r="K950" s="14" t="s">
        <v>2233</v>
      </c>
      <c r="L950" s="27" t="s">
        <v>111</v>
      </c>
      <c r="M950" s="14" t="s">
        <v>34</v>
      </c>
      <c r="N950" s="14" t="b">
        <v>0</v>
      </c>
      <c r="O950" s="14"/>
      <c r="P950" s="14"/>
      <c r="Q950" s="14"/>
      <c r="R950" s="14"/>
      <c r="S950" s="14" t="s">
        <v>4006</v>
      </c>
      <c r="T950" s="14" t="s">
        <v>36</v>
      </c>
      <c r="U950" s="17"/>
      <c r="V950" s="14"/>
      <c r="W950" s="14"/>
      <c r="X950" s="18"/>
      <c r="Y950" s="18"/>
      <c r="Z950" s="18"/>
      <c r="AA950" s="19">
        <f t="shared" si="1"/>
        <v>12</v>
      </c>
      <c r="AB950" s="218"/>
    </row>
    <row r="951" ht="15.75" customHeight="1">
      <c r="A951" s="12">
        <v>45288.0</v>
      </c>
      <c r="B951" s="13" t="s">
        <v>28</v>
      </c>
      <c r="C951" s="14" t="s">
        <v>4007</v>
      </c>
      <c r="D951" s="14"/>
      <c r="E951" s="14"/>
      <c r="F951" s="14"/>
      <c r="G951" s="14"/>
      <c r="H951" s="15" t="s">
        <v>4008</v>
      </c>
      <c r="I951" s="14"/>
      <c r="J951" s="14"/>
      <c r="K951" s="14" t="s">
        <v>2233</v>
      </c>
      <c r="L951" s="27" t="s">
        <v>111</v>
      </c>
      <c r="M951" s="14" t="s">
        <v>216</v>
      </c>
      <c r="N951" s="14" t="b">
        <v>0</v>
      </c>
      <c r="O951" s="14"/>
      <c r="P951" s="14"/>
      <c r="Q951" s="14"/>
      <c r="R951" s="14"/>
      <c r="S951" s="14" t="s">
        <v>4003</v>
      </c>
      <c r="T951" s="13" t="s">
        <v>229</v>
      </c>
      <c r="U951" s="17"/>
      <c r="V951" s="14"/>
      <c r="W951" s="14"/>
      <c r="X951" s="18"/>
      <c r="Y951" s="18"/>
      <c r="Z951" s="18"/>
      <c r="AA951" s="19">
        <f t="shared" si="1"/>
        <v>12</v>
      </c>
      <c r="AB951" s="218"/>
    </row>
    <row r="952" ht="15.75" customHeight="1">
      <c r="A952" s="12">
        <v>45289.0</v>
      </c>
      <c r="B952" s="13" t="s">
        <v>28</v>
      </c>
      <c r="C952" s="14" t="s">
        <v>4009</v>
      </c>
      <c r="D952" s="14"/>
      <c r="E952" s="14"/>
      <c r="F952" s="14"/>
      <c r="G952" s="14"/>
      <c r="H952" s="15" t="s">
        <v>4010</v>
      </c>
      <c r="I952" s="14"/>
      <c r="J952" s="14"/>
      <c r="K952" s="14" t="s">
        <v>2233</v>
      </c>
      <c r="L952" s="27" t="s">
        <v>111</v>
      </c>
      <c r="M952" s="14" t="s">
        <v>216</v>
      </c>
      <c r="N952" s="14" t="b">
        <v>0</v>
      </c>
      <c r="O952" s="14"/>
      <c r="P952" s="14"/>
      <c r="Q952" s="14"/>
      <c r="R952" s="14"/>
      <c r="S952" s="14" t="s">
        <v>4003</v>
      </c>
      <c r="T952" s="13" t="s">
        <v>229</v>
      </c>
      <c r="U952" s="17"/>
      <c r="V952" s="14"/>
      <c r="W952" s="14"/>
      <c r="X952" s="18"/>
      <c r="Y952" s="18"/>
      <c r="Z952" s="18"/>
      <c r="AA952" s="19">
        <f t="shared" si="1"/>
        <v>12</v>
      </c>
      <c r="AB952" s="218"/>
    </row>
    <row r="953" ht="15.75" customHeight="1">
      <c r="A953" s="12">
        <v>45289.0</v>
      </c>
      <c r="B953" s="13" t="s">
        <v>28</v>
      </c>
      <c r="C953" s="14" t="s">
        <v>4011</v>
      </c>
      <c r="D953" s="14"/>
      <c r="E953" s="14"/>
      <c r="F953" s="14"/>
      <c r="G953" s="14"/>
      <c r="H953" s="222" t="s">
        <v>4012</v>
      </c>
      <c r="I953" s="14"/>
      <c r="J953" s="14"/>
      <c r="K953" s="14" t="s">
        <v>2233</v>
      </c>
      <c r="L953" s="27" t="s">
        <v>111</v>
      </c>
      <c r="M953" s="14"/>
      <c r="N953" s="14" t="b">
        <v>0</v>
      </c>
      <c r="O953" s="14"/>
      <c r="P953" s="14"/>
      <c r="Q953" s="14"/>
      <c r="R953" s="14"/>
      <c r="S953" s="14"/>
      <c r="T953" s="13" t="s">
        <v>229</v>
      </c>
      <c r="U953" s="17"/>
      <c r="V953" s="14"/>
      <c r="W953" s="14"/>
      <c r="X953" s="18"/>
      <c r="Y953" s="18"/>
      <c r="Z953" s="18"/>
      <c r="AA953" s="19"/>
      <c r="AB953" s="218"/>
    </row>
    <row r="954" ht="15.75" customHeight="1">
      <c r="A954" s="12">
        <v>45289.0</v>
      </c>
      <c r="B954" s="13" t="s">
        <v>28</v>
      </c>
      <c r="C954" s="14" t="s">
        <v>4013</v>
      </c>
      <c r="D954" s="14"/>
      <c r="E954" s="14"/>
      <c r="F954" s="14"/>
      <c r="G954" s="14"/>
      <c r="H954" s="222" t="s">
        <v>4014</v>
      </c>
      <c r="I954" s="14"/>
      <c r="J954" s="14"/>
      <c r="K954" s="14" t="s">
        <v>2233</v>
      </c>
      <c r="L954" s="27" t="s">
        <v>111</v>
      </c>
      <c r="M954" s="14"/>
      <c r="N954" s="14" t="b">
        <v>0</v>
      </c>
      <c r="O954" s="14"/>
      <c r="P954" s="14"/>
      <c r="Q954" s="14"/>
      <c r="R954" s="14"/>
      <c r="S954" s="14"/>
      <c r="T954" s="13" t="s">
        <v>229</v>
      </c>
      <c r="U954" s="17"/>
      <c r="V954" s="14"/>
      <c r="W954" s="14"/>
      <c r="X954" s="18"/>
      <c r="Y954" s="18"/>
      <c r="Z954" s="18"/>
      <c r="AA954" s="19"/>
      <c r="AB954" s="218"/>
    </row>
    <row r="955" ht="15.75" customHeight="1">
      <c r="A955" s="12">
        <v>45289.0</v>
      </c>
      <c r="B955" s="13" t="s">
        <v>28</v>
      </c>
      <c r="C955" s="14" t="s">
        <v>4015</v>
      </c>
      <c r="D955" s="14"/>
      <c r="E955" s="14"/>
      <c r="F955" s="14"/>
      <c r="G955" s="14"/>
      <c r="H955" s="222" t="s">
        <v>4016</v>
      </c>
      <c r="I955" s="14"/>
      <c r="J955" s="14"/>
      <c r="K955" s="14" t="s">
        <v>2233</v>
      </c>
      <c r="L955" s="27" t="s">
        <v>111</v>
      </c>
      <c r="M955" s="14"/>
      <c r="N955" s="14" t="b">
        <v>0</v>
      </c>
      <c r="O955" s="14"/>
      <c r="P955" s="14"/>
      <c r="Q955" s="14"/>
      <c r="R955" s="14"/>
      <c r="S955" s="14"/>
      <c r="T955" s="13" t="s">
        <v>229</v>
      </c>
      <c r="U955" s="17"/>
      <c r="V955" s="14"/>
      <c r="W955" s="14"/>
      <c r="X955" s="18"/>
      <c r="Y955" s="18"/>
      <c r="Z955" s="18"/>
      <c r="AA955" s="19"/>
      <c r="AB955" s="218"/>
    </row>
    <row r="956" ht="15.75" customHeight="1">
      <c r="A956" s="12">
        <v>45289.0</v>
      </c>
      <c r="B956" s="13" t="s">
        <v>28</v>
      </c>
      <c r="C956" s="14" t="s">
        <v>4017</v>
      </c>
      <c r="D956" s="14"/>
      <c r="E956" s="14"/>
      <c r="F956" s="14"/>
      <c r="G956" s="14"/>
      <c r="H956" s="222" t="s">
        <v>4018</v>
      </c>
      <c r="I956" s="14"/>
      <c r="J956" s="14"/>
      <c r="K956" s="14" t="s">
        <v>2233</v>
      </c>
      <c r="L956" s="27" t="s">
        <v>111</v>
      </c>
      <c r="M956" s="14"/>
      <c r="N956" s="14" t="b">
        <v>0</v>
      </c>
      <c r="O956" s="14"/>
      <c r="P956" s="14"/>
      <c r="Q956" s="14"/>
      <c r="R956" s="14"/>
      <c r="S956" s="14"/>
      <c r="T956" s="13" t="s">
        <v>229</v>
      </c>
      <c r="U956" s="17"/>
      <c r="V956" s="14"/>
      <c r="W956" s="14"/>
      <c r="X956" s="18"/>
      <c r="Y956" s="18"/>
      <c r="Z956" s="18"/>
      <c r="AA956" s="19"/>
      <c r="AB956" s="218"/>
    </row>
    <row r="957" ht="15.75" customHeight="1">
      <c r="A957" s="12">
        <v>45289.0</v>
      </c>
      <c r="B957" s="13" t="s">
        <v>28</v>
      </c>
      <c r="C957" s="14" t="s">
        <v>4019</v>
      </c>
      <c r="D957" s="14"/>
      <c r="E957" s="14"/>
      <c r="F957" s="14"/>
      <c r="G957" s="14"/>
      <c r="H957" s="222" t="s">
        <v>4020</v>
      </c>
      <c r="I957" s="14"/>
      <c r="J957" s="14"/>
      <c r="K957" s="14" t="s">
        <v>2233</v>
      </c>
      <c r="L957" s="27" t="s">
        <v>111</v>
      </c>
      <c r="M957" s="14"/>
      <c r="N957" s="14" t="b">
        <v>0</v>
      </c>
      <c r="O957" s="14"/>
      <c r="P957" s="14"/>
      <c r="Q957" s="14"/>
      <c r="R957" s="14"/>
      <c r="S957" s="14"/>
      <c r="T957" s="13" t="s">
        <v>229</v>
      </c>
      <c r="U957" s="17"/>
      <c r="V957" s="14"/>
      <c r="W957" s="14"/>
      <c r="X957" s="18"/>
      <c r="Y957" s="18"/>
      <c r="Z957" s="18"/>
      <c r="AA957" s="19"/>
      <c r="AB957" s="218"/>
    </row>
    <row r="958" ht="15.75" customHeight="1">
      <c r="A958" s="12">
        <v>45289.0</v>
      </c>
      <c r="B958" s="13" t="s">
        <v>28</v>
      </c>
      <c r="C958" s="14" t="s">
        <v>4021</v>
      </c>
      <c r="D958" s="14"/>
      <c r="E958" s="14"/>
      <c r="F958" s="14"/>
      <c r="G958" s="14"/>
      <c r="H958" s="222" t="s">
        <v>4022</v>
      </c>
      <c r="I958" s="14"/>
      <c r="J958" s="14"/>
      <c r="K958" s="14" t="s">
        <v>2233</v>
      </c>
      <c r="L958" s="27" t="s">
        <v>111</v>
      </c>
      <c r="M958" s="14"/>
      <c r="N958" s="14" t="b">
        <v>0</v>
      </c>
      <c r="O958" s="14"/>
      <c r="P958" s="14"/>
      <c r="Q958" s="14"/>
      <c r="R958" s="14"/>
      <c r="S958" s="14"/>
      <c r="T958" s="13" t="s">
        <v>229</v>
      </c>
      <c r="U958" s="17"/>
      <c r="V958" s="14"/>
      <c r="W958" s="14"/>
      <c r="X958" s="18"/>
      <c r="Y958" s="18"/>
      <c r="Z958" s="18"/>
      <c r="AA958" s="19"/>
      <c r="AB958" s="218"/>
    </row>
    <row r="959" ht="15.75" customHeight="1">
      <c r="A959" s="12">
        <v>45289.0</v>
      </c>
      <c r="B959" s="13" t="s">
        <v>28</v>
      </c>
      <c r="C959" s="14" t="s">
        <v>4023</v>
      </c>
      <c r="D959" s="14"/>
      <c r="E959" s="14"/>
      <c r="F959" s="14"/>
      <c r="G959" s="14"/>
      <c r="H959" s="214" t="s">
        <v>4024</v>
      </c>
      <c r="I959" s="14"/>
      <c r="J959" s="14"/>
      <c r="K959" s="14" t="s">
        <v>2233</v>
      </c>
      <c r="L959" s="27" t="s">
        <v>111</v>
      </c>
      <c r="M959" s="14"/>
      <c r="N959" s="14" t="b">
        <v>0</v>
      </c>
      <c r="O959" s="14"/>
      <c r="P959" s="14"/>
      <c r="Q959" s="14"/>
      <c r="R959" s="14"/>
      <c r="S959" s="14"/>
      <c r="T959" s="13" t="s">
        <v>229</v>
      </c>
      <c r="U959" s="17"/>
      <c r="V959" s="14"/>
      <c r="W959" s="14"/>
      <c r="X959" s="18"/>
      <c r="Y959" s="18"/>
      <c r="Z959" s="18"/>
      <c r="AA959" s="19"/>
      <c r="AB959" s="218"/>
    </row>
    <row r="960" ht="15.75" customHeight="1">
      <c r="A960" s="12">
        <v>44928.0</v>
      </c>
      <c r="B960" s="13" t="s">
        <v>28</v>
      </c>
      <c r="C960" s="14" t="s">
        <v>4025</v>
      </c>
      <c r="D960" s="14" t="s">
        <v>4026</v>
      </c>
      <c r="E960" s="13">
        <v>9.0</v>
      </c>
      <c r="F960" s="14">
        <v>4.0</v>
      </c>
      <c r="G960" s="14"/>
      <c r="H960" s="214" t="s">
        <v>4027</v>
      </c>
      <c r="I960" s="14"/>
      <c r="J960" s="14"/>
      <c r="K960" s="13" t="s">
        <v>4028</v>
      </c>
      <c r="L960" s="27" t="s">
        <v>111</v>
      </c>
      <c r="M960" s="14" t="s">
        <v>565</v>
      </c>
      <c r="N960" s="14" t="b">
        <v>0</v>
      </c>
      <c r="O960" s="14"/>
      <c r="P960" s="14"/>
      <c r="Q960" s="14"/>
      <c r="R960" s="14"/>
      <c r="S960" s="14" t="s">
        <v>4029</v>
      </c>
      <c r="T960" s="13" t="s">
        <v>129</v>
      </c>
      <c r="U960" s="17"/>
      <c r="V960" s="14"/>
      <c r="W960" s="14"/>
      <c r="X960" s="18"/>
      <c r="Y960" s="18"/>
      <c r="Z960" s="18"/>
      <c r="AA960" s="19" t="str">
        <f t="shared" ref="AA960:AA977" si="8">if(or(month(A960)&lt;5,A960=""),"", month(A960))</f>
        <v/>
      </c>
      <c r="AB960" s="218"/>
    </row>
    <row r="961" ht="15.75" customHeight="1">
      <c r="A961" s="12"/>
      <c r="B961" s="14"/>
      <c r="C961" s="14"/>
      <c r="D961" s="14"/>
      <c r="E961" s="14"/>
      <c r="F961" s="14"/>
      <c r="G961" s="14"/>
      <c r="H961" s="15"/>
      <c r="I961" s="14"/>
      <c r="J961" s="14"/>
      <c r="K961" s="14"/>
      <c r="L961" s="14"/>
      <c r="M961" s="14"/>
      <c r="N961" s="14"/>
      <c r="O961" s="14"/>
      <c r="P961" s="14"/>
      <c r="Q961" s="14"/>
      <c r="R961" s="14"/>
      <c r="S961" s="14"/>
      <c r="T961" s="14"/>
      <c r="U961" s="17"/>
      <c r="V961" s="14"/>
      <c r="W961" s="14"/>
      <c r="X961" s="18"/>
      <c r="Y961" s="18"/>
      <c r="Z961" s="18"/>
      <c r="AA961" s="19" t="str">
        <f t="shared" si="8"/>
        <v/>
      </c>
      <c r="AB961" s="218"/>
    </row>
    <row r="962" ht="15.75" customHeight="1">
      <c r="A962" s="12"/>
      <c r="B962" s="14"/>
      <c r="C962" s="14"/>
      <c r="D962" s="14"/>
      <c r="E962" s="14"/>
      <c r="F962" s="14"/>
      <c r="G962" s="14"/>
      <c r="H962" s="15"/>
      <c r="I962" s="14"/>
      <c r="J962" s="14"/>
      <c r="K962" s="14"/>
      <c r="L962" s="14"/>
      <c r="M962" s="14"/>
      <c r="N962" s="14"/>
      <c r="O962" s="14"/>
      <c r="P962" s="14"/>
      <c r="Q962" s="14"/>
      <c r="R962" s="14"/>
      <c r="S962" s="14"/>
      <c r="T962" s="14"/>
      <c r="U962" s="17"/>
      <c r="V962" s="14"/>
      <c r="W962" s="14"/>
      <c r="X962" s="18"/>
      <c r="Y962" s="18"/>
      <c r="Z962" s="18"/>
      <c r="AA962" s="19" t="str">
        <f t="shared" si="8"/>
        <v/>
      </c>
      <c r="AB962" s="218"/>
    </row>
    <row r="963" ht="15.75" customHeight="1">
      <c r="A963" s="12"/>
      <c r="B963" s="14"/>
      <c r="C963" s="14"/>
      <c r="D963" s="14"/>
      <c r="E963" s="14"/>
      <c r="F963" s="14"/>
      <c r="G963" s="14"/>
      <c r="H963" s="15"/>
      <c r="I963" s="14"/>
      <c r="J963" s="14"/>
      <c r="K963" s="14"/>
      <c r="L963" s="14"/>
      <c r="M963" s="14"/>
      <c r="N963" s="14"/>
      <c r="O963" s="14"/>
      <c r="P963" s="14"/>
      <c r="Q963" s="14"/>
      <c r="R963" s="14"/>
      <c r="S963" s="14"/>
      <c r="T963" s="14"/>
      <c r="U963" s="17"/>
      <c r="V963" s="14"/>
      <c r="W963" s="14"/>
      <c r="X963" s="18"/>
      <c r="Y963" s="18"/>
      <c r="Z963" s="18"/>
      <c r="AA963" s="19" t="str">
        <f t="shared" si="8"/>
        <v/>
      </c>
      <c r="AB963" s="218"/>
    </row>
    <row r="964" ht="15.75" customHeight="1">
      <c r="A964" s="12"/>
      <c r="B964" s="14"/>
      <c r="C964" s="14"/>
      <c r="D964" s="14"/>
      <c r="E964" s="14"/>
      <c r="F964" s="14"/>
      <c r="G964" s="14"/>
      <c r="H964" s="15"/>
      <c r="I964" s="14"/>
      <c r="J964" s="14"/>
      <c r="K964" s="14"/>
      <c r="L964" s="14"/>
      <c r="M964" s="14"/>
      <c r="N964" s="14"/>
      <c r="O964" s="14"/>
      <c r="P964" s="14"/>
      <c r="Q964" s="14"/>
      <c r="R964" s="14"/>
      <c r="S964" s="14"/>
      <c r="T964" s="14"/>
      <c r="U964" s="17"/>
      <c r="V964" s="14"/>
      <c r="W964" s="14"/>
      <c r="X964" s="18"/>
      <c r="Y964" s="18"/>
      <c r="Z964" s="18"/>
      <c r="AA964" s="19" t="str">
        <f t="shared" si="8"/>
        <v/>
      </c>
      <c r="AB964" s="218"/>
    </row>
    <row r="965" ht="15.75" customHeight="1">
      <c r="A965" s="12"/>
      <c r="B965" s="14"/>
      <c r="C965" s="14"/>
      <c r="D965" s="14"/>
      <c r="E965" s="14"/>
      <c r="F965" s="14"/>
      <c r="G965" s="14"/>
      <c r="H965" s="15"/>
      <c r="I965" s="223"/>
      <c r="J965" s="14"/>
      <c r="K965" s="14"/>
      <c r="L965" s="14"/>
      <c r="M965" s="14"/>
      <c r="N965" s="14"/>
      <c r="O965" s="14"/>
      <c r="P965" s="14"/>
      <c r="Q965" s="14"/>
      <c r="R965" s="14"/>
      <c r="S965" s="14"/>
      <c r="T965" s="14"/>
      <c r="U965" s="17"/>
      <c r="V965" s="14"/>
      <c r="W965" s="14"/>
      <c r="X965" s="18"/>
      <c r="Y965" s="18"/>
      <c r="Z965" s="18"/>
      <c r="AA965" s="19" t="str">
        <f t="shared" si="8"/>
        <v/>
      </c>
      <c r="AB965" s="218"/>
    </row>
    <row r="966" ht="15.75" customHeight="1">
      <c r="A966" s="12"/>
      <c r="B966" s="14"/>
      <c r="C966" s="14"/>
      <c r="D966" s="14"/>
      <c r="E966" s="14"/>
      <c r="F966" s="14"/>
      <c r="G966" s="14"/>
      <c r="H966" s="15"/>
      <c r="I966" s="223"/>
      <c r="J966" s="14"/>
      <c r="K966" s="14"/>
      <c r="L966" s="14"/>
      <c r="M966" s="14"/>
      <c r="N966" s="14"/>
      <c r="O966" s="14"/>
      <c r="P966" s="14"/>
      <c r="Q966" s="14"/>
      <c r="R966" s="14"/>
      <c r="S966" s="14"/>
      <c r="T966" s="14"/>
      <c r="U966" s="17"/>
      <c r="V966" s="14"/>
      <c r="W966" s="14"/>
      <c r="X966" s="18"/>
      <c r="Y966" s="18"/>
      <c r="Z966" s="18"/>
      <c r="AA966" s="19" t="str">
        <f t="shared" si="8"/>
        <v/>
      </c>
      <c r="AB966" s="218"/>
    </row>
    <row r="967" ht="15.75" customHeight="1">
      <c r="A967" s="12"/>
      <c r="B967" s="14"/>
      <c r="C967" s="14"/>
      <c r="D967" s="14"/>
      <c r="E967" s="14"/>
      <c r="F967" s="14"/>
      <c r="G967" s="14"/>
      <c r="H967" s="15"/>
      <c r="I967" s="223"/>
      <c r="J967" s="14"/>
      <c r="K967" s="14"/>
      <c r="L967" s="14"/>
      <c r="M967" s="14"/>
      <c r="N967" s="14"/>
      <c r="O967" s="14"/>
      <c r="P967" s="14"/>
      <c r="Q967" s="14"/>
      <c r="R967" s="14"/>
      <c r="S967" s="14"/>
      <c r="T967" s="14"/>
      <c r="U967" s="17"/>
      <c r="V967" s="14"/>
      <c r="W967" s="14"/>
      <c r="X967" s="18"/>
      <c r="Y967" s="18"/>
      <c r="Z967" s="18"/>
      <c r="AA967" s="19" t="str">
        <f t="shared" si="8"/>
        <v/>
      </c>
      <c r="AB967" s="218"/>
    </row>
    <row r="968" ht="15.75" customHeight="1">
      <c r="A968" s="12"/>
      <c r="B968" s="14"/>
      <c r="C968" s="14"/>
      <c r="D968" s="14"/>
      <c r="E968" s="14"/>
      <c r="F968" s="14"/>
      <c r="G968" s="14"/>
      <c r="H968" s="15"/>
      <c r="I968" s="223"/>
      <c r="J968" s="14"/>
      <c r="K968" s="14"/>
      <c r="L968" s="14"/>
      <c r="M968" s="14"/>
      <c r="N968" s="14"/>
      <c r="O968" s="14"/>
      <c r="P968" s="14"/>
      <c r="Q968" s="14"/>
      <c r="R968" s="14"/>
      <c r="S968" s="14"/>
      <c r="T968" s="14"/>
      <c r="U968" s="17"/>
      <c r="V968" s="14"/>
      <c r="W968" s="14"/>
      <c r="X968" s="18"/>
      <c r="Y968" s="18"/>
      <c r="Z968" s="18"/>
      <c r="AA968" s="19" t="str">
        <f t="shared" si="8"/>
        <v/>
      </c>
      <c r="AB968" s="218"/>
    </row>
    <row r="969" ht="15.75" customHeight="1">
      <c r="A969" s="12"/>
      <c r="B969" s="14"/>
      <c r="C969" s="14"/>
      <c r="D969" s="14"/>
      <c r="E969" s="14"/>
      <c r="F969" s="14"/>
      <c r="G969" s="14"/>
      <c r="H969" s="15"/>
      <c r="I969" s="223"/>
      <c r="J969" s="14"/>
      <c r="K969" s="14"/>
      <c r="L969" s="14"/>
      <c r="M969" s="14"/>
      <c r="N969" s="14"/>
      <c r="O969" s="14"/>
      <c r="P969" s="14"/>
      <c r="Q969" s="14"/>
      <c r="R969" s="14"/>
      <c r="S969" s="14"/>
      <c r="T969" s="14"/>
      <c r="U969" s="17"/>
      <c r="V969" s="14"/>
      <c r="W969" s="14"/>
      <c r="X969" s="18"/>
      <c r="Y969" s="18"/>
      <c r="Z969" s="18"/>
      <c r="AA969" s="19" t="str">
        <f t="shared" si="8"/>
        <v/>
      </c>
      <c r="AB969" s="218"/>
    </row>
    <row r="970" ht="15.75" customHeight="1">
      <c r="A970" s="12"/>
      <c r="B970" s="14"/>
      <c r="C970" s="14"/>
      <c r="D970" s="14"/>
      <c r="E970" s="14"/>
      <c r="F970" s="14"/>
      <c r="G970" s="14"/>
      <c r="H970" s="15"/>
      <c r="I970" s="223"/>
      <c r="J970" s="14"/>
      <c r="K970" s="14"/>
      <c r="L970" s="14"/>
      <c r="M970" s="14"/>
      <c r="N970" s="14"/>
      <c r="O970" s="14"/>
      <c r="P970" s="14"/>
      <c r="Q970" s="14"/>
      <c r="R970" s="14"/>
      <c r="S970" s="14"/>
      <c r="T970" s="14"/>
      <c r="U970" s="17"/>
      <c r="V970" s="14"/>
      <c r="W970" s="14"/>
      <c r="X970" s="18"/>
      <c r="Y970" s="18"/>
      <c r="Z970" s="18"/>
      <c r="AA970" s="19" t="str">
        <f t="shared" si="8"/>
        <v/>
      </c>
      <c r="AB970" s="218"/>
    </row>
    <row r="971" ht="15.75" customHeight="1">
      <c r="A971" s="12"/>
      <c r="B971" s="14"/>
      <c r="C971" s="14"/>
      <c r="D971" s="14"/>
      <c r="E971" s="14"/>
      <c r="F971" s="14"/>
      <c r="G971" s="14"/>
      <c r="H971" s="15"/>
      <c r="I971" s="223"/>
      <c r="J971" s="14"/>
      <c r="K971" s="14"/>
      <c r="L971" s="14"/>
      <c r="M971" s="14"/>
      <c r="N971" s="14"/>
      <c r="O971" s="14"/>
      <c r="P971" s="14"/>
      <c r="Q971" s="14"/>
      <c r="R971" s="14"/>
      <c r="S971" s="14"/>
      <c r="T971" s="14"/>
      <c r="U971" s="17"/>
      <c r="V971" s="14"/>
      <c r="W971" s="14"/>
      <c r="X971" s="18"/>
      <c r="Y971" s="18"/>
      <c r="Z971" s="18"/>
      <c r="AA971" s="19" t="str">
        <f t="shared" si="8"/>
        <v/>
      </c>
      <c r="AB971" s="218"/>
    </row>
    <row r="972" ht="15.75" customHeight="1">
      <c r="A972" s="12"/>
      <c r="B972" s="14"/>
      <c r="C972" s="14"/>
      <c r="D972" s="14"/>
      <c r="E972" s="14"/>
      <c r="F972" s="14"/>
      <c r="G972" s="14"/>
      <c r="H972" s="15"/>
      <c r="I972" s="223"/>
      <c r="J972" s="14"/>
      <c r="K972" s="14"/>
      <c r="L972" s="14"/>
      <c r="M972" s="14"/>
      <c r="N972" s="14"/>
      <c r="O972" s="14"/>
      <c r="P972" s="14"/>
      <c r="Q972" s="14"/>
      <c r="R972" s="14"/>
      <c r="S972" s="14"/>
      <c r="T972" s="14"/>
      <c r="U972" s="17"/>
      <c r="V972" s="14"/>
      <c r="W972" s="14"/>
      <c r="X972" s="18"/>
      <c r="Y972" s="18"/>
      <c r="Z972" s="18"/>
      <c r="AA972" s="19" t="str">
        <f t="shared" si="8"/>
        <v/>
      </c>
      <c r="AB972" s="218"/>
    </row>
    <row r="973" ht="15.75" customHeight="1">
      <c r="A973" s="12"/>
      <c r="B973" s="14"/>
      <c r="C973" s="14"/>
      <c r="D973" s="14"/>
      <c r="E973" s="14"/>
      <c r="F973" s="14"/>
      <c r="G973" s="14"/>
      <c r="H973" s="15"/>
      <c r="I973" s="223"/>
      <c r="J973" s="14"/>
      <c r="K973" s="14"/>
      <c r="L973" s="14"/>
      <c r="M973" s="14"/>
      <c r="N973" s="14"/>
      <c r="O973" s="14"/>
      <c r="P973" s="14"/>
      <c r="Q973" s="14"/>
      <c r="R973" s="14"/>
      <c r="S973" s="14"/>
      <c r="T973" s="14"/>
      <c r="U973" s="17"/>
      <c r="V973" s="14"/>
      <c r="W973" s="14"/>
      <c r="X973" s="18"/>
      <c r="Y973" s="18"/>
      <c r="Z973" s="18"/>
      <c r="AA973" s="19" t="str">
        <f t="shared" si="8"/>
        <v/>
      </c>
      <c r="AB973" s="218"/>
    </row>
    <row r="974" ht="15.75" customHeight="1">
      <c r="A974" s="12"/>
      <c r="B974" s="14"/>
      <c r="C974" s="14"/>
      <c r="D974" s="14"/>
      <c r="E974" s="14"/>
      <c r="F974" s="14"/>
      <c r="G974" s="14"/>
      <c r="H974" s="15"/>
      <c r="I974" s="223"/>
      <c r="J974" s="14"/>
      <c r="K974" s="14"/>
      <c r="L974" s="14"/>
      <c r="M974" s="14"/>
      <c r="N974" s="14"/>
      <c r="O974" s="14"/>
      <c r="P974" s="14"/>
      <c r="Q974" s="14"/>
      <c r="R974" s="14"/>
      <c r="S974" s="14"/>
      <c r="T974" s="14"/>
      <c r="U974" s="17"/>
      <c r="V974" s="14"/>
      <c r="W974" s="14"/>
      <c r="X974" s="18"/>
      <c r="Y974" s="18"/>
      <c r="Z974" s="18"/>
      <c r="AA974" s="19" t="str">
        <f t="shared" si="8"/>
        <v/>
      </c>
      <c r="AB974" s="218"/>
    </row>
    <row r="975" ht="15.75" customHeight="1">
      <c r="A975" s="12"/>
      <c r="B975" s="14"/>
      <c r="C975" s="14"/>
      <c r="D975" s="14"/>
      <c r="E975" s="14"/>
      <c r="F975" s="14"/>
      <c r="G975" s="14"/>
      <c r="H975" s="15"/>
      <c r="I975" s="223"/>
      <c r="J975" s="14"/>
      <c r="K975" s="14"/>
      <c r="L975" s="14"/>
      <c r="M975" s="14"/>
      <c r="N975" s="14"/>
      <c r="O975" s="14"/>
      <c r="P975" s="14"/>
      <c r="Q975" s="14"/>
      <c r="R975" s="14"/>
      <c r="S975" s="14"/>
      <c r="T975" s="14"/>
      <c r="U975" s="17"/>
      <c r="V975" s="14"/>
      <c r="W975" s="14"/>
      <c r="X975" s="18"/>
      <c r="Y975" s="18"/>
      <c r="Z975" s="18"/>
      <c r="AA975" s="19" t="str">
        <f t="shared" si="8"/>
        <v/>
      </c>
      <c r="AB975" s="218"/>
    </row>
    <row r="976" ht="15.75" customHeight="1">
      <c r="A976" s="12"/>
      <c r="B976" s="14"/>
      <c r="C976" s="14"/>
      <c r="D976" s="14"/>
      <c r="E976" s="14"/>
      <c r="F976" s="14"/>
      <c r="G976" s="14"/>
      <c r="H976" s="15"/>
      <c r="I976" s="223"/>
      <c r="J976" s="14"/>
      <c r="K976" s="14"/>
      <c r="L976" s="14"/>
      <c r="M976" s="14"/>
      <c r="N976" s="14"/>
      <c r="O976" s="14"/>
      <c r="P976" s="14"/>
      <c r="Q976" s="14"/>
      <c r="R976" s="14"/>
      <c r="S976" s="14"/>
      <c r="T976" s="14"/>
      <c r="U976" s="17"/>
      <c r="V976" s="14"/>
      <c r="W976" s="14"/>
      <c r="X976" s="18"/>
      <c r="Y976" s="18"/>
      <c r="Z976" s="18"/>
      <c r="AA976" s="19" t="str">
        <f t="shared" si="8"/>
        <v/>
      </c>
      <c r="AB976" s="218"/>
    </row>
    <row r="977" ht="15.75" customHeight="1">
      <c r="A977" s="12"/>
      <c r="B977" s="14"/>
      <c r="C977" s="14"/>
      <c r="D977" s="14"/>
      <c r="E977" s="14"/>
      <c r="F977" s="14"/>
      <c r="G977" s="14"/>
      <c r="H977" s="15"/>
      <c r="I977" s="223"/>
      <c r="J977" s="14"/>
      <c r="K977" s="14"/>
      <c r="L977" s="14"/>
      <c r="M977" s="14"/>
      <c r="N977" s="14"/>
      <c r="O977" s="14"/>
      <c r="P977" s="14"/>
      <c r="Q977" s="14"/>
      <c r="R977" s="14"/>
      <c r="S977" s="14"/>
      <c r="T977" s="14"/>
      <c r="U977" s="17"/>
      <c r="V977" s="14"/>
      <c r="W977" s="14"/>
      <c r="X977" s="18"/>
      <c r="Y977" s="18"/>
      <c r="Z977" s="18"/>
      <c r="AA977" s="19" t="str">
        <f t="shared" si="8"/>
        <v/>
      </c>
      <c r="AB977" s="218"/>
    </row>
    <row r="978" ht="15.75" customHeight="1">
      <c r="A978" s="12"/>
      <c r="B978" s="14"/>
      <c r="C978" s="14"/>
      <c r="D978" s="14"/>
      <c r="E978" s="14"/>
      <c r="F978" s="14"/>
      <c r="G978" s="14"/>
      <c r="H978" s="15"/>
      <c r="I978" s="223"/>
      <c r="J978" s="14"/>
      <c r="K978" s="14"/>
      <c r="L978" s="14"/>
      <c r="M978" s="14"/>
      <c r="N978" s="14"/>
      <c r="O978" s="14"/>
      <c r="P978" s="14"/>
      <c r="Q978" s="14"/>
      <c r="R978" s="14"/>
      <c r="S978" s="14"/>
      <c r="T978" s="14"/>
      <c r="U978" s="17"/>
      <c r="V978" s="14"/>
      <c r="W978" s="14"/>
      <c r="X978" s="18"/>
      <c r="Y978" s="18"/>
      <c r="Z978" s="18"/>
      <c r="AA978" s="218"/>
      <c r="AB978" s="218"/>
    </row>
    <row r="979" ht="15.75" customHeight="1">
      <c r="A979" s="12"/>
      <c r="B979" s="14"/>
      <c r="C979" s="14"/>
      <c r="D979" s="14"/>
      <c r="E979" s="14"/>
      <c r="F979" s="14"/>
      <c r="G979" s="14"/>
      <c r="H979" s="15"/>
      <c r="I979" s="223"/>
      <c r="J979" s="14"/>
      <c r="K979" s="14"/>
      <c r="L979" s="14"/>
      <c r="M979" s="14"/>
      <c r="N979" s="14"/>
      <c r="O979" s="14"/>
      <c r="P979" s="14"/>
      <c r="Q979" s="14"/>
      <c r="R979" s="14"/>
      <c r="S979" s="14"/>
      <c r="T979" s="14"/>
      <c r="U979" s="17"/>
      <c r="V979" s="14"/>
      <c r="W979" s="14"/>
      <c r="X979" s="18"/>
      <c r="Y979" s="18"/>
      <c r="Z979" s="18"/>
      <c r="AA979" s="218"/>
      <c r="AB979" s="218"/>
    </row>
    <row r="980" ht="15.75" customHeight="1">
      <c r="A980" s="12"/>
      <c r="B980" s="14"/>
      <c r="C980" s="14"/>
      <c r="D980" s="14"/>
      <c r="E980" s="14"/>
      <c r="F980" s="14"/>
      <c r="G980" s="14"/>
      <c r="H980" s="15"/>
      <c r="I980" s="223"/>
      <c r="J980" s="14"/>
      <c r="K980" s="14"/>
      <c r="L980" s="14"/>
      <c r="M980" s="14"/>
      <c r="N980" s="14"/>
      <c r="O980" s="14"/>
      <c r="P980" s="14"/>
      <c r="Q980" s="14"/>
      <c r="R980" s="14"/>
      <c r="S980" s="14"/>
      <c r="T980" s="14"/>
      <c r="U980" s="17"/>
      <c r="V980" s="14"/>
      <c r="W980" s="14"/>
      <c r="X980" s="18"/>
      <c r="Y980" s="18"/>
      <c r="Z980" s="18"/>
      <c r="AA980" s="218"/>
      <c r="AB980" s="218"/>
    </row>
    <row r="981" ht="15.75" customHeight="1">
      <c r="A981" s="12"/>
      <c r="B981" s="14"/>
      <c r="C981" s="14"/>
      <c r="D981" s="14"/>
      <c r="E981" s="14"/>
      <c r="F981" s="14"/>
      <c r="G981" s="14"/>
      <c r="H981" s="15"/>
      <c r="I981" s="223"/>
      <c r="J981" s="14"/>
      <c r="K981" s="14"/>
      <c r="L981" s="14"/>
      <c r="M981" s="14"/>
      <c r="N981" s="14"/>
      <c r="O981" s="14"/>
      <c r="P981" s="14"/>
      <c r="Q981" s="14"/>
      <c r="R981" s="14"/>
      <c r="S981" s="14"/>
      <c r="T981" s="14"/>
      <c r="U981" s="17"/>
      <c r="V981" s="14"/>
      <c r="W981" s="14"/>
      <c r="X981" s="18"/>
      <c r="Y981" s="18"/>
      <c r="Z981" s="18"/>
      <c r="AA981" s="218"/>
      <c r="AB981" s="218"/>
    </row>
    <row r="982" ht="15.75" customHeight="1">
      <c r="A982" s="12"/>
      <c r="B982" s="14"/>
      <c r="C982" s="14"/>
      <c r="D982" s="14"/>
      <c r="E982" s="14"/>
      <c r="F982" s="14"/>
      <c r="G982" s="14"/>
      <c r="H982" s="15"/>
      <c r="I982" s="223"/>
      <c r="J982" s="14"/>
      <c r="K982" s="14"/>
      <c r="L982" s="14"/>
      <c r="M982" s="14"/>
      <c r="N982" s="14"/>
      <c r="O982" s="14"/>
      <c r="P982" s="14"/>
      <c r="Q982" s="14"/>
      <c r="R982" s="14"/>
      <c r="S982" s="14"/>
      <c r="T982" s="14"/>
      <c r="U982" s="17"/>
      <c r="V982" s="14"/>
      <c r="W982" s="14"/>
      <c r="X982" s="18"/>
      <c r="Y982" s="18"/>
      <c r="Z982" s="18"/>
      <c r="AA982" s="218"/>
      <c r="AB982" s="218"/>
    </row>
    <row r="983" ht="15.75" customHeight="1">
      <c r="A983" s="12"/>
      <c r="B983" s="14"/>
      <c r="C983" s="14"/>
      <c r="D983" s="14"/>
      <c r="E983" s="14"/>
      <c r="F983" s="14"/>
      <c r="G983" s="14"/>
      <c r="H983" s="15"/>
      <c r="I983" s="223"/>
      <c r="J983" s="14"/>
      <c r="K983" s="14"/>
      <c r="L983" s="14"/>
      <c r="M983" s="14"/>
      <c r="N983" s="14"/>
      <c r="O983" s="14"/>
      <c r="P983" s="14"/>
      <c r="Q983" s="14"/>
      <c r="R983" s="14"/>
      <c r="S983" s="14"/>
      <c r="T983" s="14"/>
      <c r="U983" s="17"/>
      <c r="V983" s="14"/>
      <c r="W983" s="14"/>
      <c r="X983" s="18"/>
      <c r="Y983" s="18"/>
      <c r="Z983" s="18"/>
      <c r="AA983" s="218"/>
      <c r="AB983" s="218"/>
    </row>
    <row r="984" ht="15.75" customHeight="1">
      <c r="A984" s="12"/>
      <c r="B984" s="14"/>
      <c r="C984" s="14"/>
      <c r="D984" s="14"/>
      <c r="E984" s="14"/>
      <c r="F984" s="14"/>
      <c r="G984" s="14"/>
      <c r="H984" s="15"/>
      <c r="I984" s="223"/>
      <c r="J984" s="14"/>
      <c r="K984" s="14"/>
      <c r="L984" s="14"/>
      <c r="M984" s="14"/>
      <c r="N984" s="14"/>
      <c r="O984" s="14"/>
      <c r="P984" s="14"/>
      <c r="Q984" s="14"/>
      <c r="R984" s="14"/>
      <c r="S984" s="14"/>
      <c r="T984" s="14"/>
      <c r="U984" s="17"/>
      <c r="V984" s="14"/>
      <c r="W984" s="14"/>
      <c r="X984" s="18"/>
      <c r="Y984" s="18"/>
      <c r="Z984" s="18"/>
      <c r="AA984" s="218"/>
      <c r="AB984" s="218"/>
    </row>
    <row r="985" ht="15.75" customHeight="1">
      <c r="A985" s="12"/>
      <c r="B985" s="14"/>
      <c r="C985" s="14"/>
      <c r="D985" s="14"/>
      <c r="E985" s="14"/>
      <c r="F985" s="14"/>
      <c r="G985" s="14"/>
      <c r="H985" s="15"/>
      <c r="I985" s="223"/>
      <c r="J985" s="14"/>
      <c r="K985" s="14"/>
      <c r="L985" s="14"/>
      <c r="M985" s="14"/>
      <c r="N985" s="14"/>
      <c r="O985" s="14"/>
      <c r="P985" s="14"/>
      <c r="Q985" s="14"/>
      <c r="R985" s="14"/>
      <c r="S985" s="14"/>
      <c r="T985" s="14"/>
      <c r="U985" s="17"/>
      <c r="V985" s="14"/>
      <c r="W985" s="14"/>
      <c r="X985" s="18"/>
      <c r="Y985" s="18"/>
      <c r="Z985" s="18"/>
      <c r="AA985" s="218"/>
      <c r="AB985" s="218"/>
    </row>
    <row r="986" ht="15.75" customHeight="1">
      <c r="A986" s="12"/>
      <c r="B986" s="14"/>
      <c r="C986" s="14"/>
      <c r="D986" s="14"/>
      <c r="E986" s="14"/>
      <c r="F986" s="14"/>
      <c r="G986" s="14"/>
      <c r="H986" s="15"/>
      <c r="I986" s="223"/>
      <c r="J986" s="14"/>
      <c r="K986" s="14"/>
      <c r="L986" s="14"/>
      <c r="M986" s="14"/>
      <c r="N986" s="14"/>
      <c r="O986" s="14"/>
      <c r="P986" s="14"/>
      <c r="Q986" s="14"/>
      <c r="R986" s="14"/>
      <c r="S986" s="14"/>
      <c r="T986" s="14"/>
      <c r="U986" s="17"/>
      <c r="V986" s="14"/>
      <c r="W986" s="14"/>
      <c r="X986" s="18"/>
      <c r="Y986" s="18"/>
      <c r="Z986" s="18"/>
      <c r="AA986" s="218"/>
      <c r="AB986" s="218"/>
    </row>
    <row r="987" ht="15.75" customHeight="1">
      <c r="A987" s="12"/>
      <c r="B987" s="14"/>
      <c r="C987" s="14"/>
      <c r="D987" s="14"/>
      <c r="E987" s="14"/>
      <c r="F987" s="14"/>
      <c r="G987" s="14"/>
      <c r="H987" s="15"/>
      <c r="I987" s="223"/>
      <c r="J987" s="14"/>
      <c r="K987" s="14"/>
      <c r="L987" s="14"/>
      <c r="M987" s="14"/>
      <c r="N987" s="14"/>
      <c r="O987" s="14"/>
      <c r="P987" s="14"/>
      <c r="Q987" s="14"/>
      <c r="R987" s="14"/>
      <c r="S987" s="14"/>
      <c r="T987" s="14"/>
      <c r="U987" s="17"/>
      <c r="V987" s="14"/>
      <c r="W987" s="14"/>
      <c r="X987" s="18"/>
      <c r="Y987" s="18"/>
      <c r="Z987" s="18"/>
      <c r="AA987" s="218"/>
      <c r="AB987" s="218"/>
    </row>
    <row r="988" ht="15.75" customHeight="1">
      <c r="A988" s="12"/>
      <c r="B988" s="14"/>
      <c r="C988" s="14"/>
      <c r="D988" s="14"/>
      <c r="E988" s="14"/>
      <c r="F988" s="14"/>
      <c r="G988" s="14"/>
      <c r="H988" s="15"/>
      <c r="I988" s="223"/>
      <c r="J988" s="14"/>
      <c r="K988" s="14"/>
      <c r="L988" s="14"/>
      <c r="M988" s="14"/>
      <c r="N988" s="14"/>
      <c r="O988" s="14"/>
      <c r="P988" s="14"/>
      <c r="Q988" s="14"/>
      <c r="R988" s="14"/>
      <c r="S988" s="14"/>
      <c r="T988" s="14"/>
      <c r="U988" s="17"/>
      <c r="V988" s="14"/>
      <c r="W988" s="14"/>
      <c r="X988" s="18"/>
      <c r="Y988" s="18"/>
      <c r="Z988" s="18"/>
      <c r="AA988" s="218"/>
      <c r="AB988" s="218"/>
    </row>
    <row r="989" ht="15.75" customHeight="1">
      <c r="A989" s="12"/>
      <c r="B989" s="14"/>
      <c r="C989" s="14"/>
      <c r="D989" s="14"/>
      <c r="E989" s="14"/>
      <c r="F989" s="14"/>
      <c r="G989" s="14"/>
      <c r="H989" s="15"/>
      <c r="I989" s="223"/>
      <c r="J989" s="14"/>
      <c r="K989" s="14"/>
      <c r="L989" s="14"/>
      <c r="M989" s="14"/>
      <c r="N989" s="14"/>
      <c r="O989" s="14"/>
      <c r="P989" s="14"/>
      <c r="Q989" s="14"/>
      <c r="R989" s="14"/>
      <c r="S989" s="14"/>
      <c r="T989" s="14"/>
      <c r="U989" s="17"/>
      <c r="V989" s="14"/>
      <c r="W989" s="14"/>
      <c r="X989" s="18"/>
      <c r="Y989" s="18"/>
      <c r="Z989" s="18"/>
      <c r="AA989" s="218"/>
      <c r="AB989" s="218"/>
    </row>
    <row r="990" ht="15.75" customHeight="1">
      <c r="A990" s="12"/>
      <c r="B990" s="14"/>
      <c r="C990" s="14"/>
      <c r="D990" s="14"/>
      <c r="E990" s="14"/>
      <c r="F990" s="14"/>
      <c r="G990" s="14"/>
      <c r="H990" s="15"/>
      <c r="I990" s="223"/>
      <c r="J990" s="14"/>
      <c r="K990" s="14"/>
      <c r="L990" s="14"/>
      <c r="M990" s="14"/>
      <c r="N990" s="14"/>
      <c r="O990" s="14"/>
      <c r="P990" s="14"/>
      <c r="Q990" s="14"/>
      <c r="R990" s="14"/>
      <c r="S990" s="14"/>
      <c r="T990" s="14"/>
      <c r="U990" s="17"/>
      <c r="V990" s="14"/>
      <c r="W990" s="14"/>
      <c r="X990" s="18"/>
      <c r="Y990" s="18"/>
      <c r="Z990" s="18"/>
      <c r="AA990" s="218"/>
      <c r="AB990" s="218"/>
    </row>
    <row r="991" ht="15.75" customHeight="1">
      <c r="A991" s="12"/>
      <c r="B991" s="14"/>
      <c r="C991" s="14"/>
      <c r="D991" s="14"/>
      <c r="E991" s="14"/>
      <c r="F991" s="14"/>
      <c r="G991" s="14"/>
      <c r="H991" s="15"/>
      <c r="I991" s="223"/>
      <c r="J991" s="14"/>
      <c r="K991" s="14"/>
      <c r="L991" s="14"/>
      <c r="M991" s="14"/>
      <c r="N991" s="14"/>
      <c r="O991" s="14"/>
      <c r="P991" s="14"/>
      <c r="Q991" s="14"/>
      <c r="R991" s="14"/>
      <c r="S991" s="14"/>
      <c r="T991" s="14"/>
      <c r="U991" s="17"/>
      <c r="V991" s="14"/>
      <c r="W991" s="14"/>
      <c r="X991" s="18"/>
      <c r="Y991" s="18"/>
      <c r="Z991" s="18"/>
      <c r="AA991" s="218"/>
      <c r="AB991" s="218"/>
    </row>
    <row r="992" ht="15.75" customHeight="1">
      <c r="A992" s="12"/>
      <c r="B992" s="14"/>
      <c r="C992" s="14"/>
      <c r="D992" s="14"/>
      <c r="E992" s="14"/>
      <c r="F992" s="14"/>
      <c r="G992" s="14"/>
      <c r="H992" s="15"/>
      <c r="I992" s="223"/>
      <c r="J992" s="14"/>
      <c r="K992" s="14"/>
      <c r="L992" s="14"/>
      <c r="M992" s="14"/>
      <c r="N992" s="14"/>
      <c r="O992" s="14"/>
      <c r="P992" s="14"/>
      <c r="Q992" s="14"/>
      <c r="R992" s="14"/>
      <c r="S992" s="14"/>
      <c r="T992" s="14"/>
      <c r="U992" s="17"/>
      <c r="V992" s="14"/>
      <c r="W992" s="14"/>
      <c r="X992" s="18"/>
      <c r="Y992" s="18"/>
      <c r="Z992" s="18"/>
      <c r="AA992" s="218"/>
      <c r="AB992" s="218"/>
    </row>
    <row r="993" ht="15.75" customHeight="1">
      <c r="A993" s="12"/>
      <c r="B993" s="14"/>
      <c r="C993" s="14"/>
      <c r="D993" s="14"/>
      <c r="E993" s="14"/>
      <c r="F993" s="14"/>
      <c r="G993" s="14"/>
      <c r="H993" s="15"/>
      <c r="I993" s="223"/>
      <c r="J993" s="14"/>
      <c r="K993" s="14"/>
      <c r="L993" s="14"/>
      <c r="M993" s="14"/>
      <c r="N993" s="14"/>
      <c r="O993" s="14"/>
      <c r="P993" s="14"/>
      <c r="Q993" s="14"/>
      <c r="R993" s="14"/>
      <c r="S993" s="14"/>
      <c r="T993" s="14"/>
      <c r="U993" s="17"/>
      <c r="V993" s="14"/>
      <c r="W993" s="14"/>
      <c r="X993" s="18"/>
      <c r="Y993" s="18"/>
      <c r="Z993" s="18"/>
      <c r="AA993" s="218"/>
      <c r="AB993" s="218"/>
    </row>
    <row r="994" ht="15.75" customHeight="1">
      <c r="A994" s="12"/>
      <c r="B994" s="14"/>
      <c r="C994" s="14"/>
      <c r="D994" s="14"/>
      <c r="E994" s="14"/>
      <c r="F994" s="14"/>
      <c r="G994" s="14"/>
      <c r="H994" s="15"/>
      <c r="I994" s="223"/>
      <c r="J994" s="14"/>
      <c r="K994" s="14"/>
      <c r="L994" s="14"/>
      <c r="M994" s="14"/>
      <c r="N994" s="14"/>
      <c r="O994" s="14"/>
      <c r="P994" s="14"/>
      <c r="Q994" s="14"/>
      <c r="R994" s="14"/>
      <c r="S994" s="14"/>
      <c r="T994" s="14"/>
      <c r="U994" s="17"/>
      <c r="V994" s="14"/>
      <c r="W994" s="14"/>
      <c r="X994" s="18"/>
      <c r="Y994" s="18"/>
      <c r="Z994" s="18"/>
      <c r="AA994" s="218"/>
      <c r="AB994" s="218"/>
    </row>
    <row r="995" ht="15.75" customHeight="1">
      <c r="A995" s="12"/>
      <c r="B995" s="14"/>
      <c r="C995" s="14"/>
      <c r="D995" s="14"/>
      <c r="E995" s="14"/>
      <c r="F995" s="14"/>
      <c r="G995" s="14"/>
      <c r="H995" s="15"/>
      <c r="I995" s="223"/>
      <c r="J995" s="14"/>
      <c r="K995" s="14"/>
      <c r="L995" s="14"/>
      <c r="M995" s="14"/>
      <c r="N995" s="14"/>
      <c r="O995" s="14"/>
      <c r="P995" s="14"/>
      <c r="Q995" s="14"/>
      <c r="R995" s="14"/>
      <c r="S995" s="14"/>
      <c r="T995" s="14"/>
      <c r="U995" s="17"/>
      <c r="V995" s="14"/>
      <c r="W995" s="14"/>
      <c r="X995" s="18"/>
      <c r="Y995" s="18"/>
      <c r="Z995" s="18"/>
      <c r="AA995" s="218"/>
      <c r="AB995" s="218"/>
    </row>
    <row r="996" ht="15.75" customHeight="1">
      <c r="A996" s="12"/>
      <c r="B996" s="14"/>
      <c r="C996" s="14"/>
      <c r="D996" s="14"/>
      <c r="E996" s="14"/>
      <c r="F996" s="14"/>
      <c r="G996" s="14"/>
      <c r="H996" s="15"/>
      <c r="I996" s="223"/>
      <c r="J996" s="14"/>
      <c r="K996" s="14"/>
      <c r="L996" s="14"/>
      <c r="M996" s="14"/>
      <c r="N996" s="14"/>
      <c r="O996" s="14"/>
      <c r="P996" s="14"/>
      <c r="Q996" s="14"/>
      <c r="R996" s="14"/>
      <c r="S996" s="14"/>
      <c r="T996" s="14"/>
      <c r="U996" s="17"/>
      <c r="V996" s="14"/>
      <c r="W996" s="14"/>
      <c r="X996" s="18"/>
      <c r="Y996" s="18"/>
      <c r="Z996" s="18"/>
      <c r="AA996" s="218"/>
      <c r="AB996" s="218"/>
    </row>
    <row r="997" ht="15.75" customHeight="1">
      <c r="A997" s="12"/>
      <c r="B997" s="14"/>
      <c r="C997" s="14"/>
      <c r="D997" s="14"/>
      <c r="E997" s="14"/>
      <c r="F997" s="14"/>
      <c r="G997" s="14"/>
      <c r="H997" s="15"/>
      <c r="I997" s="223"/>
      <c r="J997" s="14"/>
      <c r="K997" s="14"/>
      <c r="L997" s="14"/>
      <c r="M997" s="14"/>
      <c r="N997" s="14"/>
      <c r="O997" s="14"/>
      <c r="P997" s="14"/>
      <c r="Q997" s="14"/>
      <c r="R997" s="14"/>
      <c r="S997" s="14"/>
      <c r="T997" s="14"/>
      <c r="U997" s="17"/>
      <c r="V997" s="14"/>
      <c r="W997" s="14"/>
      <c r="X997" s="18"/>
      <c r="Y997" s="18"/>
      <c r="Z997" s="18"/>
      <c r="AA997" s="218"/>
      <c r="AB997" s="218"/>
    </row>
    <row r="998" ht="15.75" customHeight="1">
      <c r="A998" s="12"/>
      <c r="B998" s="14"/>
      <c r="C998" s="14"/>
      <c r="D998" s="14"/>
      <c r="E998" s="14"/>
      <c r="F998" s="14"/>
      <c r="G998" s="14"/>
      <c r="H998" s="15"/>
      <c r="I998" s="223"/>
      <c r="J998" s="14"/>
      <c r="K998" s="14"/>
      <c r="L998" s="14"/>
      <c r="M998" s="14"/>
      <c r="N998" s="14"/>
      <c r="O998" s="14"/>
      <c r="P998" s="14"/>
      <c r="Q998" s="14"/>
      <c r="R998" s="14"/>
      <c r="S998" s="14"/>
      <c r="T998" s="14"/>
      <c r="U998" s="17"/>
      <c r="V998" s="14"/>
      <c r="W998" s="14"/>
      <c r="X998" s="18"/>
      <c r="Y998" s="18"/>
      <c r="Z998" s="18"/>
      <c r="AA998" s="218"/>
      <c r="AB998" s="218"/>
    </row>
    <row r="999" ht="15.75" customHeight="1">
      <c r="A999" s="12"/>
      <c r="B999" s="14"/>
      <c r="C999" s="14"/>
      <c r="D999" s="14"/>
      <c r="E999" s="14"/>
      <c r="F999" s="14"/>
      <c r="G999" s="14"/>
      <c r="H999" s="15"/>
      <c r="I999" s="223"/>
      <c r="J999" s="14"/>
      <c r="K999" s="14"/>
      <c r="L999" s="14"/>
      <c r="M999" s="14"/>
      <c r="N999" s="14"/>
      <c r="O999" s="14"/>
      <c r="P999" s="14"/>
      <c r="Q999" s="14"/>
      <c r="R999" s="14"/>
      <c r="S999" s="14"/>
      <c r="T999" s="14"/>
      <c r="U999" s="17"/>
      <c r="V999" s="14"/>
      <c r="W999" s="14"/>
      <c r="X999" s="18"/>
      <c r="Y999" s="18"/>
      <c r="Z999" s="18"/>
      <c r="AA999" s="218"/>
      <c r="AB999" s="218"/>
    </row>
    <row r="1000" ht="15.75" customHeight="1">
      <c r="A1000" s="12"/>
      <c r="B1000" s="14"/>
      <c r="C1000" s="14"/>
      <c r="D1000" s="14"/>
      <c r="E1000" s="14"/>
      <c r="F1000" s="14"/>
      <c r="G1000" s="14"/>
      <c r="H1000" s="15"/>
      <c r="I1000" s="223"/>
      <c r="J1000" s="14"/>
      <c r="K1000" s="14"/>
      <c r="L1000" s="14"/>
      <c r="M1000" s="14"/>
      <c r="N1000" s="14"/>
      <c r="O1000" s="14"/>
      <c r="P1000" s="14"/>
      <c r="Q1000" s="14"/>
      <c r="R1000" s="14"/>
      <c r="S1000" s="14"/>
      <c r="T1000" s="14"/>
      <c r="U1000" s="17"/>
      <c r="V1000" s="14"/>
      <c r="W1000" s="14"/>
      <c r="X1000" s="18"/>
      <c r="Y1000" s="18"/>
      <c r="Z1000" s="18"/>
      <c r="AA1000" s="218"/>
      <c r="AB1000" s="218"/>
    </row>
    <row r="1001" ht="15.75" customHeight="1">
      <c r="A1001" s="12"/>
      <c r="B1001" s="14"/>
      <c r="C1001" s="14"/>
      <c r="D1001" s="14"/>
      <c r="E1001" s="14"/>
      <c r="F1001" s="14"/>
      <c r="G1001" s="14"/>
      <c r="H1001" s="15"/>
      <c r="I1001" s="223"/>
      <c r="J1001" s="14"/>
      <c r="K1001" s="14"/>
      <c r="L1001" s="14"/>
      <c r="M1001" s="14"/>
      <c r="N1001" s="14"/>
      <c r="O1001" s="14"/>
      <c r="P1001" s="14"/>
      <c r="Q1001" s="14"/>
      <c r="R1001" s="14"/>
      <c r="S1001" s="14"/>
      <c r="T1001" s="14"/>
      <c r="U1001" s="17"/>
      <c r="V1001" s="14"/>
      <c r="W1001" s="14"/>
      <c r="X1001" s="18"/>
      <c r="Y1001" s="18"/>
      <c r="Z1001" s="18"/>
      <c r="AA1001" s="218"/>
      <c r="AB1001" s="218"/>
    </row>
    <row r="1002" ht="15.75" customHeight="1">
      <c r="A1002" s="12"/>
      <c r="B1002" s="14"/>
      <c r="C1002" s="14"/>
      <c r="D1002" s="14"/>
      <c r="E1002" s="14"/>
      <c r="F1002" s="14"/>
      <c r="G1002" s="14"/>
      <c r="H1002" s="15"/>
      <c r="I1002" s="223"/>
      <c r="J1002" s="14"/>
      <c r="K1002" s="14"/>
      <c r="L1002" s="14"/>
      <c r="M1002" s="14"/>
      <c r="N1002" s="14"/>
      <c r="O1002" s="14"/>
      <c r="P1002" s="14"/>
      <c r="Q1002" s="14"/>
      <c r="R1002" s="14"/>
      <c r="S1002" s="14"/>
      <c r="T1002" s="14"/>
      <c r="U1002" s="17"/>
      <c r="V1002" s="14"/>
      <c r="W1002" s="14"/>
      <c r="X1002" s="18"/>
      <c r="Y1002" s="18"/>
      <c r="Z1002" s="18"/>
      <c r="AA1002" s="218"/>
      <c r="AB1002" s="218"/>
    </row>
    <row r="1003" ht="15.75" customHeight="1">
      <c r="A1003" s="12"/>
      <c r="B1003" s="14"/>
      <c r="C1003" s="14"/>
      <c r="D1003" s="14"/>
      <c r="E1003" s="14"/>
      <c r="F1003" s="14"/>
      <c r="G1003" s="14"/>
      <c r="H1003" s="15"/>
      <c r="I1003" s="223"/>
      <c r="J1003" s="14"/>
      <c r="K1003" s="14"/>
      <c r="L1003" s="14"/>
      <c r="M1003" s="14"/>
      <c r="N1003" s="14"/>
      <c r="O1003" s="14"/>
      <c r="P1003" s="14"/>
      <c r="Q1003" s="14"/>
      <c r="R1003" s="14"/>
      <c r="S1003" s="14"/>
      <c r="T1003" s="14"/>
      <c r="U1003" s="17"/>
      <c r="V1003" s="14"/>
      <c r="W1003" s="14"/>
      <c r="X1003" s="18"/>
      <c r="Y1003" s="18"/>
      <c r="Z1003" s="18"/>
      <c r="AA1003" s="218"/>
      <c r="AB1003" s="218"/>
    </row>
    <row r="1004" ht="15.75" customHeight="1">
      <c r="A1004" s="12"/>
      <c r="B1004" s="14"/>
      <c r="C1004" s="14"/>
      <c r="D1004" s="14"/>
      <c r="E1004" s="14"/>
      <c r="F1004" s="14"/>
      <c r="G1004" s="14"/>
      <c r="H1004" s="15"/>
      <c r="I1004" s="223"/>
      <c r="J1004" s="14"/>
      <c r="K1004" s="14"/>
      <c r="L1004" s="14"/>
      <c r="M1004" s="14"/>
      <c r="N1004" s="14"/>
      <c r="O1004" s="14"/>
      <c r="P1004" s="14"/>
      <c r="Q1004" s="14"/>
      <c r="R1004" s="14"/>
      <c r="S1004" s="14"/>
      <c r="T1004" s="14"/>
      <c r="U1004" s="17"/>
      <c r="V1004" s="14"/>
      <c r="W1004" s="14"/>
      <c r="X1004" s="18"/>
      <c r="Y1004" s="18"/>
      <c r="Z1004" s="18"/>
      <c r="AA1004" s="218"/>
      <c r="AB1004" s="218"/>
    </row>
    <row r="1005" ht="15.75" customHeight="1">
      <c r="A1005" s="12"/>
      <c r="B1005" s="14"/>
      <c r="C1005" s="14"/>
      <c r="D1005" s="14"/>
      <c r="E1005" s="14"/>
      <c r="F1005" s="14"/>
      <c r="G1005" s="14"/>
      <c r="H1005" s="15"/>
      <c r="I1005" s="223"/>
      <c r="J1005" s="14"/>
      <c r="K1005" s="14"/>
      <c r="L1005" s="14"/>
      <c r="M1005" s="14"/>
      <c r="N1005" s="14"/>
      <c r="O1005" s="14"/>
      <c r="P1005" s="14"/>
      <c r="Q1005" s="14"/>
      <c r="R1005" s="14"/>
      <c r="S1005" s="14"/>
      <c r="T1005" s="14"/>
      <c r="U1005" s="17"/>
      <c r="V1005" s="14"/>
      <c r="W1005" s="14"/>
      <c r="X1005" s="18"/>
      <c r="Y1005" s="18"/>
      <c r="Z1005" s="18"/>
      <c r="AA1005" s="218"/>
      <c r="AB1005" s="218"/>
    </row>
    <row r="1006" ht="15.75" customHeight="1">
      <c r="A1006" s="12"/>
      <c r="B1006" s="14"/>
      <c r="C1006" s="14"/>
      <c r="D1006" s="14"/>
      <c r="E1006" s="14"/>
      <c r="F1006" s="14"/>
      <c r="G1006" s="14"/>
      <c r="H1006" s="15"/>
      <c r="I1006" s="223"/>
      <c r="J1006" s="14"/>
      <c r="K1006" s="14"/>
      <c r="L1006" s="14"/>
      <c r="M1006" s="14"/>
      <c r="N1006" s="14"/>
      <c r="O1006" s="14"/>
      <c r="P1006" s="14"/>
      <c r="Q1006" s="14"/>
      <c r="R1006" s="14"/>
      <c r="S1006" s="14"/>
      <c r="T1006" s="14"/>
      <c r="U1006" s="17"/>
      <c r="V1006" s="14"/>
      <c r="W1006" s="14"/>
      <c r="X1006" s="18"/>
      <c r="Y1006" s="18"/>
      <c r="Z1006" s="18"/>
      <c r="AA1006" s="218"/>
      <c r="AB1006" s="218"/>
    </row>
    <row r="1007" ht="15.75" customHeight="1">
      <c r="A1007" s="12"/>
      <c r="B1007" s="14"/>
      <c r="C1007" s="14"/>
      <c r="D1007" s="14"/>
      <c r="E1007" s="14"/>
      <c r="F1007" s="14"/>
      <c r="G1007" s="14"/>
      <c r="H1007" s="15"/>
      <c r="I1007" s="223"/>
      <c r="J1007" s="14"/>
      <c r="K1007" s="14"/>
      <c r="L1007" s="14"/>
      <c r="M1007" s="14"/>
      <c r="N1007" s="14"/>
      <c r="O1007" s="14"/>
      <c r="P1007" s="14"/>
      <c r="Q1007" s="14"/>
      <c r="R1007" s="14"/>
      <c r="S1007" s="14"/>
      <c r="T1007" s="14"/>
      <c r="U1007" s="17"/>
      <c r="V1007" s="14"/>
      <c r="W1007" s="14"/>
      <c r="X1007" s="18"/>
      <c r="Y1007" s="18"/>
      <c r="Z1007" s="18"/>
      <c r="AA1007" s="218"/>
      <c r="AB1007" s="218"/>
    </row>
    <row r="1008" ht="15.75" customHeight="1">
      <c r="A1008" s="12"/>
      <c r="B1008" s="14"/>
      <c r="C1008" s="14"/>
      <c r="D1008" s="14"/>
      <c r="E1008" s="14"/>
      <c r="F1008" s="14"/>
      <c r="G1008" s="14"/>
      <c r="H1008" s="15"/>
      <c r="I1008" s="223"/>
      <c r="J1008" s="14"/>
      <c r="K1008" s="14"/>
      <c r="L1008" s="14"/>
      <c r="M1008" s="14"/>
      <c r="N1008" s="14"/>
      <c r="O1008" s="14"/>
      <c r="P1008" s="14"/>
      <c r="Q1008" s="14"/>
      <c r="R1008" s="14"/>
      <c r="S1008" s="14"/>
      <c r="T1008" s="14"/>
      <c r="U1008" s="17"/>
      <c r="V1008" s="14"/>
      <c r="W1008" s="14"/>
      <c r="X1008" s="18"/>
      <c r="Y1008" s="18"/>
      <c r="Z1008" s="18"/>
      <c r="AA1008" s="218"/>
      <c r="AB1008" s="218"/>
    </row>
    <row r="1009" ht="15.75" customHeight="1">
      <c r="A1009" s="12"/>
      <c r="B1009" s="14"/>
      <c r="C1009" s="14"/>
      <c r="D1009" s="14"/>
      <c r="E1009" s="14"/>
      <c r="F1009" s="14"/>
      <c r="G1009" s="14"/>
      <c r="H1009" s="15"/>
      <c r="I1009" s="223"/>
      <c r="J1009" s="14"/>
      <c r="K1009" s="14"/>
      <c r="L1009" s="14"/>
      <c r="M1009" s="14"/>
      <c r="N1009" s="14"/>
      <c r="O1009" s="14"/>
      <c r="P1009" s="14"/>
      <c r="Q1009" s="14"/>
      <c r="R1009" s="14"/>
      <c r="S1009" s="14"/>
      <c r="T1009" s="14"/>
      <c r="U1009" s="17"/>
      <c r="V1009" s="14"/>
      <c r="W1009" s="14"/>
      <c r="X1009" s="18"/>
      <c r="Y1009" s="18"/>
      <c r="Z1009" s="18"/>
      <c r="AA1009" s="218"/>
      <c r="AB1009" s="218"/>
    </row>
    <row r="1010" ht="15.75" customHeight="1">
      <c r="A1010" s="12"/>
      <c r="B1010" s="14"/>
      <c r="C1010" s="14"/>
      <c r="D1010" s="14"/>
      <c r="E1010" s="14"/>
      <c r="F1010" s="14"/>
      <c r="G1010" s="14"/>
      <c r="H1010" s="15"/>
      <c r="I1010" s="223"/>
      <c r="J1010" s="14"/>
      <c r="K1010" s="14"/>
      <c r="L1010" s="14"/>
      <c r="M1010" s="14"/>
      <c r="N1010" s="14"/>
      <c r="O1010" s="14"/>
      <c r="P1010" s="14"/>
      <c r="Q1010" s="14"/>
      <c r="R1010" s="14"/>
      <c r="S1010" s="14"/>
      <c r="T1010" s="14"/>
      <c r="U1010" s="17"/>
      <c r="V1010" s="14"/>
      <c r="W1010" s="14"/>
      <c r="X1010" s="18"/>
      <c r="Y1010" s="18"/>
      <c r="Z1010" s="18"/>
      <c r="AA1010" s="218"/>
      <c r="AB1010" s="218"/>
    </row>
    <row r="1011" ht="15.75" customHeight="1">
      <c r="A1011" s="12"/>
      <c r="B1011" s="14"/>
      <c r="C1011" s="14"/>
      <c r="D1011" s="14"/>
      <c r="E1011" s="14"/>
      <c r="F1011" s="14"/>
      <c r="G1011" s="14"/>
      <c r="H1011" s="15"/>
      <c r="I1011" s="223"/>
      <c r="J1011" s="14"/>
      <c r="K1011" s="14"/>
      <c r="L1011" s="14"/>
      <c r="M1011" s="14"/>
      <c r="N1011" s="14"/>
      <c r="O1011" s="14"/>
      <c r="P1011" s="14"/>
      <c r="Q1011" s="14"/>
      <c r="R1011" s="14"/>
      <c r="S1011" s="14"/>
      <c r="T1011" s="14"/>
      <c r="U1011" s="17"/>
      <c r="V1011" s="14"/>
      <c r="W1011" s="14"/>
      <c r="X1011" s="18"/>
      <c r="Y1011" s="18"/>
      <c r="Z1011" s="18"/>
      <c r="AA1011" s="218"/>
      <c r="AB1011" s="218"/>
    </row>
    <row r="1012" ht="15.75" customHeight="1">
      <c r="A1012" s="12"/>
      <c r="B1012" s="14"/>
      <c r="C1012" s="14"/>
      <c r="D1012" s="14"/>
      <c r="E1012" s="14"/>
      <c r="F1012" s="14"/>
      <c r="G1012" s="14"/>
      <c r="H1012" s="15"/>
      <c r="I1012" s="223"/>
      <c r="J1012" s="14"/>
      <c r="K1012" s="14"/>
      <c r="L1012" s="14"/>
      <c r="M1012" s="14"/>
      <c r="N1012" s="14"/>
      <c r="O1012" s="14"/>
      <c r="P1012" s="14"/>
      <c r="Q1012" s="14"/>
      <c r="R1012" s="14"/>
      <c r="S1012" s="14"/>
      <c r="T1012" s="14"/>
      <c r="U1012" s="17"/>
      <c r="V1012" s="14"/>
      <c r="W1012" s="14"/>
      <c r="X1012" s="18"/>
      <c r="Y1012" s="18"/>
      <c r="Z1012" s="18"/>
      <c r="AA1012" s="218"/>
      <c r="AB1012" s="218"/>
    </row>
    <row r="1013" ht="15.75" customHeight="1">
      <c r="A1013" s="12"/>
      <c r="B1013" s="14"/>
      <c r="C1013" s="14"/>
      <c r="D1013" s="14"/>
      <c r="E1013" s="14"/>
      <c r="F1013" s="14"/>
      <c r="G1013" s="14"/>
      <c r="H1013" s="15"/>
      <c r="I1013" s="223"/>
      <c r="J1013" s="14"/>
      <c r="K1013" s="14"/>
      <c r="L1013" s="14"/>
      <c r="M1013" s="14"/>
      <c r="N1013" s="14"/>
      <c r="O1013" s="14"/>
      <c r="P1013" s="14"/>
      <c r="Q1013" s="14"/>
      <c r="R1013" s="14"/>
      <c r="S1013" s="14"/>
      <c r="T1013" s="14"/>
      <c r="U1013" s="17"/>
      <c r="V1013" s="14"/>
      <c r="W1013" s="14"/>
      <c r="X1013" s="18"/>
      <c r="Y1013" s="18"/>
      <c r="Z1013" s="18"/>
      <c r="AA1013" s="218"/>
      <c r="AB1013" s="218"/>
    </row>
    <row r="1014" ht="15.75" customHeight="1">
      <c r="A1014" s="12"/>
      <c r="B1014" s="14"/>
      <c r="C1014" s="14"/>
      <c r="D1014" s="14"/>
      <c r="E1014" s="14"/>
      <c r="F1014" s="14"/>
      <c r="G1014" s="14"/>
      <c r="H1014" s="15"/>
      <c r="I1014" s="223"/>
      <c r="J1014" s="14"/>
      <c r="K1014" s="14"/>
      <c r="L1014" s="14"/>
      <c r="M1014" s="14"/>
      <c r="N1014" s="14"/>
      <c r="O1014" s="14"/>
      <c r="P1014" s="14"/>
      <c r="Q1014" s="14"/>
      <c r="R1014" s="14"/>
      <c r="S1014" s="14"/>
      <c r="T1014" s="14"/>
      <c r="U1014" s="17"/>
      <c r="V1014" s="14"/>
      <c r="W1014" s="14"/>
      <c r="X1014" s="18"/>
      <c r="Y1014" s="18"/>
      <c r="Z1014" s="18"/>
      <c r="AA1014" s="218"/>
      <c r="AB1014" s="218"/>
    </row>
    <row r="1015" ht="15.75" customHeight="1">
      <c r="A1015" s="12"/>
      <c r="B1015" s="14"/>
      <c r="C1015" s="14"/>
      <c r="D1015" s="14"/>
      <c r="E1015" s="14"/>
      <c r="F1015" s="14"/>
      <c r="G1015" s="14"/>
      <c r="H1015" s="15"/>
      <c r="I1015" s="223"/>
      <c r="J1015" s="14"/>
      <c r="K1015" s="14"/>
      <c r="L1015" s="14"/>
      <c r="M1015" s="14"/>
      <c r="N1015" s="14"/>
      <c r="O1015" s="14"/>
      <c r="P1015" s="14"/>
      <c r="Q1015" s="14"/>
      <c r="R1015" s="14"/>
      <c r="S1015" s="14"/>
      <c r="T1015" s="14"/>
      <c r="U1015" s="17"/>
      <c r="V1015" s="14"/>
      <c r="W1015" s="14"/>
      <c r="X1015" s="18"/>
      <c r="Y1015" s="18"/>
      <c r="Z1015" s="18"/>
      <c r="AA1015" s="218"/>
      <c r="AB1015" s="218"/>
    </row>
    <row r="1016" ht="15.75" customHeight="1">
      <c r="A1016" s="12"/>
      <c r="B1016" s="14"/>
      <c r="C1016" s="14"/>
      <c r="D1016" s="14"/>
      <c r="E1016" s="14"/>
      <c r="F1016" s="14"/>
      <c r="G1016" s="14"/>
      <c r="H1016" s="15"/>
      <c r="I1016" s="223"/>
      <c r="J1016" s="14"/>
      <c r="K1016" s="14"/>
      <c r="L1016" s="14"/>
      <c r="M1016" s="14"/>
      <c r="N1016" s="14"/>
      <c r="O1016" s="14"/>
      <c r="P1016" s="14"/>
      <c r="Q1016" s="14"/>
      <c r="R1016" s="14"/>
      <c r="S1016" s="14"/>
      <c r="T1016" s="14"/>
      <c r="U1016" s="17"/>
      <c r="V1016" s="14"/>
      <c r="W1016" s="14"/>
      <c r="X1016" s="18"/>
      <c r="Y1016" s="18"/>
      <c r="Z1016" s="18"/>
      <c r="AA1016" s="218"/>
      <c r="AB1016" s="218"/>
    </row>
    <row r="1017" ht="15.75" customHeight="1">
      <c r="A1017" s="12"/>
      <c r="B1017" s="14"/>
      <c r="C1017" s="14"/>
      <c r="D1017" s="14"/>
      <c r="E1017" s="14"/>
      <c r="F1017" s="14"/>
      <c r="G1017" s="14"/>
      <c r="H1017" s="15"/>
      <c r="I1017" s="223"/>
      <c r="J1017" s="14"/>
      <c r="K1017" s="14"/>
      <c r="L1017" s="14"/>
      <c r="M1017" s="14"/>
      <c r="N1017" s="14"/>
      <c r="O1017" s="14"/>
      <c r="P1017" s="14"/>
      <c r="Q1017" s="14"/>
      <c r="R1017" s="14"/>
      <c r="S1017" s="14"/>
      <c r="T1017" s="14"/>
      <c r="U1017" s="17"/>
      <c r="V1017" s="14"/>
      <c r="W1017" s="14"/>
      <c r="X1017" s="18"/>
      <c r="Y1017" s="18"/>
      <c r="Z1017" s="18"/>
      <c r="AA1017" s="218"/>
      <c r="AB1017" s="218"/>
    </row>
    <row r="1018" ht="15.75" customHeight="1">
      <c r="A1018" s="12"/>
      <c r="B1018" s="14"/>
      <c r="C1018" s="14"/>
      <c r="D1018" s="14"/>
      <c r="E1018" s="14"/>
      <c r="F1018" s="14"/>
      <c r="G1018" s="14"/>
      <c r="H1018" s="15"/>
      <c r="I1018" s="223"/>
      <c r="J1018" s="14"/>
      <c r="K1018" s="14"/>
      <c r="L1018" s="14"/>
      <c r="M1018" s="14"/>
      <c r="N1018" s="14"/>
      <c r="O1018" s="14"/>
      <c r="P1018" s="14"/>
      <c r="Q1018" s="14"/>
      <c r="R1018" s="14"/>
      <c r="S1018" s="14"/>
      <c r="T1018" s="14"/>
      <c r="U1018" s="17"/>
      <c r="V1018" s="14"/>
      <c r="W1018" s="14"/>
      <c r="X1018" s="18"/>
      <c r="Y1018" s="18"/>
      <c r="Z1018" s="18"/>
      <c r="AA1018" s="218"/>
      <c r="AB1018" s="218"/>
    </row>
    <row r="1019" ht="15.75" customHeight="1">
      <c r="A1019" s="12"/>
      <c r="B1019" s="14"/>
      <c r="C1019" s="14"/>
      <c r="D1019" s="14"/>
      <c r="E1019" s="14"/>
      <c r="F1019" s="14"/>
      <c r="G1019" s="14"/>
      <c r="H1019" s="15"/>
      <c r="I1019" s="223"/>
      <c r="J1019" s="14"/>
      <c r="K1019" s="14"/>
      <c r="L1019" s="14"/>
      <c r="M1019" s="14"/>
      <c r="N1019" s="14"/>
      <c r="O1019" s="14"/>
      <c r="P1019" s="14"/>
      <c r="Q1019" s="14"/>
      <c r="R1019" s="14"/>
      <c r="S1019" s="14"/>
      <c r="T1019" s="14"/>
      <c r="U1019" s="17"/>
      <c r="V1019" s="224"/>
      <c r="W1019" s="224"/>
      <c r="X1019" s="225"/>
      <c r="Y1019" s="225"/>
      <c r="Z1019" s="225"/>
      <c r="AA1019" s="218"/>
      <c r="AB1019" s="218"/>
    </row>
    <row r="1020" ht="15.75" customHeight="1">
      <c r="A1020" s="224"/>
      <c r="B1020" s="224"/>
      <c r="C1020" s="226"/>
      <c r="D1020" s="227"/>
      <c r="E1020" s="224"/>
      <c r="F1020" s="224"/>
      <c r="G1020" s="224"/>
      <c r="H1020" s="228"/>
      <c r="I1020" s="229"/>
      <c r="J1020" s="224"/>
      <c r="K1020" s="224"/>
      <c r="L1020" s="230"/>
      <c r="M1020" s="224"/>
      <c r="N1020" s="224"/>
      <c r="O1020" s="231"/>
      <c r="P1020" s="231"/>
      <c r="Q1020" s="224"/>
      <c r="R1020" s="224"/>
      <c r="S1020" s="232"/>
      <c r="T1020" s="224"/>
      <c r="U1020" s="224"/>
      <c r="V1020" s="14"/>
      <c r="W1020" s="14"/>
      <c r="X1020" s="18"/>
      <c r="Y1020" s="18"/>
      <c r="Z1020" s="18"/>
      <c r="AA1020" s="233"/>
      <c r="AB1020" s="233"/>
    </row>
    <row r="1021" ht="15.75" customHeight="1">
      <c r="A1021" s="12"/>
      <c r="B1021" s="14"/>
      <c r="C1021" s="14"/>
      <c r="D1021" s="14"/>
      <c r="E1021" s="14"/>
      <c r="F1021" s="14"/>
      <c r="G1021" s="14"/>
      <c r="H1021" s="15"/>
      <c r="I1021" s="223"/>
      <c r="J1021" s="14"/>
      <c r="K1021" s="14"/>
      <c r="L1021" s="14"/>
      <c r="M1021" s="14"/>
      <c r="N1021" s="14"/>
      <c r="O1021" s="14"/>
      <c r="P1021" s="14"/>
      <c r="Q1021" s="14"/>
      <c r="R1021" s="14"/>
      <c r="S1021" s="14"/>
      <c r="T1021" s="14"/>
      <c r="U1021" s="17"/>
      <c r="V1021" s="14"/>
      <c r="W1021" s="14"/>
      <c r="X1021" s="18"/>
      <c r="Y1021" s="18"/>
      <c r="Z1021" s="18"/>
      <c r="AA1021" s="218"/>
      <c r="AB1021" s="218"/>
    </row>
    <row r="1022" ht="15.75" customHeight="1">
      <c r="A1022" s="12"/>
      <c r="B1022" s="14"/>
      <c r="C1022" s="14"/>
      <c r="D1022" s="14"/>
      <c r="E1022" s="14"/>
      <c r="F1022" s="14"/>
      <c r="G1022" s="14"/>
      <c r="H1022" s="15"/>
      <c r="I1022" s="223"/>
      <c r="J1022" s="14"/>
      <c r="K1022" s="14"/>
      <c r="L1022" s="14"/>
      <c r="M1022" s="14"/>
      <c r="N1022" s="14"/>
      <c r="O1022" s="14"/>
      <c r="P1022" s="14"/>
      <c r="Q1022" s="14"/>
      <c r="R1022" s="14"/>
      <c r="S1022" s="14"/>
      <c r="T1022" s="14"/>
      <c r="U1022" s="17"/>
      <c r="V1022" s="14"/>
      <c r="W1022" s="14"/>
      <c r="X1022" s="18"/>
      <c r="Y1022" s="18"/>
      <c r="Z1022" s="18"/>
      <c r="AA1022" s="218"/>
      <c r="AB1022" s="218"/>
    </row>
    <row r="1023" ht="15.75" customHeight="1">
      <c r="A1023" s="12"/>
      <c r="B1023" s="14"/>
      <c r="C1023" s="14"/>
      <c r="D1023" s="14"/>
      <c r="E1023" s="14"/>
      <c r="F1023" s="14"/>
      <c r="G1023" s="14"/>
      <c r="H1023" s="15"/>
      <c r="I1023" s="223"/>
      <c r="J1023" s="14"/>
      <c r="K1023" s="14"/>
      <c r="L1023" s="14"/>
      <c r="M1023" s="14"/>
      <c r="N1023" s="14"/>
      <c r="O1023" s="14"/>
      <c r="P1023" s="14"/>
      <c r="Q1023" s="14"/>
      <c r="R1023" s="14"/>
      <c r="S1023" s="14"/>
      <c r="T1023" s="14"/>
      <c r="U1023" s="17"/>
      <c r="V1023" s="14"/>
      <c r="W1023" s="14"/>
      <c r="X1023" s="18"/>
      <c r="Y1023" s="18"/>
      <c r="Z1023" s="18"/>
      <c r="AA1023" s="218"/>
      <c r="AB1023" s="218"/>
    </row>
    <row r="1024" ht="15.75" customHeight="1">
      <c r="A1024" s="12"/>
      <c r="B1024" s="14"/>
      <c r="C1024" s="14"/>
      <c r="D1024" s="14"/>
      <c r="E1024" s="14"/>
      <c r="F1024" s="14"/>
      <c r="G1024" s="14"/>
      <c r="H1024" s="15"/>
      <c r="I1024" s="223"/>
      <c r="J1024" s="14"/>
      <c r="K1024" s="14"/>
      <c r="L1024" s="14"/>
      <c r="M1024" s="14"/>
      <c r="N1024" s="14"/>
      <c r="O1024" s="14"/>
      <c r="P1024" s="14"/>
      <c r="Q1024" s="14"/>
      <c r="R1024" s="14"/>
      <c r="S1024" s="14"/>
      <c r="T1024" s="14"/>
      <c r="U1024" s="17"/>
      <c r="V1024" s="14"/>
      <c r="W1024" s="14"/>
      <c r="X1024" s="18"/>
      <c r="Y1024" s="18"/>
      <c r="Z1024" s="18"/>
      <c r="AA1024" s="218"/>
      <c r="AB1024" s="218"/>
    </row>
    <row r="1025" ht="15.75" customHeight="1">
      <c r="A1025" s="12"/>
      <c r="B1025" s="14"/>
      <c r="C1025" s="14"/>
      <c r="D1025" s="14"/>
      <c r="E1025" s="14"/>
      <c r="F1025" s="14"/>
      <c r="G1025" s="14"/>
      <c r="H1025" s="15"/>
      <c r="I1025" s="223"/>
      <c r="J1025" s="14"/>
      <c r="K1025" s="14"/>
      <c r="L1025" s="14"/>
      <c r="M1025" s="14"/>
      <c r="N1025" s="14"/>
      <c r="O1025" s="14"/>
      <c r="P1025" s="14"/>
      <c r="Q1025" s="14"/>
      <c r="R1025" s="14"/>
      <c r="S1025" s="14"/>
      <c r="T1025" s="14"/>
      <c r="U1025" s="17"/>
      <c r="V1025" s="14"/>
      <c r="W1025" s="14"/>
      <c r="X1025" s="18"/>
      <c r="Y1025" s="18"/>
      <c r="Z1025" s="18"/>
      <c r="AA1025" s="218"/>
      <c r="AB1025" s="218"/>
    </row>
    <row r="1026" ht="15.75" customHeight="1">
      <c r="A1026" s="12"/>
      <c r="B1026" s="14"/>
      <c r="C1026" s="14"/>
      <c r="D1026" s="14"/>
      <c r="E1026" s="14"/>
      <c r="F1026" s="14"/>
      <c r="G1026" s="14"/>
      <c r="H1026" s="15"/>
      <c r="I1026" s="223"/>
      <c r="J1026" s="14"/>
      <c r="K1026" s="14"/>
      <c r="L1026" s="14"/>
      <c r="M1026" s="14"/>
      <c r="N1026" s="14"/>
      <c r="O1026" s="14"/>
      <c r="P1026" s="14"/>
      <c r="Q1026" s="14"/>
      <c r="R1026" s="14"/>
      <c r="S1026" s="14"/>
      <c r="T1026" s="14"/>
      <c r="U1026" s="17"/>
      <c r="V1026" s="14"/>
      <c r="W1026" s="14"/>
      <c r="X1026" s="18"/>
      <c r="Y1026" s="18"/>
      <c r="Z1026" s="18"/>
      <c r="AA1026" s="218"/>
      <c r="AB1026" s="218"/>
    </row>
    <row r="1027" ht="15.75" customHeight="1">
      <c r="A1027" s="12"/>
      <c r="B1027" s="14"/>
      <c r="C1027" s="14"/>
      <c r="D1027" s="14"/>
      <c r="E1027" s="14"/>
      <c r="F1027" s="14"/>
      <c r="G1027" s="14"/>
      <c r="H1027" s="15"/>
      <c r="I1027" s="223"/>
      <c r="J1027" s="14"/>
      <c r="K1027" s="14"/>
      <c r="L1027" s="14"/>
      <c r="M1027" s="14"/>
      <c r="N1027" s="14"/>
      <c r="O1027" s="14"/>
      <c r="P1027" s="14"/>
      <c r="Q1027" s="14"/>
      <c r="R1027" s="14"/>
      <c r="S1027" s="14"/>
      <c r="T1027" s="14"/>
      <c r="U1027" s="17"/>
      <c r="V1027" s="14"/>
      <c r="W1027" s="14"/>
      <c r="X1027" s="18"/>
      <c r="Y1027" s="18"/>
      <c r="Z1027" s="18"/>
      <c r="AA1027" s="218"/>
      <c r="AB1027" s="218"/>
    </row>
    <row r="1028" ht="15.75" customHeight="1">
      <c r="A1028" s="12"/>
      <c r="B1028" s="14"/>
      <c r="C1028" s="14"/>
      <c r="D1028" s="14"/>
      <c r="E1028" s="14"/>
      <c r="F1028" s="14"/>
      <c r="G1028" s="14"/>
      <c r="H1028" s="15"/>
      <c r="I1028" s="223"/>
      <c r="J1028" s="14"/>
      <c r="K1028" s="14"/>
      <c r="L1028" s="14"/>
      <c r="M1028" s="14"/>
      <c r="N1028" s="14"/>
      <c r="O1028" s="14"/>
      <c r="P1028" s="14"/>
      <c r="Q1028" s="14"/>
      <c r="R1028" s="14"/>
      <c r="S1028" s="14"/>
      <c r="T1028" s="14"/>
      <c r="U1028" s="17"/>
      <c r="V1028" s="14"/>
      <c r="W1028" s="14"/>
      <c r="X1028" s="18"/>
      <c r="Y1028" s="18"/>
      <c r="Z1028" s="18"/>
      <c r="AA1028" s="218"/>
      <c r="AB1028" s="218"/>
    </row>
    <row r="1029" ht="15.75" customHeight="1">
      <c r="A1029" s="12"/>
      <c r="B1029" s="14"/>
      <c r="C1029" s="14"/>
      <c r="D1029" s="14"/>
      <c r="E1029" s="14"/>
      <c r="F1029" s="14"/>
      <c r="G1029" s="14"/>
      <c r="H1029" s="15"/>
      <c r="I1029" s="223"/>
      <c r="J1029" s="14"/>
      <c r="K1029" s="14"/>
      <c r="L1029" s="14"/>
      <c r="M1029" s="14"/>
      <c r="N1029" s="14"/>
      <c r="O1029" s="14"/>
      <c r="P1029" s="14"/>
      <c r="Q1029" s="14"/>
      <c r="R1029" s="14"/>
      <c r="S1029" s="14"/>
      <c r="T1029" s="14"/>
      <c r="U1029" s="17"/>
      <c r="V1029" s="14"/>
      <c r="W1029" s="14"/>
      <c r="X1029" s="18"/>
      <c r="Y1029" s="18"/>
      <c r="Z1029" s="18"/>
      <c r="AA1029" s="218"/>
      <c r="AB1029" s="218"/>
    </row>
    <row r="1030" ht="15.75" customHeight="1">
      <c r="A1030" s="12"/>
      <c r="B1030" s="14"/>
      <c r="C1030" s="14"/>
      <c r="D1030" s="14"/>
      <c r="E1030" s="14"/>
      <c r="F1030" s="14"/>
      <c r="G1030" s="14"/>
      <c r="H1030" s="15"/>
      <c r="I1030" s="223"/>
      <c r="J1030" s="14"/>
      <c r="K1030" s="14"/>
      <c r="L1030" s="14"/>
      <c r="M1030" s="14"/>
      <c r="N1030" s="14"/>
      <c r="O1030" s="14"/>
      <c r="P1030" s="14"/>
      <c r="Q1030" s="14"/>
      <c r="R1030" s="14"/>
      <c r="S1030" s="14"/>
      <c r="T1030" s="14"/>
      <c r="U1030" s="17"/>
      <c r="V1030" s="14"/>
      <c r="W1030" s="14"/>
      <c r="X1030" s="18"/>
      <c r="Y1030" s="18"/>
      <c r="Z1030" s="18"/>
      <c r="AA1030" s="218"/>
      <c r="AB1030" s="218"/>
    </row>
    <row r="1031" ht="15.75" customHeight="1">
      <c r="A1031" s="12"/>
      <c r="B1031" s="14"/>
      <c r="C1031" s="14"/>
      <c r="D1031" s="14"/>
      <c r="E1031" s="14"/>
      <c r="F1031" s="14"/>
      <c r="G1031" s="14"/>
      <c r="H1031" s="15"/>
      <c r="I1031" s="223"/>
      <c r="J1031" s="14"/>
      <c r="K1031" s="14"/>
      <c r="L1031" s="14"/>
      <c r="M1031" s="14"/>
      <c r="N1031" s="14"/>
      <c r="O1031" s="14"/>
      <c r="P1031" s="14"/>
      <c r="Q1031" s="14"/>
      <c r="R1031" s="14"/>
      <c r="S1031" s="14"/>
      <c r="T1031" s="14"/>
      <c r="U1031" s="17"/>
      <c r="V1031" s="14"/>
      <c r="W1031" s="14"/>
      <c r="X1031" s="18"/>
      <c r="Y1031" s="18"/>
      <c r="Z1031" s="18"/>
      <c r="AA1031" s="218"/>
      <c r="AB1031" s="218"/>
    </row>
    <row r="1032" ht="15.75" customHeight="1">
      <c r="A1032" s="12"/>
      <c r="B1032" s="14"/>
      <c r="C1032" s="14"/>
      <c r="D1032" s="14"/>
      <c r="E1032" s="14"/>
      <c r="F1032" s="14"/>
      <c r="G1032" s="14"/>
      <c r="H1032" s="15"/>
      <c r="I1032" s="223"/>
      <c r="J1032" s="14"/>
      <c r="K1032" s="14"/>
      <c r="L1032" s="14"/>
      <c r="M1032" s="14"/>
      <c r="N1032" s="14"/>
      <c r="O1032" s="14"/>
      <c r="P1032" s="14"/>
      <c r="Q1032" s="14"/>
      <c r="R1032" s="14"/>
      <c r="S1032" s="14"/>
      <c r="T1032" s="14"/>
      <c r="U1032" s="17"/>
      <c r="V1032" s="14"/>
      <c r="W1032" s="14"/>
      <c r="X1032" s="18"/>
      <c r="Y1032" s="18"/>
      <c r="Z1032" s="18"/>
      <c r="AA1032" s="218"/>
      <c r="AB1032" s="218"/>
    </row>
    <row r="1033" ht="15.75" customHeight="1">
      <c r="A1033" s="12"/>
      <c r="B1033" s="14"/>
      <c r="C1033" s="14"/>
      <c r="D1033" s="14"/>
      <c r="E1033" s="14"/>
      <c r="F1033" s="14"/>
      <c r="G1033" s="14"/>
      <c r="H1033" s="15"/>
      <c r="I1033" s="223"/>
      <c r="J1033" s="14"/>
      <c r="K1033" s="14"/>
      <c r="L1033" s="14"/>
      <c r="M1033" s="14"/>
      <c r="N1033" s="14"/>
      <c r="O1033" s="14"/>
      <c r="P1033" s="14"/>
      <c r="Q1033" s="14"/>
      <c r="R1033" s="14"/>
      <c r="S1033" s="14"/>
      <c r="T1033" s="14"/>
      <c r="U1033" s="17"/>
      <c r="V1033" s="14"/>
      <c r="W1033" s="14"/>
      <c r="X1033" s="18"/>
      <c r="Y1033" s="18"/>
      <c r="Z1033" s="18"/>
      <c r="AA1033" s="218"/>
      <c r="AB1033" s="218"/>
    </row>
    <row r="1034" ht="15.75" customHeight="1">
      <c r="A1034" s="12"/>
      <c r="B1034" s="14"/>
      <c r="C1034" s="14"/>
      <c r="D1034" s="14"/>
      <c r="E1034" s="14"/>
      <c r="F1034" s="14"/>
      <c r="G1034" s="14"/>
      <c r="H1034" s="15"/>
      <c r="I1034" s="223"/>
      <c r="J1034" s="14"/>
      <c r="K1034" s="14"/>
      <c r="L1034" s="14"/>
      <c r="M1034" s="14"/>
      <c r="N1034" s="14"/>
      <c r="O1034" s="14"/>
      <c r="P1034" s="14"/>
      <c r="Q1034" s="14"/>
      <c r="R1034" s="14"/>
      <c r="S1034" s="14"/>
      <c r="T1034" s="14"/>
      <c r="U1034" s="17"/>
      <c r="V1034" s="14"/>
      <c r="W1034" s="14"/>
      <c r="X1034" s="18"/>
      <c r="Y1034" s="18"/>
      <c r="Z1034" s="18"/>
      <c r="AA1034" s="218"/>
      <c r="AB1034" s="218"/>
    </row>
    <row r="1035" ht="15.75" customHeight="1">
      <c r="A1035" s="12"/>
      <c r="B1035" s="14"/>
      <c r="C1035" s="14"/>
      <c r="D1035" s="14"/>
      <c r="E1035" s="14"/>
      <c r="F1035" s="14"/>
      <c r="G1035" s="14"/>
      <c r="H1035" s="15"/>
      <c r="I1035" s="223"/>
      <c r="J1035" s="14"/>
      <c r="K1035" s="14"/>
      <c r="L1035" s="14"/>
      <c r="M1035" s="14"/>
      <c r="N1035" s="14"/>
      <c r="O1035" s="14"/>
      <c r="P1035" s="14"/>
      <c r="Q1035" s="14"/>
      <c r="R1035" s="14"/>
      <c r="S1035" s="14"/>
      <c r="T1035" s="14"/>
      <c r="U1035" s="17"/>
      <c r="V1035" s="14"/>
      <c r="W1035" s="14"/>
      <c r="X1035" s="18"/>
      <c r="Y1035" s="18"/>
      <c r="Z1035" s="18"/>
      <c r="AA1035" s="218"/>
      <c r="AB1035" s="218"/>
    </row>
    <row r="1036" ht="15.75" customHeight="1">
      <c r="A1036" s="12"/>
      <c r="B1036" s="14"/>
      <c r="C1036" s="14"/>
      <c r="D1036" s="14"/>
      <c r="E1036" s="14"/>
      <c r="F1036" s="14"/>
      <c r="G1036" s="14"/>
      <c r="H1036" s="15"/>
      <c r="I1036" s="223"/>
      <c r="J1036" s="14"/>
      <c r="K1036" s="14"/>
      <c r="L1036" s="14"/>
      <c r="M1036" s="14"/>
      <c r="N1036" s="14"/>
      <c r="O1036" s="14"/>
      <c r="P1036" s="14"/>
      <c r="Q1036" s="14"/>
      <c r="R1036" s="14"/>
      <c r="S1036" s="14"/>
      <c r="T1036" s="14"/>
      <c r="U1036" s="17"/>
      <c r="V1036" s="14"/>
      <c r="W1036" s="14"/>
      <c r="X1036" s="18"/>
      <c r="Y1036" s="18"/>
      <c r="Z1036" s="18"/>
      <c r="AA1036" s="218"/>
      <c r="AB1036" s="218"/>
    </row>
    <row r="1037" ht="15.75" customHeight="1">
      <c r="A1037" s="12"/>
      <c r="B1037" s="14"/>
      <c r="C1037" s="14"/>
      <c r="D1037" s="14"/>
      <c r="E1037" s="14"/>
      <c r="F1037" s="14"/>
      <c r="G1037" s="14"/>
      <c r="H1037" s="15"/>
      <c r="I1037" s="223"/>
      <c r="J1037" s="14"/>
      <c r="K1037" s="14"/>
      <c r="L1037" s="14"/>
      <c r="M1037" s="14"/>
      <c r="N1037" s="14"/>
      <c r="O1037" s="14"/>
      <c r="P1037" s="14"/>
      <c r="Q1037" s="14"/>
      <c r="R1037" s="14"/>
      <c r="S1037" s="14"/>
      <c r="T1037" s="14"/>
      <c r="U1037" s="17"/>
      <c r="V1037" s="14"/>
      <c r="W1037" s="14"/>
      <c r="X1037" s="18"/>
      <c r="Y1037" s="18"/>
      <c r="Z1037" s="18"/>
      <c r="AA1037" s="218"/>
      <c r="AB1037" s="218"/>
    </row>
    <row r="1038" ht="15.75" customHeight="1">
      <c r="A1038" s="12"/>
      <c r="B1038" s="14"/>
      <c r="C1038" s="14"/>
      <c r="D1038" s="14"/>
      <c r="E1038" s="14"/>
      <c r="F1038" s="14"/>
      <c r="G1038" s="14"/>
      <c r="H1038" s="15"/>
      <c r="I1038" s="223"/>
      <c r="J1038" s="14"/>
      <c r="K1038" s="14"/>
      <c r="L1038" s="14"/>
      <c r="M1038" s="14"/>
      <c r="N1038" s="14"/>
      <c r="O1038" s="14"/>
      <c r="P1038" s="14"/>
      <c r="Q1038" s="14"/>
      <c r="R1038" s="14"/>
      <c r="S1038" s="14"/>
      <c r="T1038" s="14"/>
      <c r="U1038" s="17"/>
      <c r="V1038" s="14"/>
      <c r="W1038" s="14"/>
      <c r="X1038" s="18"/>
      <c r="Y1038" s="18"/>
      <c r="Z1038" s="18"/>
      <c r="AA1038" s="218"/>
      <c r="AB1038" s="218"/>
    </row>
    <row r="1039" ht="15.75" customHeight="1">
      <c r="A1039" s="12"/>
      <c r="B1039" s="14"/>
      <c r="C1039" s="14"/>
      <c r="D1039" s="14"/>
      <c r="E1039" s="14"/>
      <c r="F1039" s="14"/>
      <c r="G1039" s="14"/>
      <c r="H1039" s="15"/>
      <c r="I1039" s="223"/>
      <c r="J1039" s="14"/>
      <c r="K1039" s="14"/>
      <c r="L1039" s="14"/>
      <c r="M1039" s="14"/>
      <c r="N1039" s="14"/>
      <c r="O1039" s="14"/>
      <c r="P1039" s="14"/>
      <c r="Q1039" s="14"/>
      <c r="R1039" s="14"/>
      <c r="S1039" s="14"/>
      <c r="T1039" s="14"/>
      <c r="U1039" s="17"/>
      <c r="V1039" s="14"/>
      <c r="W1039" s="14"/>
      <c r="X1039" s="18"/>
      <c r="Y1039" s="18"/>
      <c r="Z1039" s="18"/>
      <c r="AA1039" s="218"/>
      <c r="AB1039" s="218"/>
    </row>
    <row r="1040" ht="15.75" customHeight="1">
      <c r="A1040" s="12"/>
      <c r="B1040" s="14"/>
      <c r="C1040" s="14"/>
      <c r="D1040" s="14"/>
      <c r="E1040" s="14"/>
      <c r="F1040" s="14"/>
      <c r="G1040" s="14"/>
      <c r="H1040" s="15"/>
      <c r="I1040" s="223"/>
      <c r="J1040" s="14"/>
      <c r="K1040" s="14"/>
      <c r="L1040" s="14"/>
      <c r="M1040" s="14"/>
      <c r="N1040" s="14"/>
      <c r="O1040" s="14"/>
      <c r="P1040" s="14"/>
      <c r="Q1040" s="14"/>
      <c r="R1040" s="14"/>
      <c r="S1040" s="14"/>
      <c r="T1040" s="14"/>
      <c r="U1040" s="17"/>
      <c r="V1040" s="14"/>
      <c r="W1040" s="14"/>
      <c r="X1040" s="18"/>
      <c r="Y1040" s="18"/>
      <c r="Z1040" s="18"/>
      <c r="AA1040" s="218"/>
      <c r="AB1040" s="218"/>
    </row>
    <row r="1041" ht="15.75" customHeight="1">
      <c r="A1041" s="12"/>
      <c r="B1041" s="14"/>
      <c r="C1041" s="14"/>
      <c r="D1041" s="14"/>
      <c r="E1041" s="14"/>
      <c r="F1041" s="14"/>
      <c r="G1041" s="14"/>
      <c r="H1041" s="15"/>
      <c r="I1041" s="223"/>
      <c r="J1041" s="14"/>
      <c r="K1041" s="14"/>
      <c r="L1041" s="14"/>
      <c r="M1041" s="14"/>
      <c r="N1041" s="14"/>
      <c r="O1041" s="14"/>
      <c r="P1041" s="14"/>
      <c r="Q1041" s="14"/>
      <c r="R1041" s="14"/>
      <c r="S1041" s="14"/>
      <c r="T1041" s="14"/>
      <c r="U1041" s="17"/>
      <c r="V1041" s="14"/>
      <c r="W1041" s="14"/>
      <c r="X1041" s="18"/>
      <c r="Y1041" s="18"/>
      <c r="Z1041" s="18"/>
      <c r="AA1041" s="218"/>
      <c r="AB1041" s="218"/>
    </row>
    <row r="1042" ht="15.75" customHeight="1">
      <c r="A1042" s="12"/>
      <c r="B1042" s="14"/>
      <c r="C1042" s="14"/>
      <c r="D1042" s="14"/>
      <c r="E1042" s="14"/>
      <c r="F1042" s="14"/>
      <c r="G1042" s="14"/>
      <c r="H1042" s="15"/>
      <c r="I1042" s="223"/>
      <c r="J1042" s="14"/>
      <c r="K1042" s="14"/>
      <c r="L1042" s="14"/>
      <c r="M1042" s="14"/>
      <c r="N1042" s="14"/>
      <c r="O1042" s="14"/>
      <c r="P1042" s="14"/>
      <c r="Q1042" s="14"/>
      <c r="R1042" s="14"/>
      <c r="S1042" s="14"/>
      <c r="T1042" s="14"/>
      <c r="U1042" s="17"/>
      <c r="V1042" s="14"/>
      <c r="W1042" s="14"/>
      <c r="X1042" s="18"/>
      <c r="Y1042" s="18"/>
      <c r="Z1042" s="18"/>
      <c r="AA1042" s="218"/>
      <c r="AB1042" s="218"/>
    </row>
    <row r="1043" ht="15.75" customHeight="1">
      <c r="A1043" s="12"/>
      <c r="B1043" s="14"/>
      <c r="C1043" s="14"/>
      <c r="D1043" s="14"/>
      <c r="E1043" s="14"/>
      <c r="F1043" s="14"/>
      <c r="G1043" s="14"/>
      <c r="H1043" s="15"/>
      <c r="I1043" s="223"/>
      <c r="J1043" s="14"/>
      <c r="K1043" s="14"/>
      <c r="L1043" s="14"/>
      <c r="M1043" s="14"/>
      <c r="N1043" s="14"/>
      <c r="O1043" s="14"/>
      <c r="P1043" s="14"/>
      <c r="Q1043" s="14"/>
      <c r="R1043" s="14"/>
      <c r="S1043" s="14"/>
      <c r="T1043" s="14"/>
      <c r="U1043" s="17"/>
      <c r="V1043" s="14"/>
      <c r="W1043" s="14"/>
      <c r="X1043" s="18"/>
      <c r="Y1043" s="18"/>
      <c r="Z1043" s="18"/>
      <c r="AA1043" s="218"/>
      <c r="AB1043" s="218"/>
    </row>
    <row r="1044" ht="15.75" customHeight="1">
      <c r="A1044" s="12"/>
      <c r="B1044" s="14"/>
      <c r="C1044" s="14"/>
      <c r="D1044" s="14"/>
      <c r="E1044" s="14"/>
      <c r="F1044" s="14"/>
      <c r="G1044" s="14"/>
      <c r="H1044" s="15"/>
      <c r="I1044" s="223"/>
      <c r="J1044" s="14"/>
      <c r="K1044" s="14"/>
      <c r="L1044" s="14"/>
      <c r="M1044" s="14"/>
      <c r="N1044" s="14"/>
      <c r="O1044" s="14"/>
      <c r="P1044" s="14"/>
      <c r="Q1044" s="14"/>
      <c r="R1044" s="14"/>
      <c r="S1044" s="14"/>
      <c r="T1044" s="14"/>
      <c r="U1044" s="17"/>
      <c r="V1044" s="14"/>
      <c r="W1044" s="14"/>
      <c r="X1044" s="18"/>
      <c r="Y1044" s="18"/>
      <c r="Z1044" s="18"/>
      <c r="AA1044" s="218"/>
      <c r="AB1044" s="218"/>
    </row>
    <row r="1045" ht="15.75" customHeight="1">
      <c r="A1045" s="12"/>
      <c r="B1045" s="14"/>
      <c r="C1045" s="14"/>
      <c r="D1045" s="14"/>
      <c r="E1045" s="14"/>
      <c r="F1045" s="14"/>
      <c r="G1045" s="14"/>
      <c r="H1045" s="15"/>
      <c r="I1045" s="223"/>
      <c r="J1045" s="14"/>
      <c r="K1045" s="14"/>
      <c r="L1045" s="14"/>
      <c r="M1045" s="14"/>
      <c r="N1045" s="14"/>
      <c r="O1045" s="14"/>
      <c r="P1045" s="14"/>
      <c r="Q1045" s="14"/>
      <c r="R1045" s="14"/>
      <c r="S1045" s="14"/>
      <c r="T1045" s="14"/>
      <c r="U1045" s="17"/>
      <c r="V1045" s="14"/>
      <c r="W1045" s="14"/>
      <c r="X1045" s="18"/>
      <c r="Y1045" s="18"/>
      <c r="Z1045" s="18"/>
      <c r="AA1045" s="218"/>
      <c r="AB1045" s="218"/>
    </row>
    <row r="1046" ht="15.75" customHeight="1">
      <c r="A1046" s="12"/>
      <c r="B1046" s="14"/>
      <c r="C1046" s="14"/>
      <c r="D1046" s="14"/>
      <c r="E1046" s="14"/>
      <c r="F1046" s="14"/>
      <c r="G1046" s="14"/>
      <c r="H1046" s="15"/>
      <c r="I1046" s="223"/>
      <c r="J1046" s="14"/>
      <c r="K1046" s="14"/>
      <c r="L1046" s="14"/>
      <c r="M1046" s="14"/>
      <c r="N1046" s="14"/>
      <c r="O1046" s="14"/>
      <c r="P1046" s="14"/>
      <c r="Q1046" s="14"/>
      <c r="R1046" s="14"/>
      <c r="S1046" s="14"/>
      <c r="T1046" s="14"/>
      <c r="U1046" s="17"/>
      <c r="V1046" s="14"/>
      <c r="W1046" s="14"/>
      <c r="X1046" s="18"/>
      <c r="Y1046" s="18"/>
      <c r="Z1046" s="18"/>
      <c r="AA1046" s="218"/>
      <c r="AB1046" s="218"/>
    </row>
    <row r="1047" ht="15.75" customHeight="1">
      <c r="A1047" s="12"/>
      <c r="B1047" s="14"/>
      <c r="C1047" s="14"/>
      <c r="D1047" s="14"/>
      <c r="E1047" s="14"/>
      <c r="F1047" s="14"/>
      <c r="G1047" s="14"/>
      <c r="H1047" s="15"/>
      <c r="I1047" s="223"/>
      <c r="J1047" s="14"/>
      <c r="K1047" s="14"/>
      <c r="L1047" s="14"/>
      <c r="M1047" s="14"/>
      <c r="N1047" s="14"/>
      <c r="O1047" s="14"/>
      <c r="P1047" s="14"/>
      <c r="Q1047" s="14"/>
      <c r="R1047" s="14"/>
      <c r="S1047" s="14"/>
      <c r="T1047" s="14"/>
      <c r="U1047" s="17"/>
      <c r="V1047" s="14"/>
      <c r="W1047" s="14"/>
      <c r="X1047" s="18"/>
      <c r="Y1047" s="18"/>
      <c r="Z1047" s="18"/>
      <c r="AA1047" s="218"/>
      <c r="AB1047" s="218"/>
    </row>
    <row r="1048" ht="15.75" customHeight="1">
      <c r="A1048" s="12"/>
      <c r="B1048" s="14"/>
      <c r="C1048" s="14"/>
      <c r="D1048" s="14"/>
      <c r="E1048" s="14"/>
      <c r="F1048" s="14"/>
      <c r="G1048" s="14"/>
      <c r="H1048" s="15"/>
      <c r="I1048" s="223"/>
      <c r="J1048" s="14"/>
      <c r="K1048" s="14"/>
      <c r="L1048" s="14"/>
      <c r="M1048" s="14"/>
      <c r="N1048" s="14"/>
      <c r="O1048" s="14"/>
      <c r="P1048" s="14"/>
      <c r="Q1048" s="14"/>
      <c r="R1048" s="14"/>
      <c r="S1048" s="14"/>
      <c r="T1048" s="14"/>
      <c r="U1048" s="17"/>
      <c r="V1048" s="14"/>
      <c r="W1048" s="14"/>
      <c r="X1048" s="18"/>
      <c r="Y1048" s="18"/>
      <c r="Z1048" s="18"/>
      <c r="AA1048" s="218"/>
      <c r="AB1048" s="218"/>
    </row>
    <row r="1049" ht="15.75" customHeight="1">
      <c r="A1049" s="12"/>
      <c r="B1049" s="14"/>
      <c r="C1049" s="14"/>
      <c r="D1049" s="14"/>
      <c r="E1049" s="14"/>
      <c r="F1049" s="14"/>
      <c r="G1049" s="14"/>
      <c r="H1049" s="15"/>
      <c r="I1049" s="223"/>
      <c r="J1049" s="14"/>
      <c r="K1049" s="14"/>
      <c r="L1049" s="14"/>
      <c r="M1049" s="14"/>
      <c r="N1049" s="14"/>
      <c r="O1049" s="14"/>
      <c r="P1049" s="14"/>
      <c r="Q1049" s="14"/>
      <c r="R1049" s="14"/>
      <c r="S1049" s="14"/>
      <c r="T1049" s="14"/>
      <c r="U1049" s="17"/>
      <c r="V1049" s="14"/>
      <c r="W1049" s="14"/>
      <c r="X1049" s="18"/>
      <c r="Y1049" s="18"/>
      <c r="Z1049" s="18"/>
      <c r="AA1049" s="218"/>
      <c r="AB1049" s="218"/>
    </row>
    <row r="1050" ht="15.75" customHeight="1">
      <c r="A1050" s="12"/>
      <c r="B1050" s="14"/>
      <c r="C1050" s="14"/>
      <c r="D1050" s="14"/>
      <c r="E1050" s="14"/>
      <c r="F1050" s="14"/>
      <c r="G1050" s="14"/>
      <c r="H1050" s="15"/>
      <c r="I1050" s="223"/>
      <c r="J1050" s="14"/>
      <c r="K1050" s="14"/>
      <c r="L1050" s="14"/>
      <c r="M1050" s="14"/>
      <c r="N1050" s="14"/>
      <c r="O1050" s="14"/>
      <c r="P1050" s="14"/>
      <c r="Q1050" s="14"/>
      <c r="R1050" s="14"/>
      <c r="S1050" s="14"/>
      <c r="T1050" s="14"/>
      <c r="U1050" s="17"/>
      <c r="V1050" s="14"/>
      <c r="W1050" s="14"/>
      <c r="X1050" s="18"/>
      <c r="Y1050" s="18"/>
      <c r="Z1050" s="18"/>
      <c r="AA1050" s="218"/>
      <c r="AB1050" s="218"/>
    </row>
    <row r="1051" ht="15.75" customHeight="1">
      <c r="A1051" s="12"/>
      <c r="B1051" s="14"/>
      <c r="C1051" s="14"/>
      <c r="D1051" s="14"/>
      <c r="E1051" s="14"/>
      <c r="F1051" s="14"/>
      <c r="G1051" s="14"/>
      <c r="H1051" s="15"/>
      <c r="I1051" s="223"/>
      <c r="J1051" s="14"/>
      <c r="K1051" s="14"/>
      <c r="L1051" s="14"/>
      <c r="M1051" s="14"/>
      <c r="N1051" s="14"/>
      <c r="O1051" s="14"/>
      <c r="P1051" s="14"/>
      <c r="Q1051" s="14"/>
      <c r="R1051" s="14"/>
      <c r="S1051" s="14"/>
      <c r="T1051" s="14"/>
      <c r="U1051" s="17"/>
      <c r="V1051" s="14"/>
      <c r="W1051" s="14"/>
      <c r="X1051" s="18"/>
      <c r="Y1051" s="18"/>
      <c r="Z1051" s="18"/>
      <c r="AA1051" s="218"/>
      <c r="AB1051" s="218"/>
    </row>
    <row r="1052" ht="15.75" customHeight="1">
      <c r="A1052" s="12"/>
      <c r="B1052" s="14"/>
      <c r="C1052" s="14"/>
      <c r="D1052" s="14"/>
      <c r="E1052" s="14"/>
      <c r="F1052" s="14"/>
      <c r="G1052" s="14"/>
      <c r="H1052" s="15"/>
      <c r="I1052" s="223"/>
      <c r="J1052" s="14"/>
      <c r="K1052" s="14"/>
      <c r="L1052" s="14"/>
      <c r="M1052" s="14"/>
      <c r="N1052" s="14"/>
      <c r="O1052" s="14"/>
      <c r="P1052" s="14"/>
      <c r="Q1052" s="14"/>
      <c r="R1052" s="14"/>
      <c r="S1052" s="14"/>
      <c r="T1052" s="14"/>
      <c r="U1052" s="17"/>
      <c r="V1052" s="14"/>
      <c r="W1052" s="14"/>
      <c r="X1052" s="18"/>
      <c r="Y1052" s="18"/>
      <c r="Z1052" s="18"/>
      <c r="AA1052" s="218"/>
      <c r="AB1052" s="218"/>
    </row>
    <row r="1053" ht="15.75" customHeight="1">
      <c r="A1053" s="12"/>
      <c r="B1053" s="14"/>
      <c r="C1053" s="14"/>
      <c r="D1053" s="14"/>
      <c r="E1053" s="14"/>
      <c r="F1053" s="14"/>
      <c r="G1053" s="14"/>
      <c r="H1053" s="15"/>
      <c r="I1053" s="223"/>
      <c r="J1053" s="14"/>
      <c r="K1053" s="14"/>
      <c r="L1053" s="14"/>
      <c r="M1053" s="14"/>
      <c r="N1053" s="14"/>
      <c r="O1053" s="14"/>
      <c r="P1053" s="14"/>
      <c r="Q1053" s="14"/>
      <c r="R1053" s="14"/>
      <c r="S1053" s="14"/>
      <c r="T1053" s="14"/>
      <c r="U1053" s="17"/>
      <c r="V1053" s="14"/>
      <c r="W1053" s="14"/>
      <c r="X1053" s="18"/>
      <c r="Y1053" s="18"/>
      <c r="Z1053" s="18"/>
      <c r="AA1053" s="218"/>
      <c r="AB1053" s="218"/>
    </row>
    <row r="1054" ht="15.75" customHeight="1">
      <c r="A1054" s="12"/>
      <c r="B1054" s="14"/>
      <c r="C1054" s="14"/>
      <c r="D1054" s="14"/>
      <c r="E1054" s="14"/>
      <c r="F1054" s="14"/>
      <c r="G1054" s="14"/>
      <c r="H1054" s="15"/>
      <c r="I1054" s="223"/>
      <c r="J1054" s="14"/>
      <c r="K1054" s="14"/>
      <c r="L1054" s="14"/>
      <c r="M1054" s="14"/>
      <c r="N1054" s="14"/>
      <c r="O1054" s="14"/>
      <c r="P1054" s="14"/>
      <c r="Q1054" s="14"/>
      <c r="R1054" s="14"/>
      <c r="S1054" s="14"/>
      <c r="T1054" s="14"/>
      <c r="U1054" s="17"/>
      <c r="V1054" s="14"/>
      <c r="W1054" s="14"/>
      <c r="X1054" s="18"/>
      <c r="Y1054" s="18"/>
      <c r="Z1054" s="18"/>
      <c r="AA1054" s="218"/>
      <c r="AB1054" s="218"/>
    </row>
    <row r="1055" ht="15.75" customHeight="1">
      <c r="A1055" s="12"/>
      <c r="B1055" s="14"/>
      <c r="C1055" s="14"/>
      <c r="D1055" s="14"/>
      <c r="E1055" s="14"/>
      <c r="F1055" s="14"/>
      <c r="G1055" s="14"/>
      <c r="H1055" s="15"/>
      <c r="I1055" s="223"/>
      <c r="J1055" s="14"/>
      <c r="K1055" s="14"/>
      <c r="L1055" s="14"/>
      <c r="M1055" s="14"/>
      <c r="N1055" s="14"/>
      <c r="O1055" s="14"/>
      <c r="P1055" s="14"/>
      <c r="Q1055" s="14"/>
      <c r="R1055" s="14"/>
      <c r="S1055" s="14"/>
      <c r="T1055" s="14"/>
      <c r="U1055" s="17"/>
      <c r="V1055" s="14"/>
      <c r="W1055" s="14"/>
      <c r="X1055" s="18"/>
      <c r="Y1055" s="18"/>
      <c r="Z1055" s="18"/>
      <c r="AA1055" s="218"/>
      <c r="AB1055" s="218"/>
    </row>
    <row r="1056" ht="15.75" customHeight="1">
      <c r="A1056" s="12"/>
      <c r="B1056" s="14"/>
      <c r="C1056" s="14"/>
      <c r="D1056" s="14"/>
      <c r="E1056" s="14"/>
      <c r="F1056" s="14"/>
      <c r="G1056" s="14"/>
      <c r="H1056" s="15"/>
      <c r="I1056" s="223"/>
      <c r="J1056" s="14"/>
      <c r="K1056" s="14"/>
      <c r="L1056" s="14"/>
      <c r="M1056" s="14"/>
      <c r="N1056" s="14"/>
      <c r="O1056" s="14"/>
      <c r="P1056" s="14"/>
      <c r="Q1056" s="14"/>
      <c r="R1056" s="14"/>
      <c r="S1056" s="14"/>
      <c r="T1056" s="14"/>
      <c r="U1056" s="17"/>
      <c r="V1056" s="14"/>
      <c r="W1056" s="14"/>
      <c r="X1056" s="18"/>
      <c r="Y1056" s="18"/>
      <c r="Z1056" s="18"/>
      <c r="AA1056" s="218"/>
      <c r="AB1056" s="218"/>
    </row>
    <row r="1057" ht="15.75" customHeight="1">
      <c r="A1057" s="12"/>
      <c r="B1057" s="14"/>
      <c r="C1057" s="14"/>
      <c r="D1057" s="14"/>
      <c r="E1057" s="14"/>
      <c r="F1057" s="14"/>
      <c r="G1057" s="14"/>
      <c r="H1057" s="15"/>
      <c r="I1057" s="223"/>
      <c r="J1057" s="14"/>
      <c r="K1057" s="14"/>
      <c r="L1057" s="14"/>
      <c r="M1057" s="14"/>
      <c r="N1057" s="14"/>
      <c r="O1057" s="14"/>
      <c r="P1057" s="14"/>
      <c r="Q1057" s="14"/>
      <c r="R1057" s="14"/>
      <c r="S1057" s="14"/>
      <c r="T1057" s="14"/>
      <c r="U1057" s="17"/>
      <c r="V1057" s="14"/>
      <c r="W1057" s="14"/>
      <c r="X1057" s="18"/>
      <c r="Y1057" s="18"/>
      <c r="Z1057" s="18"/>
      <c r="AA1057" s="218"/>
      <c r="AB1057" s="218"/>
    </row>
    <row r="1058" ht="15.75" customHeight="1">
      <c r="A1058" s="12"/>
      <c r="B1058" s="14"/>
      <c r="C1058" s="14"/>
      <c r="D1058" s="14"/>
      <c r="E1058" s="14"/>
      <c r="F1058" s="14"/>
      <c r="G1058" s="14"/>
      <c r="H1058" s="15"/>
      <c r="I1058" s="223"/>
      <c r="J1058" s="14"/>
      <c r="K1058" s="14"/>
      <c r="L1058" s="14"/>
      <c r="M1058" s="14"/>
      <c r="N1058" s="14"/>
      <c r="O1058" s="14"/>
      <c r="P1058" s="14"/>
      <c r="Q1058" s="14"/>
      <c r="R1058" s="14"/>
      <c r="S1058" s="14"/>
      <c r="T1058" s="14"/>
      <c r="U1058" s="17"/>
      <c r="V1058" s="14"/>
      <c r="W1058" s="14"/>
      <c r="X1058" s="18"/>
      <c r="Y1058" s="18"/>
      <c r="Z1058" s="18"/>
      <c r="AA1058" s="218"/>
      <c r="AB1058" s="218"/>
    </row>
    <row r="1059" ht="15.75" customHeight="1">
      <c r="A1059" s="12"/>
      <c r="B1059" s="14"/>
      <c r="C1059" s="14"/>
      <c r="D1059" s="14"/>
      <c r="E1059" s="14"/>
      <c r="F1059" s="14"/>
      <c r="G1059" s="14"/>
      <c r="H1059" s="15"/>
      <c r="I1059" s="223"/>
      <c r="J1059" s="14"/>
      <c r="K1059" s="14"/>
      <c r="L1059" s="14"/>
      <c r="M1059" s="14"/>
      <c r="N1059" s="14"/>
      <c r="O1059" s="14"/>
      <c r="P1059" s="14"/>
      <c r="Q1059" s="14"/>
      <c r="R1059" s="14"/>
      <c r="S1059" s="14"/>
      <c r="T1059" s="14"/>
      <c r="U1059" s="17"/>
      <c r="V1059" s="14"/>
      <c r="W1059" s="14"/>
      <c r="X1059" s="18"/>
      <c r="Y1059" s="18"/>
      <c r="Z1059" s="18"/>
      <c r="AA1059" s="218"/>
      <c r="AB1059" s="218"/>
    </row>
    <row r="1060" ht="15.75" customHeight="1">
      <c r="A1060" s="12"/>
      <c r="B1060" s="14"/>
      <c r="C1060" s="14"/>
      <c r="D1060" s="14"/>
      <c r="E1060" s="14"/>
      <c r="F1060" s="14"/>
      <c r="G1060" s="14"/>
      <c r="H1060" s="15"/>
      <c r="I1060" s="223"/>
      <c r="J1060" s="14"/>
      <c r="K1060" s="14"/>
      <c r="L1060" s="14"/>
      <c r="M1060" s="14"/>
      <c r="N1060" s="14"/>
      <c r="O1060" s="14"/>
      <c r="P1060" s="14"/>
      <c r="Q1060" s="14"/>
      <c r="R1060" s="14"/>
      <c r="S1060" s="14"/>
      <c r="T1060" s="14"/>
      <c r="U1060" s="17"/>
      <c r="V1060" s="14"/>
      <c r="W1060" s="14"/>
      <c r="X1060" s="18"/>
      <c r="Y1060" s="18"/>
      <c r="Z1060" s="18"/>
      <c r="AA1060" s="218"/>
      <c r="AB1060" s="218"/>
    </row>
    <row r="1061" ht="15.75" customHeight="1">
      <c r="A1061" s="12"/>
      <c r="B1061" s="14"/>
      <c r="C1061" s="14"/>
      <c r="D1061" s="14"/>
      <c r="E1061" s="14"/>
      <c r="F1061" s="14"/>
      <c r="G1061" s="14"/>
      <c r="H1061" s="15"/>
      <c r="I1061" s="223"/>
      <c r="J1061" s="14"/>
      <c r="K1061" s="14"/>
      <c r="L1061" s="14"/>
      <c r="M1061" s="14"/>
      <c r="N1061" s="14"/>
      <c r="O1061" s="14"/>
      <c r="P1061" s="14"/>
      <c r="Q1061" s="14"/>
      <c r="R1061" s="14"/>
      <c r="S1061" s="14"/>
      <c r="T1061" s="14"/>
      <c r="U1061" s="17"/>
      <c r="V1061" s="14"/>
      <c r="W1061" s="14"/>
      <c r="X1061" s="18"/>
      <c r="Y1061" s="18"/>
      <c r="Z1061" s="18"/>
      <c r="AA1061" s="218"/>
      <c r="AB1061" s="218"/>
    </row>
    <row r="1062" ht="15.75" customHeight="1">
      <c r="A1062" s="12"/>
      <c r="B1062" s="14"/>
      <c r="C1062" s="14"/>
      <c r="D1062" s="14"/>
      <c r="E1062" s="14"/>
      <c r="F1062" s="14"/>
      <c r="G1062" s="14"/>
      <c r="H1062" s="15"/>
      <c r="I1062" s="223"/>
      <c r="J1062" s="14"/>
      <c r="K1062" s="14"/>
      <c r="L1062" s="14"/>
      <c r="M1062" s="14"/>
      <c r="N1062" s="14"/>
      <c r="O1062" s="14"/>
      <c r="P1062" s="14"/>
      <c r="Q1062" s="14"/>
      <c r="R1062" s="14"/>
      <c r="S1062" s="14"/>
      <c r="T1062" s="14"/>
      <c r="U1062" s="17"/>
      <c r="V1062" s="14"/>
      <c r="W1062" s="14"/>
      <c r="X1062" s="18"/>
      <c r="Y1062" s="18"/>
      <c r="Z1062" s="18"/>
      <c r="AA1062" s="218"/>
      <c r="AB1062" s="218"/>
    </row>
    <row r="1063" ht="15.75" customHeight="1">
      <c r="A1063" s="12"/>
      <c r="B1063" s="14"/>
      <c r="C1063" s="14"/>
      <c r="D1063" s="14"/>
      <c r="E1063" s="14"/>
      <c r="F1063" s="14"/>
      <c r="G1063" s="14"/>
      <c r="H1063" s="15"/>
      <c r="I1063" s="223"/>
      <c r="J1063" s="14"/>
      <c r="K1063" s="14"/>
      <c r="L1063" s="14"/>
      <c r="M1063" s="14"/>
      <c r="N1063" s="14"/>
      <c r="O1063" s="14"/>
      <c r="P1063" s="14"/>
      <c r="Q1063" s="14"/>
      <c r="R1063" s="14"/>
      <c r="S1063" s="14"/>
      <c r="T1063" s="14"/>
      <c r="U1063" s="17"/>
      <c r="V1063" s="14"/>
      <c r="W1063" s="14"/>
      <c r="X1063" s="18"/>
      <c r="Y1063" s="18"/>
      <c r="Z1063" s="18"/>
      <c r="AA1063" s="218"/>
      <c r="AB1063" s="218"/>
    </row>
    <row r="1064" ht="15.75" customHeight="1">
      <c r="A1064" s="12"/>
      <c r="B1064" s="14"/>
      <c r="C1064" s="14"/>
      <c r="D1064" s="14"/>
      <c r="E1064" s="14"/>
      <c r="F1064" s="14"/>
      <c r="G1064" s="14"/>
      <c r="H1064" s="15"/>
      <c r="I1064" s="223"/>
      <c r="J1064" s="14"/>
      <c r="K1064" s="14"/>
      <c r="L1064" s="14"/>
      <c r="M1064" s="14"/>
      <c r="N1064" s="14"/>
      <c r="O1064" s="14"/>
      <c r="P1064" s="14"/>
      <c r="Q1064" s="14"/>
      <c r="R1064" s="14"/>
      <c r="S1064" s="14"/>
      <c r="T1064" s="14"/>
      <c r="U1064" s="17"/>
      <c r="V1064" s="14"/>
      <c r="W1064" s="14"/>
      <c r="X1064" s="18"/>
      <c r="Y1064" s="18"/>
      <c r="Z1064" s="18"/>
      <c r="AA1064" s="218"/>
      <c r="AB1064" s="218"/>
    </row>
    <row r="1065" ht="15.75" customHeight="1">
      <c r="A1065" s="12"/>
      <c r="B1065" s="14"/>
      <c r="C1065" s="14"/>
      <c r="D1065" s="14"/>
      <c r="E1065" s="14"/>
      <c r="F1065" s="14"/>
      <c r="G1065" s="14"/>
      <c r="H1065" s="15"/>
      <c r="I1065" s="223"/>
      <c r="J1065" s="14"/>
      <c r="K1065" s="14"/>
      <c r="L1065" s="14"/>
      <c r="M1065" s="14"/>
      <c r="N1065" s="14"/>
      <c r="O1065" s="14"/>
      <c r="P1065" s="14"/>
      <c r="Q1065" s="14"/>
      <c r="R1065" s="14"/>
      <c r="S1065" s="14"/>
      <c r="T1065" s="14"/>
      <c r="U1065" s="17"/>
      <c r="V1065" s="14"/>
      <c r="W1065" s="14"/>
      <c r="X1065" s="18"/>
      <c r="Y1065" s="18"/>
      <c r="Z1065" s="18"/>
      <c r="AA1065" s="218"/>
      <c r="AB1065" s="218"/>
    </row>
    <row r="1066" ht="15.75" customHeight="1">
      <c r="A1066" s="12"/>
      <c r="B1066" s="14"/>
      <c r="C1066" s="14"/>
      <c r="D1066" s="14"/>
      <c r="E1066" s="14"/>
      <c r="F1066" s="14"/>
      <c r="G1066" s="14"/>
      <c r="H1066" s="15"/>
      <c r="I1066" s="223"/>
      <c r="J1066" s="14"/>
      <c r="K1066" s="14"/>
      <c r="L1066" s="14"/>
      <c r="M1066" s="14"/>
      <c r="N1066" s="14"/>
      <c r="O1066" s="14"/>
      <c r="P1066" s="14"/>
      <c r="Q1066" s="14"/>
      <c r="R1066" s="14"/>
      <c r="S1066" s="14"/>
      <c r="T1066" s="14"/>
      <c r="U1066" s="17"/>
      <c r="V1066" s="14"/>
      <c r="W1066" s="14"/>
      <c r="X1066" s="18"/>
      <c r="Y1066" s="18"/>
      <c r="Z1066" s="18"/>
      <c r="AA1066" s="218"/>
      <c r="AB1066" s="218"/>
    </row>
    <row r="1067" ht="15.75" customHeight="1">
      <c r="A1067" s="12"/>
      <c r="B1067" s="14"/>
      <c r="C1067" s="14"/>
      <c r="D1067" s="14"/>
      <c r="E1067" s="14"/>
      <c r="F1067" s="14"/>
      <c r="G1067" s="14"/>
      <c r="H1067" s="15"/>
      <c r="I1067" s="223"/>
      <c r="J1067" s="14"/>
      <c r="K1067" s="14"/>
      <c r="L1067" s="14"/>
      <c r="M1067" s="14"/>
      <c r="N1067" s="14"/>
      <c r="O1067" s="14"/>
      <c r="P1067" s="14"/>
      <c r="Q1067" s="14"/>
      <c r="R1067" s="14"/>
      <c r="S1067" s="14"/>
      <c r="T1067" s="14"/>
      <c r="U1067" s="17"/>
      <c r="V1067" s="14"/>
      <c r="W1067" s="14"/>
      <c r="X1067" s="18"/>
      <c r="Y1067" s="18"/>
      <c r="Z1067" s="18"/>
      <c r="AA1067" s="218"/>
      <c r="AB1067" s="218"/>
    </row>
    <row r="1068" ht="15.75" customHeight="1">
      <c r="A1068" s="12"/>
      <c r="B1068" s="14"/>
      <c r="C1068" s="14"/>
      <c r="D1068" s="14"/>
      <c r="E1068" s="14"/>
      <c r="F1068" s="14"/>
      <c r="G1068" s="14"/>
      <c r="H1068" s="15"/>
      <c r="I1068" s="223"/>
      <c r="J1068" s="14"/>
      <c r="K1068" s="14"/>
      <c r="L1068" s="14"/>
      <c r="M1068" s="14"/>
      <c r="N1068" s="14"/>
      <c r="O1068" s="14"/>
      <c r="P1068" s="14"/>
      <c r="Q1068" s="14"/>
      <c r="R1068" s="14"/>
      <c r="S1068" s="14"/>
      <c r="T1068" s="14"/>
      <c r="U1068" s="17"/>
      <c r="V1068" s="14"/>
      <c r="W1068" s="14"/>
      <c r="X1068" s="18"/>
      <c r="Y1068" s="18"/>
      <c r="Z1068" s="18"/>
      <c r="AA1068" s="218"/>
      <c r="AB1068" s="218"/>
    </row>
    <row r="1069" ht="15.75" customHeight="1">
      <c r="A1069" s="12"/>
      <c r="B1069" s="14"/>
      <c r="C1069" s="14"/>
      <c r="D1069" s="14"/>
      <c r="E1069" s="14"/>
      <c r="F1069" s="14"/>
      <c r="G1069" s="14"/>
      <c r="H1069" s="15"/>
      <c r="I1069" s="223"/>
      <c r="J1069" s="14"/>
      <c r="K1069" s="14"/>
      <c r="L1069" s="14"/>
      <c r="M1069" s="14"/>
      <c r="N1069" s="14"/>
      <c r="O1069" s="14"/>
      <c r="P1069" s="14"/>
      <c r="Q1069" s="14"/>
      <c r="R1069" s="14"/>
      <c r="S1069" s="14"/>
      <c r="T1069" s="14"/>
      <c r="U1069" s="17"/>
      <c r="V1069" s="14"/>
      <c r="W1069" s="14"/>
      <c r="X1069" s="18"/>
      <c r="Y1069" s="18"/>
      <c r="Z1069" s="18"/>
      <c r="AA1069" s="218"/>
      <c r="AB1069" s="218"/>
    </row>
    <row r="1070" ht="15.75" customHeight="1">
      <c r="A1070" s="12"/>
      <c r="B1070" s="14"/>
      <c r="C1070" s="14"/>
      <c r="D1070" s="14"/>
      <c r="E1070" s="14"/>
      <c r="F1070" s="14"/>
      <c r="G1070" s="14"/>
      <c r="H1070" s="15"/>
      <c r="I1070" s="223"/>
      <c r="J1070" s="14"/>
      <c r="K1070" s="14"/>
      <c r="L1070" s="14"/>
      <c r="M1070" s="14"/>
      <c r="N1070" s="14"/>
      <c r="O1070" s="14"/>
      <c r="P1070" s="14"/>
      <c r="Q1070" s="14"/>
      <c r="R1070" s="14"/>
      <c r="S1070" s="14"/>
      <c r="T1070" s="14"/>
      <c r="U1070" s="17"/>
      <c r="V1070" s="14"/>
      <c r="W1070" s="14"/>
      <c r="X1070" s="18"/>
      <c r="Y1070" s="18"/>
      <c r="Z1070" s="18"/>
      <c r="AA1070" s="218"/>
      <c r="AB1070" s="218"/>
    </row>
    <row r="1071" ht="15.75" customHeight="1">
      <c r="A1071" s="12"/>
      <c r="B1071" s="14"/>
      <c r="C1071" s="14"/>
      <c r="D1071" s="14"/>
      <c r="E1071" s="14"/>
      <c r="F1071" s="14"/>
      <c r="G1071" s="14"/>
      <c r="H1071" s="15"/>
      <c r="I1071" s="223"/>
      <c r="J1071" s="14"/>
      <c r="K1071" s="14"/>
      <c r="L1071" s="14"/>
      <c r="M1071" s="14"/>
      <c r="N1071" s="14"/>
      <c r="O1071" s="14"/>
      <c r="P1071" s="14"/>
      <c r="Q1071" s="14"/>
      <c r="R1071" s="14"/>
      <c r="S1071" s="14"/>
      <c r="T1071" s="14"/>
      <c r="U1071" s="17"/>
      <c r="V1071" s="14"/>
      <c r="W1071" s="14"/>
      <c r="X1071" s="18"/>
      <c r="Y1071" s="18"/>
      <c r="Z1071" s="18"/>
      <c r="AA1071" s="218"/>
      <c r="AB1071" s="218"/>
    </row>
    <row r="1072" ht="15.75" customHeight="1">
      <c r="A1072" s="12"/>
      <c r="B1072" s="14"/>
      <c r="C1072" s="14"/>
      <c r="D1072" s="14"/>
      <c r="E1072" s="14"/>
      <c r="F1072" s="14"/>
      <c r="G1072" s="14"/>
      <c r="H1072" s="15"/>
      <c r="I1072" s="223"/>
      <c r="J1072" s="14"/>
      <c r="K1072" s="14"/>
      <c r="L1072" s="14"/>
      <c r="M1072" s="14"/>
      <c r="N1072" s="14"/>
      <c r="O1072" s="14"/>
      <c r="P1072" s="14"/>
      <c r="Q1072" s="14"/>
      <c r="R1072" s="14"/>
      <c r="S1072" s="14"/>
      <c r="T1072" s="14"/>
      <c r="U1072" s="17"/>
      <c r="V1072" s="14"/>
      <c r="W1072" s="14"/>
      <c r="X1072" s="18"/>
      <c r="Y1072" s="18"/>
      <c r="Z1072" s="18"/>
      <c r="AA1072" s="218"/>
      <c r="AB1072" s="218"/>
    </row>
    <row r="1073" ht="15.75" customHeight="1">
      <c r="A1073" s="12"/>
      <c r="B1073" s="14"/>
      <c r="C1073" s="14"/>
      <c r="D1073" s="14"/>
      <c r="E1073" s="14"/>
      <c r="F1073" s="14"/>
      <c r="G1073" s="14"/>
      <c r="H1073" s="15"/>
      <c r="I1073" s="223"/>
      <c r="J1073" s="14"/>
      <c r="K1073" s="14"/>
      <c r="L1073" s="14"/>
      <c r="M1073" s="14"/>
      <c r="N1073" s="14"/>
      <c r="O1073" s="14"/>
      <c r="P1073" s="14"/>
      <c r="Q1073" s="14"/>
      <c r="R1073" s="14"/>
      <c r="S1073" s="14"/>
      <c r="T1073" s="14"/>
      <c r="U1073" s="17"/>
      <c r="V1073" s="14"/>
      <c r="W1073" s="14"/>
      <c r="X1073" s="18"/>
      <c r="Y1073" s="18"/>
      <c r="Z1073" s="18"/>
      <c r="AA1073" s="218"/>
      <c r="AB1073" s="218"/>
    </row>
    <row r="1074" ht="15.75" customHeight="1">
      <c r="A1074" s="12"/>
      <c r="B1074" s="14"/>
      <c r="C1074" s="14"/>
      <c r="D1074" s="14"/>
      <c r="E1074" s="14"/>
      <c r="F1074" s="14"/>
      <c r="G1074" s="14"/>
      <c r="H1074" s="15"/>
      <c r="I1074" s="223"/>
      <c r="J1074" s="14"/>
      <c r="K1074" s="14"/>
      <c r="L1074" s="14"/>
      <c r="M1074" s="14"/>
      <c r="N1074" s="14"/>
      <c r="O1074" s="14"/>
      <c r="P1074" s="14"/>
      <c r="Q1074" s="14"/>
      <c r="R1074" s="14"/>
      <c r="S1074" s="14"/>
      <c r="T1074" s="14"/>
      <c r="U1074" s="17"/>
      <c r="V1074" s="14"/>
      <c r="W1074" s="14"/>
      <c r="X1074" s="18"/>
      <c r="Y1074" s="18"/>
      <c r="Z1074" s="18"/>
      <c r="AA1074" s="218"/>
      <c r="AB1074" s="218"/>
    </row>
    <row r="1075" ht="15.75" customHeight="1">
      <c r="A1075" s="12"/>
      <c r="B1075" s="14"/>
      <c r="C1075" s="14"/>
      <c r="D1075" s="14"/>
      <c r="E1075" s="14"/>
      <c r="F1075" s="14"/>
      <c r="G1075" s="14"/>
      <c r="H1075" s="15"/>
      <c r="I1075" s="223"/>
      <c r="J1075" s="14"/>
      <c r="K1075" s="14"/>
      <c r="L1075" s="14"/>
      <c r="M1075" s="14"/>
      <c r="N1075" s="14"/>
      <c r="O1075" s="14"/>
      <c r="P1075" s="14"/>
      <c r="Q1075" s="14"/>
      <c r="R1075" s="14"/>
      <c r="S1075" s="14"/>
      <c r="T1075" s="14"/>
      <c r="U1075" s="17"/>
      <c r="V1075" s="14"/>
      <c r="W1075" s="14"/>
      <c r="X1075" s="18"/>
      <c r="Y1075" s="18"/>
      <c r="Z1075" s="18"/>
      <c r="AA1075" s="218"/>
      <c r="AB1075" s="218"/>
    </row>
    <row r="1076" ht="15.75" customHeight="1">
      <c r="A1076" s="12"/>
      <c r="B1076" s="14"/>
      <c r="C1076" s="14"/>
      <c r="D1076" s="14"/>
      <c r="E1076" s="14"/>
      <c r="F1076" s="14"/>
      <c r="G1076" s="14"/>
      <c r="H1076" s="15"/>
      <c r="I1076" s="223"/>
      <c r="J1076" s="14"/>
      <c r="K1076" s="14"/>
      <c r="L1076" s="14"/>
      <c r="M1076" s="14"/>
      <c r="N1076" s="14"/>
      <c r="O1076" s="14"/>
      <c r="P1076" s="14"/>
      <c r="Q1076" s="14"/>
      <c r="R1076" s="14"/>
      <c r="S1076" s="14"/>
      <c r="T1076" s="14"/>
      <c r="U1076" s="17"/>
      <c r="V1076" s="14"/>
      <c r="W1076" s="14"/>
      <c r="X1076" s="18"/>
      <c r="Y1076" s="18"/>
      <c r="Z1076" s="18"/>
      <c r="AA1076" s="218"/>
      <c r="AB1076" s="218"/>
    </row>
    <row r="1077" ht="15.75" customHeight="1">
      <c r="A1077" s="12"/>
      <c r="B1077" s="14"/>
      <c r="C1077" s="14"/>
      <c r="D1077" s="14"/>
      <c r="E1077" s="14"/>
      <c r="F1077" s="14"/>
      <c r="G1077" s="14"/>
      <c r="H1077" s="15"/>
      <c r="I1077" s="223"/>
      <c r="J1077" s="14"/>
      <c r="K1077" s="14"/>
      <c r="L1077" s="14"/>
      <c r="M1077" s="14"/>
      <c r="N1077" s="14"/>
      <c r="O1077" s="14"/>
      <c r="P1077" s="14"/>
      <c r="Q1077" s="14"/>
      <c r="R1077" s="14"/>
      <c r="S1077" s="14"/>
      <c r="T1077" s="14"/>
      <c r="U1077" s="17"/>
      <c r="V1077" s="14"/>
      <c r="W1077" s="14"/>
      <c r="X1077" s="18"/>
      <c r="Y1077" s="18"/>
      <c r="Z1077" s="18"/>
      <c r="AA1077" s="218"/>
      <c r="AB1077" s="218"/>
    </row>
    <row r="1078" ht="15.75" customHeight="1">
      <c r="A1078" s="12"/>
      <c r="B1078" s="14"/>
      <c r="C1078" s="14"/>
      <c r="D1078" s="14"/>
      <c r="E1078" s="14"/>
      <c r="F1078" s="14"/>
      <c r="G1078" s="14"/>
      <c r="H1078" s="15"/>
      <c r="I1078" s="223"/>
      <c r="J1078" s="14"/>
      <c r="K1078" s="14"/>
      <c r="L1078" s="14"/>
      <c r="M1078" s="14"/>
      <c r="N1078" s="14"/>
      <c r="O1078" s="14"/>
      <c r="P1078" s="14"/>
      <c r="Q1078" s="14"/>
      <c r="R1078" s="14"/>
      <c r="S1078" s="14"/>
      <c r="T1078" s="14"/>
      <c r="U1078" s="17"/>
      <c r="V1078" s="14"/>
      <c r="W1078" s="14"/>
      <c r="X1078" s="18"/>
      <c r="Y1078" s="18"/>
      <c r="Z1078" s="18"/>
      <c r="AA1078" s="218"/>
      <c r="AB1078" s="218"/>
    </row>
    <row r="1079" ht="15.75" customHeight="1">
      <c r="A1079" s="12"/>
      <c r="B1079" s="14"/>
      <c r="C1079" s="14"/>
      <c r="D1079" s="14"/>
      <c r="E1079" s="14"/>
      <c r="F1079" s="14"/>
      <c r="G1079" s="14"/>
      <c r="H1079" s="15"/>
      <c r="I1079" s="223"/>
      <c r="J1079" s="14"/>
      <c r="K1079" s="14"/>
      <c r="L1079" s="14"/>
      <c r="M1079" s="14"/>
      <c r="N1079" s="14"/>
      <c r="O1079" s="14"/>
      <c r="P1079" s="14"/>
      <c r="Q1079" s="14"/>
      <c r="R1079" s="14"/>
      <c r="S1079" s="14"/>
      <c r="T1079" s="14"/>
      <c r="U1079" s="17"/>
      <c r="V1079" s="14"/>
      <c r="W1079" s="14"/>
      <c r="X1079" s="18"/>
      <c r="Y1079" s="18"/>
      <c r="Z1079" s="18"/>
      <c r="AA1079" s="218"/>
      <c r="AB1079" s="218"/>
    </row>
    <row r="1080" ht="15.75" customHeight="1">
      <c r="A1080" s="12"/>
      <c r="B1080" s="14"/>
      <c r="C1080" s="14"/>
      <c r="D1080" s="14"/>
      <c r="E1080" s="14"/>
      <c r="F1080" s="14"/>
      <c r="G1080" s="14"/>
      <c r="H1080" s="15"/>
      <c r="I1080" s="223"/>
      <c r="J1080" s="14"/>
      <c r="K1080" s="14"/>
      <c r="L1080" s="14"/>
      <c r="M1080" s="14"/>
      <c r="N1080" s="14"/>
      <c r="O1080" s="14"/>
      <c r="P1080" s="14"/>
      <c r="Q1080" s="14"/>
      <c r="R1080" s="14"/>
      <c r="S1080" s="14"/>
      <c r="T1080" s="14"/>
      <c r="U1080" s="17"/>
      <c r="V1080" s="14"/>
      <c r="W1080" s="14"/>
      <c r="X1080" s="18"/>
      <c r="Y1080" s="18"/>
      <c r="Z1080" s="18"/>
      <c r="AA1080" s="218"/>
      <c r="AB1080" s="218"/>
    </row>
    <row r="1081" ht="15.75" customHeight="1">
      <c r="A1081" s="12"/>
      <c r="B1081" s="14"/>
      <c r="C1081" s="14"/>
      <c r="D1081" s="14"/>
      <c r="E1081" s="14"/>
      <c r="F1081" s="14"/>
      <c r="G1081" s="14"/>
      <c r="H1081" s="15"/>
      <c r="I1081" s="223"/>
      <c r="J1081" s="14"/>
      <c r="K1081" s="14"/>
      <c r="L1081" s="14"/>
      <c r="M1081" s="14"/>
      <c r="N1081" s="14"/>
      <c r="O1081" s="14"/>
      <c r="P1081" s="14"/>
      <c r="Q1081" s="14"/>
      <c r="R1081" s="14"/>
      <c r="S1081" s="14"/>
      <c r="T1081" s="14"/>
      <c r="U1081" s="17"/>
      <c r="V1081" s="14"/>
      <c r="W1081" s="14"/>
      <c r="X1081" s="18"/>
      <c r="Y1081" s="18"/>
      <c r="Z1081" s="18"/>
      <c r="AA1081" s="218"/>
      <c r="AB1081" s="218"/>
    </row>
    <row r="1082" ht="15.75" customHeight="1">
      <c r="A1082" s="12"/>
      <c r="B1082" s="14"/>
      <c r="C1082" s="14"/>
      <c r="D1082" s="14"/>
      <c r="E1082" s="14"/>
      <c r="F1082" s="14"/>
      <c r="G1082" s="14"/>
      <c r="H1082" s="15"/>
      <c r="I1082" s="223"/>
      <c r="J1082" s="14"/>
      <c r="K1082" s="14"/>
      <c r="L1082" s="14"/>
      <c r="M1082" s="14"/>
      <c r="N1082" s="14"/>
      <c r="O1082" s="14"/>
      <c r="P1082" s="14"/>
      <c r="Q1082" s="14"/>
      <c r="R1082" s="14"/>
      <c r="S1082" s="14"/>
      <c r="T1082" s="14"/>
      <c r="U1082" s="17"/>
      <c r="V1082" s="14"/>
      <c r="W1082" s="14"/>
      <c r="X1082" s="18"/>
      <c r="Y1082" s="18"/>
      <c r="Z1082" s="18"/>
      <c r="AA1082" s="218"/>
      <c r="AB1082" s="218"/>
    </row>
    <row r="1083" ht="15.75" customHeight="1">
      <c r="A1083" s="12"/>
      <c r="B1083" s="14"/>
      <c r="C1083" s="14"/>
      <c r="D1083" s="14"/>
      <c r="E1083" s="14"/>
      <c r="F1083" s="14"/>
      <c r="G1083" s="14"/>
      <c r="H1083" s="15"/>
      <c r="I1083" s="223"/>
      <c r="J1083" s="14"/>
      <c r="K1083" s="14"/>
      <c r="L1083" s="14"/>
      <c r="M1083" s="14"/>
      <c r="N1083" s="14"/>
      <c r="O1083" s="14"/>
      <c r="P1083" s="14"/>
      <c r="Q1083" s="14"/>
      <c r="R1083" s="14"/>
      <c r="S1083" s="14"/>
      <c r="T1083" s="14"/>
      <c r="U1083" s="17"/>
      <c r="V1083" s="14"/>
      <c r="W1083" s="14"/>
      <c r="X1083" s="18"/>
      <c r="Y1083" s="18"/>
      <c r="Z1083" s="18"/>
      <c r="AA1083" s="218"/>
      <c r="AB1083" s="218"/>
    </row>
    <row r="1084" ht="15.75" customHeight="1">
      <c r="A1084" s="12"/>
      <c r="B1084" s="14"/>
      <c r="C1084" s="14"/>
      <c r="D1084" s="14"/>
      <c r="E1084" s="14"/>
      <c r="F1084" s="14"/>
      <c r="G1084" s="14"/>
      <c r="H1084" s="15"/>
      <c r="I1084" s="223"/>
      <c r="J1084" s="14"/>
      <c r="K1084" s="14"/>
      <c r="L1084" s="14"/>
      <c r="M1084" s="14"/>
      <c r="N1084" s="14"/>
      <c r="O1084" s="14"/>
      <c r="P1084" s="14"/>
      <c r="Q1084" s="14"/>
      <c r="R1084" s="14"/>
      <c r="S1084" s="14"/>
      <c r="T1084" s="14"/>
      <c r="U1084" s="17"/>
      <c r="V1084" s="14"/>
      <c r="W1084" s="14"/>
      <c r="X1084" s="18"/>
      <c r="Y1084" s="18"/>
      <c r="Z1084" s="18"/>
      <c r="AA1084" s="218"/>
      <c r="AB1084" s="218"/>
    </row>
    <row r="1085" ht="15.75" customHeight="1">
      <c r="A1085" s="12"/>
      <c r="B1085" s="14"/>
      <c r="C1085" s="14"/>
      <c r="D1085" s="14"/>
      <c r="E1085" s="14"/>
      <c r="F1085" s="14"/>
      <c r="G1085" s="14"/>
      <c r="H1085" s="15"/>
      <c r="I1085" s="223"/>
      <c r="J1085" s="14"/>
      <c r="K1085" s="14"/>
      <c r="L1085" s="14"/>
      <c r="M1085" s="14"/>
      <c r="N1085" s="14"/>
      <c r="O1085" s="14"/>
      <c r="P1085" s="14"/>
      <c r="Q1085" s="14"/>
      <c r="R1085" s="14"/>
      <c r="S1085" s="14"/>
      <c r="T1085" s="14"/>
      <c r="U1085" s="17"/>
      <c r="V1085" s="14"/>
      <c r="W1085" s="14"/>
      <c r="X1085" s="18"/>
      <c r="Y1085" s="18"/>
      <c r="Z1085" s="18"/>
      <c r="AA1085" s="218"/>
      <c r="AB1085" s="218"/>
    </row>
    <row r="1086" ht="15.75" customHeight="1">
      <c r="A1086" s="12"/>
      <c r="B1086" s="14"/>
      <c r="C1086" s="14"/>
      <c r="D1086" s="14"/>
      <c r="E1086" s="14"/>
      <c r="F1086" s="14"/>
      <c r="G1086" s="14"/>
      <c r="H1086" s="15"/>
      <c r="I1086" s="223"/>
      <c r="J1086" s="14"/>
      <c r="K1086" s="14"/>
      <c r="L1086" s="14"/>
      <c r="M1086" s="14"/>
      <c r="N1086" s="14"/>
      <c r="O1086" s="14"/>
      <c r="P1086" s="14"/>
      <c r="Q1086" s="14"/>
      <c r="R1086" s="14"/>
      <c r="S1086" s="14"/>
      <c r="T1086" s="14"/>
      <c r="U1086" s="17"/>
      <c r="V1086" s="14"/>
      <c r="W1086" s="14"/>
      <c r="X1086" s="18"/>
      <c r="Y1086" s="18"/>
      <c r="Z1086" s="18"/>
      <c r="AA1086" s="218"/>
      <c r="AB1086" s="218"/>
    </row>
    <row r="1087" ht="15.75" customHeight="1">
      <c r="A1087" s="12"/>
      <c r="B1087" s="14"/>
      <c r="C1087" s="14"/>
      <c r="D1087" s="14"/>
      <c r="E1087" s="14"/>
      <c r="F1087" s="14"/>
      <c r="G1087" s="14"/>
      <c r="H1087" s="15"/>
      <c r="I1087" s="223"/>
      <c r="J1087" s="14"/>
      <c r="K1087" s="14"/>
      <c r="L1087" s="14"/>
      <c r="M1087" s="14"/>
      <c r="N1087" s="14"/>
      <c r="O1087" s="14"/>
      <c r="P1087" s="14"/>
      <c r="Q1087" s="14"/>
      <c r="R1087" s="14"/>
      <c r="S1087" s="14"/>
      <c r="T1087" s="14"/>
      <c r="U1087" s="17"/>
      <c r="V1087" s="14"/>
      <c r="W1087" s="14"/>
      <c r="X1087" s="18"/>
      <c r="Y1087" s="18"/>
      <c r="Z1087" s="18"/>
      <c r="AA1087" s="218"/>
      <c r="AB1087" s="218"/>
    </row>
    <row r="1088" ht="15.75" customHeight="1">
      <c r="A1088" s="12"/>
      <c r="B1088" s="14"/>
      <c r="C1088" s="14"/>
      <c r="D1088" s="14"/>
      <c r="E1088" s="14"/>
      <c r="F1088" s="14"/>
      <c r="G1088" s="14"/>
      <c r="H1088" s="15"/>
      <c r="I1088" s="223"/>
      <c r="J1088" s="14"/>
      <c r="K1088" s="14"/>
      <c r="L1088" s="14"/>
      <c r="M1088" s="14"/>
      <c r="N1088" s="14"/>
      <c r="O1088" s="14"/>
      <c r="P1088" s="14"/>
      <c r="Q1088" s="14"/>
      <c r="R1088" s="14"/>
      <c r="S1088" s="14"/>
      <c r="T1088" s="14"/>
      <c r="U1088" s="17"/>
      <c r="V1088" s="14"/>
      <c r="W1088" s="14"/>
      <c r="X1088" s="18"/>
      <c r="Y1088" s="18"/>
      <c r="Z1088" s="18"/>
      <c r="AA1088" s="218"/>
      <c r="AB1088" s="218"/>
    </row>
    <row r="1089" ht="15.75" customHeight="1">
      <c r="A1089" s="12"/>
      <c r="B1089" s="14"/>
      <c r="C1089" s="14"/>
      <c r="D1089" s="14"/>
      <c r="E1089" s="14"/>
      <c r="F1089" s="14"/>
      <c r="G1089" s="14"/>
      <c r="H1089" s="15"/>
      <c r="I1089" s="223"/>
      <c r="J1089" s="14"/>
      <c r="K1089" s="14"/>
      <c r="L1089" s="14"/>
      <c r="M1089" s="14"/>
      <c r="N1089" s="14"/>
      <c r="O1089" s="14"/>
      <c r="P1089" s="14"/>
      <c r="Q1089" s="14"/>
      <c r="R1089" s="14"/>
      <c r="S1089" s="14"/>
      <c r="T1089" s="14"/>
      <c r="U1089" s="17"/>
      <c r="V1089" s="14"/>
      <c r="W1089" s="14"/>
      <c r="X1089" s="18"/>
      <c r="Y1089" s="18"/>
      <c r="Z1089" s="18"/>
      <c r="AA1089" s="218"/>
      <c r="AB1089" s="218"/>
    </row>
    <row r="1090" ht="15.75" customHeight="1">
      <c r="A1090" s="12"/>
      <c r="B1090" s="14"/>
      <c r="C1090" s="14"/>
      <c r="D1090" s="14"/>
      <c r="E1090" s="14"/>
      <c r="F1090" s="14"/>
      <c r="G1090" s="14"/>
      <c r="H1090" s="15"/>
      <c r="I1090" s="223"/>
      <c r="J1090" s="14"/>
      <c r="K1090" s="14"/>
      <c r="L1090" s="14"/>
      <c r="M1090" s="14"/>
      <c r="N1090" s="14"/>
      <c r="O1090" s="14"/>
      <c r="P1090" s="14"/>
      <c r="Q1090" s="14"/>
      <c r="R1090" s="14"/>
      <c r="S1090" s="14"/>
      <c r="T1090" s="14"/>
      <c r="U1090" s="17"/>
      <c r="V1090" s="14"/>
      <c r="W1090" s="14"/>
      <c r="X1090" s="18"/>
      <c r="Y1090" s="18"/>
      <c r="Z1090" s="18"/>
      <c r="AA1090" s="218"/>
      <c r="AB1090" s="218"/>
    </row>
    <row r="1091" ht="15.75" customHeight="1">
      <c r="A1091" s="12"/>
      <c r="B1091" s="14"/>
      <c r="C1091" s="14"/>
      <c r="D1091" s="14"/>
      <c r="E1091" s="14"/>
      <c r="F1091" s="14"/>
      <c r="G1091" s="14"/>
      <c r="H1091" s="15"/>
      <c r="I1091" s="223"/>
      <c r="J1091" s="14"/>
      <c r="K1091" s="14"/>
      <c r="L1091" s="14"/>
      <c r="M1091" s="14"/>
      <c r="N1091" s="14"/>
      <c r="O1091" s="14"/>
      <c r="P1091" s="14"/>
      <c r="Q1091" s="14"/>
      <c r="R1091" s="14"/>
      <c r="S1091" s="14"/>
      <c r="T1091" s="14"/>
      <c r="U1091" s="17"/>
      <c r="V1091" s="14"/>
      <c r="W1091" s="14"/>
      <c r="X1091" s="18"/>
      <c r="Y1091" s="18"/>
      <c r="Z1091" s="18"/>
      <c r="AA1091" s="218"/>
      <c r="AB1091" s="218"/>
    </row>
    <row r="1092" ht="15.75" customHeight="1">
      <c r="A1092" s="12"/>
      <c r="B1092" s="14"/>
      <c r="C1092" s="14"/>
      <c r="D1092" s="14"/>
      <c r="E1092" s="14"/>
      <c r="F1092" s="14"/>
      <c r="G1092" s="14"/>
      <c r="H1092" s="15"/>
      <c r="I1092" s="223"/>
      <c r="J1092" s="14"/>
      <c r="K1092" s="14"/>
      <c r="L1092" s="14"/>
      <c r="M1092" s="14"/>
      <c r="N1092" s="14"/>
      <c r="O1092" s="14"/>
      <c r="P1092" s="14"/>
      <c r="Q1092" s="14"/>
      <c r="R1092" s="14"/>
      <c r="S1092" s="14"/>
      <c r="T1092" s="14"/>
      <c r="U1092" s="17"/>
      <c r="V1092" s="14"/>
      <c r="W1092" s="14"/>
      <c r="X1092" s="18"/>
      <c r="Y1092" s="18"/>
      <c r="Z1092" s="18"/>
      <c r="AA1092" s="218"/>
      <c r="AB1092" s="218"/>
    </row>
    <row r="1093" ht="15.75" customHeight="1">
      <c r="A1093" s="12"/>
      <c r="B1093" s="14"/>
      <c r="C1093" s="14"/>
      <c r="D1093" s="14"/>
      <c r="E1093" s="14"/>
      <c r="F1093" s="14"/>
      <c r="G1093" s="14"/>
      <c r="H1093" s="15"/>
      <c r="I1093" s="223"/>
      <c r="J1093" s="14"/>
      <c r="K1093" s="14"/>
      <c r="L1093" s="14"/>
      <c r="M1093" s="14"/>
      <c r="N1093" s="14"/>
      <c r="O1093" s="14"/>
      <c r="P1093" s="14"/>
      <c r="Q1093" s="14"/>
      <c r="R1093" s="14"/>
      <c r="S1093" s="14"/>
      <c r="T1093" s="14"/>
      <c r="U1093" s="17"/>
      <c r="V1093" s="14"/>
      <c r="W1093" s="14"/>
      <c r="X1093" s="18"/>
      <c r="Y1093" s="18"/>
      <c r="Z1093" s="18"/>
      <c r="AA1093" s="218"/>
      <c r="AB1093" s="218"/>
    </row>
    <row r="1094" ht="15.75" customHeight="1">
      <c r="A1094" s="12"/>
      <c r="B1094" s="14"/>
      <c r="C1094" s="14"/>
      <c r="D1094" s="14"/>
      <c r="E1094" s="14"/>
      <c r="F1094" s="14"/>
      <c r="G1094" s="14"/>
      <c r="H1094" s="15"/>
      <c r="I1094" s="223"/>
      <c r="J1094" s="14"/>
      <c r="K1094" s="14"/>
      <c r="L1094" s="14"/>
      <c r="M1094" s="14"/>
      <c r="N1094" s="14"/>
      <c r="O1094" s="14"/>
      <c r="P1094" s="14"/>
      <c r="Q1094" s="14"/>
      <c r="R1094" s="14"/>
      <c r="S1094" s="14"/>
      <c r="T1094" s="14"/>
      <c r="U1094" s="17"/>
      <c r="V1094" s="14"/>
      <c r="W1094" s="14"/>
      <c r="X1094" s="18"/>
      <c r="Y1094" s="18"/>
      <c r="Z1094" s="18"/>
      <c r="AA1094" s="218"/>
      <c r="AB1094" s="218"/>
    </row>
    <row r="1095" ht="15.75" customHeight="1">
      <c r="A1095" s="12"/>
      <c r="B1095" s="14"/>
      <c r="C1095" s="14"/>
      <c r="D1095" s="14"/>
      <c r="E1095" s="14"/>
      <c r="F1095" s="14"/>
      <c r="G1095" s="14"/>
      <c r="H1095" s="15"/>
      <c r="I1095" s="223"/>
      <c r="J1095" s="14"/>
      <c r="K1095" s="14"/>
      <c r="L1095" s="14"/>
      <c r="M1095" s="14"/>
      <c r="N1095" s="14"/>
      <c r="O1095" s="14"/>
      <c r="P1095" s="14"/>
      <c r="Q1095" s="14"/>
      <c r="R1095" s="14"/>
      <c r="S1095" s="14"/>
      <c r="T1095" s="14"/>
      <c r="U1095" s="17"/>
      <c r="V1095" s="14"/>
      <c r="W1095" s="14"/>
      <c r="X1095" s="18"/>
      <c r="Y1095" s="18"/>
      <c r="Z1095" s="18"/>
      <c r="AA1095" s="218"/>
      <c r="AB1095" s="218"/>
    </row>
    <row r="1096" ht="15.75" customHeight="1">
      <c r="A1096" s="12"/>
      <c r="B1096" s="14"/>
      <c r="C1096" s="14"/>
      <c r="D1096" s="14"/>
      <c r="E1096" s="14"/>
      <c r="F1096" s="14"/>
      <c r="G1096" s="14"/>
      <c r="H1096" s="15"/>
      <c r="I1096" s="223"/>
      <c r="J1096" s="14"/>
      <c r="K1096" s="14"/>
      <c r="L1096" s="14"/>
      <c r="M1096" s="14"/>
      <c r="N1096" s="14"/>
      <c r="O1096" s="14"/>
      <c r="P1096" s="14"/>
      <c r="Q1096" s="14"/>
      <c r="R1096" s="14"/>
      <c r="S1096" s="14"/>
      <c r="T1096" s="14"/>
      <c r="U1096" s="17"/>
      <c r="V1096" s="14"/>
      <c r="W1096" s="14"/>
      <c r="X1096" s="18"/>
      <c r="Y1096" s="18"/>
      <c r="Z1096" s="18"/>
      <c r="AA1096" s="218"/>
      <c r="AB1096" s="218"/>
    </row>
    <row r="1097" ht="15.75" customHeight="1">
      <c r="A1097" s="12"/>
      <c r="B1097" s="14"/>
      <c r="C1097" s="14"/>
      <c r="D1097" s="14"/>
      <c r="E1097" s="14"/>
      <c r="F1097" s="14"/>
      <c r="G1097" s="14"/>
      <c r="H1097" s="15"/>
      <c r="I1097" s="223"/>
      <c r="J1097" s="14"/>
      <c r="K1097" s="14"/>
      <c r="L1097" s="14"/>
      <c r="M1097" s="14"/>
      <c r="N1097" s="14"/>
      <c r="O1097" s="14"/>
      <c r="P1097" s="14"/>
      <c r="Q1097" s="14"/>
      <c r="R1097" s="14"/>
      <c r="S1097" s="14"/>
      <c r="T1097" s="14"/>
      <c r="U1097" s="17"/>
      <c r="V1097" s="14"/>
      <c r="W1097" s="14"/>
      <c r="X1097" s="18"/>
      <c r="Y1097" s="18"/>
      <c r="Z1097" s="18"/>
      <c r="AA1097" s="218"/>
      <c r="AB1097" s="218"/>
    </row>
    <row r="1098" ht="15.75" customHeight="1">
      <c r="A1098" s="12"/>
      <c r="B1098" s="14"/>
      <c r="C1098" s="14"/>
      <c r="D1098" s="14"/>
      <c r="E1098" s="14"/>
      <c r="F1098" s="14"/>
      <c r="G1098" s="14"/>
      <c r="H1098" s="15"/>
      <c r="I1098" s="223"/>
      <c r="J1098" s="14"/>
      <c r="K1098" s="14"/>
      <c r="L1098" s="14"/>
      <c r="M1098" s="14"/>
      <c r="N1098" s="14"/>
      <c r="O1098" s="14"/>
      <c r="P1098" s="14"/>
      <c r="Q1098" s="14"/>
      <c r="R1098" s="14"/>
      <c r="S1098" s="14"/>
      <c r="T1098" s="14"/>
      <c r="U1098" s="17"/>
      <c r="V1098" s="14"/>
      <c r="W1098" s="14"/>
      <c r="X1098" s="18"/>
      <c r="Y1098" s="18"/>
      <c r="Z1098" s="18"/>
      <c r="AA1098" s="218"/>
      <c r="AB1098" s="218"/>
    </row>
    <row r="1099" ht="15.75" customHeight="1">
      <c r="A1099" s="12"/>
      <c r="B1099" s="14"/>
      <c r="C1099" s="14"/>
      <c r="D1099" s="14"/>
      <c r="E1099" s="14"/>
      <c r="F1099" s="14"/>
      <c r="G1099" s="14"/>
      <c r="H1099" s="15"/>
      <c r="I1099" s="223"/>
      <c r="J1099" s="14"/>
      <c r="K1099" s="14"/>
      <c r="L1099" s="14"/>
      <c r="M1099" s="14"/>
      <c r="N1099" s="14"/>
      <c r="O1099" s="14"/>
      <c r="P1099" s="14"/>
      <c r="Q1099" s="14"/>
      <c r="R1099" s="14"/>
      <c r="S1099" s="14"/>
      <c r="T1099" s="14"/>
      <c r="U1099" s="17"/>
      <c r="V1099" s="14"/>
      <c r="W1099" s="14"/>
      <c r="X1099" s="18"/>
      <c r="Y1099" s="18"/>
      <c r="Z1099" s="18"/>
      <c r="AA1099" s="218"/>
      <c r="AB1099" s="218"/>
    </row>
    <row r="1100" ht="15.75" customHeight="1">
      <c r="A1100" s="12"/>
      <c r="B1100" s="14"/>
      <c r="C1100" s="14"/>
      <c r="D1100" s="14"/>
      <c r="E1100" s="14"/>
      <c r="F1100" s="14"/>
      <c r="G1100" s="14"/>
      <c r="H1100" s="15"/>
      <c r="I1100" s="223"/>
      <c r="J1100" s="14"/>
      <c r="K1100" s="14"/>
      <c r="L1100" s="14"/>
      <c r="M1100" s="14"/>
      <c r="N1100" s="14"/>
      <c r="O1100" s="14"/>
      <c r="P1100" s="14"/>
      <c r="Q1100" s="14"/>
      <c r="R1100" s="14"/>
      <c r="S1100" s="14"/>
      <c r="T1100" s="14"/>
      <c r="U1100" s="17"/>
      <c r="V1100" s="14"/>
      <c r="W1100" s="14"/>
      <c r="X1100" s="18"/>
      <c r="Y1100" s="18"/>
      <c r="Z1100" s="18"/>
      <c r="AA1100" s="218"/>
      <c r="AB1100" s="218"/>
    </row>
    <row r="1101" ht="15.75" customHeight="1">
      <c r="A1101" s="12"/>
      <c r="B1101" s="14"/>
      <c r="C1101" s="14"/>
      <c r="D1101" s="14"/>
      <c r="E1101" s="14"/>
      <c r="F1101" s="14"/>
      <c r="G1101" s="14"/>
      <c r="H1101" s="15"/>
      <c r="I1101" s="223"/>
      <c r="J1101" s="14"/>
      <c r="K1101" s="14"/>
      <c r="L1101" s="14"/>
      <c r="M1101" s="14"/>
      <c r="N1101" s="14"/>
      <c r="O1101" s="14"/>
      <c r="P1101" s="14"/>
      <c r="Q1101" s="14"/>
      <c r="R1101" s="14"/>
      <c r="S1101" s="14"/>
      <c r="T1101" s="14"/>
      <c r="U1101" s="17"/>
      <c r="V1101" s="14"/>
      <c r="W1101" s="14"/>
      <c r="X1101" s="18"/>
      <c r="Y1101" s="18"/>
      <c r="Z1101" s="18"/>
      <c r="AA1101" s="218"/>
      <c r="AB1101" s="218"/>
    </row>
    <row r="1102" ht="15.75" customHeight="1">
      <c r="A1102" s="12"/>
      <c r="B1102" s="14"/>
      <c r="C1102" s="14"/>
      <c r="D1102" s="14"/>
      <c r="E1102" s="14"/>
      <c r="F1102" s="14"/>
      <c r="G1102" s="14"/>
      <c r="H1102" s="15"/>
      <c r="I1102" s="223"/>
      <c r="J1102" s="14"/>
      <c r="K1102" s="14"/>
      <c r="L1102" s="14"/>
      <c r="M1102" s="14"/>
      <c r="N1102" s="14"/>
      <c r="O1102" s="14"/>
      <c r="P1102" s="14"/>
      <c r="Q1102" s="14"/>
      <c r="R1102" s="14"/>
      <c r="S1102" s="14"/>
      <c r="T1102" s="14"/>
      <c r="U1102" s="17"/>
      <c r="V1102" s="14"/>
      <c r="W1102" s="14"/>
      <c r="X1102" s="18"/>
      <c r="Y1102" s="18"/>
      <c r="Z1102" s="18"/>
      <c r="AA1102" s="218"/>
      <c r="AB1102" s="218"/>
    </row>
    <row r="1103" ht="15.75" customHeight="1">
      <c r="A1103" s="12"/>
      <c r="B1103" s="14"/>
      <c r="C1103" s="14"/>
      <c r="D1103" s="14"/>
      <c r="E1103" s="14"/>
      <c r="F1103" s="14"/>
      <c r="G1103" s="14"/>
      <c r="H1103" s="15"/>
      <c r="I1103" s="223"/>
      <c r="J1103" s="14"/>
      <c r="K1103" s="14"/>
      <c r="L1103" s="14"/>
      <c r="M1103" s="14"/>
      <c r="N1103" s="14"/>
      <c r="O1103" s="14"/>
      <c r="P1103" s="14"/>
      <c r="Q1103" s="14"/>
      <c r="R1103" s="14"/>
      <c r="S1103" s="14"/>
      <c r="T1103" s="14"/>
      <c r="U1103" s="17"/>
      <c r="V1103" s="14"/>
      <c r="W1103" s="14"/>
      <c r="X1103" s="18"/>
      <c r="Y1103" s="18"/>
      <c r="Z1103" s="18"/>
      <c r="AA1103" s="218"/>
      <c r="AB1103" s="218"/>
    </row>
    <row r="1104" ht="15.75" customHeight="1">
      <c r="A1104" s="12"/>
      <c r="B1104" s="14"/>
      <c r="C1104" s="14"/>
      <c r="D1104" s="14"/>
      <c r="E1104" s="14"/>
      <c r="F1104" s="14"/>
      <c r="G1104" s="14"/>
      <c r="H1104" s="15"/>
      <c r="I1104" s="223"/>
      <c r="J1104" s="14"/>
      <c r="K1104" s="14"/>
      <c r="L1104" s="14"/>
      <c r="M1104" s="14"/>
      <c r="N1104" s="14"/>
      <c r="O1104" s="14"/>
      <c r="P1104" s="14"/>
      <c r="Q1104" s="14"/>
      <c r="R1104" s="14"/>
      <c r="S1104" s="14"/>
      <c r="T1104" s="14"/>
      <c r="U1104" s="17"/>
      <c r="V1104" s="14"/>
      <c r="W1104" s="14"/>
      <c r="X1104" s="18"/>
      <c r="Y1104" s="18"/>
      <c r="Z1104" s="18"/>
      <c r="AA1104" s="218"/>
      <c r="AB1104" s="218"/>
    </row>
    <row r="1105" ht="15.75" customHeight="1">
      <c r="A1105" s="12"/>
      <c r="B1105" s="14"/>
      <c r="C1105" s="14"/>
      <c r="D1105" s="14"/>
      <c r="E1105" s="14"/>
      <c r="F1105" s="14"/>
      <c r="G1105" s="14"/>
      <c r="H1105" s="15"/>
      <c r="I1105" s="223"/>
      <c r="J1105" s="14"/>
      <c r="K1105" s="14"/>
      <c r="L1105" s="14"/>
      <c r="M1105" s="14"/>
      <c r="N1105" s="14"/>
      <c r="O1105" s="14"/>
      <c r="P1105" s="14"/>
      <c r="Q1105" s="14"/>
      <c r="R1105" s="14"/>
      <c r="S1105" s="14"/>
      <c r="T1105" s="14"/>
      <c r="U1105" s="17"/>
      <c r="V1105" s="14"/>
      <c r="W1105" s="14"/>
      <c r="X1105" s="18"/>
      <c r="Y1105" s="18"/>
      <c r="Z1105" s="18"/>
      <c r="AA1105" s="218"/>
      <c r="AB1105" s="218"/>
    </row>
    <row r="1106" ht="15.75" customHeight="1">
      <c r="A1106" s="12"/>
      <c r="B1106" s="14"/>
      <c r="C1106" s="14"/>
      <c r="D1106" s="14"/>
      <c r="E1106" s="14"/>
      <c r="F1106" s="14"/>
      <c r="G1106" s="14"/>
      <c r="H1106" s="15"/>
      <c r="I1106" s="223"/>
      <c r="J1106" s="14"/>
      <c r="K1106" s="14"/>
      <c r="L1106" s="14"/>
      <c r="M1106" s="14"/>
      <c r="N1106" s="14"/>
      <c r="O1106" s="14"/>
      <c r="P1106" s="14"/>
      <c r="Q1106" s="14"/>
      <c r="R1106" s="14"/>
      <c r="S1106" s="14"/>
      <c r="T1106" s="14"/>
      <c r="U1106" s="17"/>
      <c r="V1106" s="14"/>
      <c r="W1106" s="14"/>
      <c r="X1106" s="18"/>
      <c r="Y1106" s="18"/>
      <c r="Z1106" s="18"/>
      <c r="AA1106" s="218"/>
      <c r="AB1106" s="218"/>
    </row>
    <row r="1107" ht="15.75" customHeight="1">
      <c r="A1107" s="12"/>
      <c r="B1107" s="14"/>
      <c r="C1107" s="14"/>
      <c r="D1107" s="14"/>
      <c r="E1107" s="14"/>
      <c r="F1107" s="14"/>
      <c r="G1107" s="14"/>
      <c r="H1107" s="15"/>
      <c r="I1107" s="223"/>
      <c r="J1107" s="14"/>
      <c r="K1107" s="14"/>
      <c r="L1107" s="14"/>
      <c r="M1107" s="14"/>
      <c r="N1107" s="14"/>
      <c r="O1107" s="14"/>
      <c r="P1107" s="14"/>
      <c r="Q1107" s="14"/>
      <c r="R1107" s="14"/>
      <c r="S1107" s="14"/>
      <c r="T1107" s="14"/>
      <c r="U1107" s="17"/>
      <c r="V1107" s="14"/>
      <c r="W1107" s="14"/>
      <c r="X1107" s="18"/>
      <c r="Y1107" s="18"/>
      <c r="Z1107" s="18"/>
      <c r="AA1107" s="218"/>
      <c r="AB1107" s="218"/>
    </row>
    <row r="1108" ht="15.75" customHeight="1">
      <c r="A1108" s="12"/>
      <c r="B1108" s="14"/>
      <c r="C1108" s="14"/>
      <c r="D1108" s="14"/>
      <c r="E1108" s="14"/>
      <c r="F1108" s="14"/>
      <c r="G1108" s="14"/>
      <c r="H1108" s="15"/>
      <c r="I1108" s="223"/>
      <c r="J1108" s="14"/>
      <c r="K1108" s="14"/>
      <c r="L1108" s="14"/>
      <c r="M1108" s="14"/>
      <c r="N1108" s="14"/>
      <c r="O1108" s="14"/>
      <c r="P1108" s="14"/>
      <c r="Q1108" s="14"/>
      <c r="R1108" s="14"/>
      <c r="S1108" s="14"/>
      <c r="T1108" s="14"/>
      <c r="U1108" s="17"/>
      <c r="V1108" s="14"/>
      <c r="W1108" s="14"/>
      <c r="X1108" s="18"/>
      <c r="Y1108" s="18"/>
      <c r="Z1108" s="18"/>
      <c r="AA1108" s="218"/>
      <c r="AB1108" s="218"/>
    </row>
    <row r="1109" ht="15.75" customHeight="1">
      <c r="A1109" s="12"/>
      <c r="B1109" s="14"/>
      <c r="C1109" s="14"/>
      <c r="D1109" s="14"/>
      <c r="E1109" s="14"/>
      <c r="F1109" s="14"/>
      <c r="G1109" s="14"/>
      <c r="H1109" s="15"/>
      <c r="I1109" s="223"/>
      <c r="J1109" s="14"/>
      <c r="K1109" s="14"/>
      <c r="L1109" s="14"/>
      <c r="M1109" s="14"/>
      <c r="N1109" s="14"/>
      <c r="O1109" s="14"/>
      <c r="P1109" s="14"/>
      <c r="Q1109" s="14"/>
      <c r="R1109" s="14"/>
      <c r="S1109" s="14"/>
      <c r="T1109" s="14"/>
      <c r="U1109" s="17"/>
      <c r="V1109" s="14"/>
      <c r="W1109" s="14"/>
      <c r="X1109" s="18"/>
      <c r="Y1109" s="18"/>
      <c r="Z1109" s="18"/>
      <c r="AA1109" s="218"/>
      <c r="AB1109" s="218"/>
    </row>
    <row r="1110" ht="15.75" customHeight="1">
      <c r="A1110" s="12"/>
      <c r="B1110" s="14"/>
      <c r="C1110" s="14"/>
      <c r="D1110" s="14"/>
      <c r="E1110" s="14"/>
      <c r="F1110" s="14"/>
      <c r="G1110" s="14"/>
      <c r="H1110" s="15"/>
      <c r="I1110" s="223"/>
      <c r="J1110" s="14"/>
      <c r="K1110" s="14"/>
      <c r="L1110" s="14"/>
      <c r="M1110" s="14"/>
      <c r="N1110" s="14"/>
      <c r="O1110" s="14"/>
      <c r="P1110" s="14"/>
      <c r="Q1110" s="14"/>
      <c r="R1110" s="14"/>
      <c r="S1110" s="14"/>
      <c r="T1110" s="14"/>
      <c r="U1110" s="17"/>
      <c r="V1110" s="14"/>
      <c r="W1110" s="14"/>
      <c r="X1110" s="18"/>
      <c r="Y1110" s="18"/>
      <c r="Z1110" s="18"/>
      <c r="AA1110" s="218"/>
      <c r="AB1110" s="218"/>
    </row>
    <row r="1111" ht="15.75" customHeight="1">
      <c r="A1111" s="12"/>
      <c r="B1111" s="14"/>
      <c r="C1111" s="14"/>
      <c r="D1111" s="14"/>
      <c r="E1111" s="14"/>
      <c r="F1111" s="14"/>
      <c r="G1111" s="14"/>
      <c r="H1111" s="15"/>
      <c r="I1111" s="223"/>
      <c r="J1111" s="14"/>
      <c r="K1111" s="14"/>
      <c r="L1111" s="14"/>
      <c r="M1111" s="14"/>
      <c r="N1111" s="14"/>
      <c r="O1111" s="14"/>
      <c r="P1111" s="14"/>
      <c r="Q1111" s="14"/>
      <c r="R1111" s="14"/>
      <c r="S1111" s="14"/>
      <c r="T1111" s="14"/>
      <c r="U1111" s="17"/>
      <c r="V1111" s="14"/>
      <c r="W1111" s="14"/>
      <c r="X1111" s="18"/>
      <c r="Y1111" s="18"/>
      <c r="Z1111" s="18"/>
      <c r="AA1111" s="218"/>
      <c r="AB1111" s="218"/>
    </row>
    <row r="1112" ht="15.75" customHeight="1">
      <c r="A1112" s="12"/>
      <c r="B1112" s="14"/>
      <c r="C1112" s="14"/>
      <c r="D1112" s="14"/>
      <c r="E1112" s="14"/>
      <c r="F1112" s="14"/>
      <c r="G1112" s="14"/>
      <c r="H1112" s="15"/>
      <c r="I1112" s="223"/>
      <c r="J1112" s="14"/>
      <c r="K1112" s="14"/>
      <c r="L1112" s="14"/>
      <c r="M1112" s="14"/>
      <c r="N1112" s="14"/>
      <c r="O1112" s="14"/>
      <c r="P1112" s="14"/>
      <c r="Q1112" s="14"/>
      <c r="R1112" s="14"/>
      <c r="S1112" s="14"/>
      <c r="T1112" s="14"/>
      <c r="U1112" s="17"/>
      <c r="V1112" s="14"/>
      <c r="W1112" s="14"/>
      <c r="X1112" s="18"/>
      <c r="Y1112" s="18"/>
      <c r="Z1112" s="18"/>
      <c r="AA1112" s="218"/>
      <c r="AB1112" s="218"/>
    </row>
    <row r="1113" ht="15.75" customHeight="1">
      <c r="A1113" s="12"/>
      <c r="B1113" s="14"/>
      <c r="C1113" s="14"/>
      <c r="D1113" s="14"/>
      <c r="E1113" s="14"/>
      <c r="F1113" s="14"/>
      <c r="G1113" s="14"/>
      <c r="H1113" s="15"/>
      <c r="I1113" s="223"/>
      <c r="J1113" s="14"/>
      <c r="K1113" s="14"/>
      <c r="L1113" s="14"/>
      <c r="M1113" s="14"/>
      <c r="N1113" s="14"/>
      <c r="O1113" s="14"/>
      <c r="P1113" s="14"/>
      <c r="Q1113" s="14"/>
      <c r="R1113" s="14"/>
      <c r="S1113" s="14"/>
      <c r="T1113" s="14"/>
      <c r="U1113" s="17"/>
      <c r="V1113" s="14"/>
      <c r="W1113" s="14"/>
      <c r="X1113" s="18"/>
      <c r="Y1113" s="18"/>
      <c r="Z1113" s="18"/>
      <c r="AA1113" s="218"/>
      <c r="AB1113" s="218"/>
    </row>
    <row r="1114" ht="15.75" customHeight="1">
      <c r="A1114" s="12"/>
      <c r="B1114" s="14"/>
      <c r="C1114" s="14"/>
      <c r="D1114" s="14"/>
      <c r="E1114" s="14"/>
      <c r="F1114" s="14"/>
      <c r="G1114" s="14"/>
      <c r="H1114" s="15"/>
      <c r="I1114" s="223"/>
      <c r="J1114" s="14"/>
      <c r="K1114" s="14"/>
      <c r="L1114" s="14"/>
      <c r="M1114" s="14"/>
      <c r="N1114" s="14"/>
      <c r="O1114" s="14"/>
      <c r="P1114" s="14"/>
      <c r="Q1114" s="14"/>
      <c r="R1114" s="14"/>
      <c r="S1114" s="14"/>
      <c r="T1114" s="14"/>
      <c r="U1114" s="17"/>
      <c r="V1114" s="14"/>
      <c r="W1114" s="14"/>
      <c r="X1114" s="18"/>
      <c r="Y1114" s="18"/>
      <c r="Z1114" s="18"/>
      <c r="AA1114" s="218"/>
      <c r="AB1114" s="218"/>
    </row>
    <row r="1115" ht="15.75" customHeight="1">
      <c r="A1115" s="12"/>
      <c r="B1115" s="14"/>
      <c r="C1115" s="14"/>
      <c r="D1115" s="14"/>
      <c r="E1115" s="14"/>
      <c r="F1115" s="14"/>
      <c r="G1115" s="14"/>
      <c r="H1115" s="15"/>
      <c r="I1115" s="223"/>
      <c r="J1115" s="14"/>
      <c r="K1115" s="14"/>
      <c r="L1115" s="14"/>
      <c r="M1115" s="14"/>
      <c r="N1115" s="14"/>
      <c r="O1115" s="14"/>
      <c r="P1115" s="14"/>
      <c r="Q1115" s="14"/>
      <c r="R1115" s="14"/>
      <c r="S1115" s="14"/>
      <c r="T1115" s="14"/>
      <c r="U1115" s="17"/>
      <c r="V1115" s="14"/>
      <c r="W1115" s="14"/>
      <c r="X1115" s="18"/>
      <c r="Y1115" s="18"/>
      <c r="Z1115" s="18"/>
      <c r="AA1115" s="218"/>
      <c r="AB1115" s="218"/>
    </row>
    <row r="1116" ht="15.75" customHeight="1">
      <c r="A1116" s="12"/>
      <c r="B1116" s="14"/>
      <c r="C1116" s="14"/>
      <c r="D1116" s="14"/>
      <c r="E1116" s="14"/>
      <c r="F1116" s="14"/>
      <c r="G1116" s="14"/>
      <c r="H1116" s="15"/>
      <c r="I1116" s="223"/>
      <c r="J1116" s="14"/>
      <c r="K1116" s="14"/>
      <c r="L1116" s="14"/>
      <c r="M1116" s="14"/>
      <c r="N1116" s="14"/>
      <c r="O1116" s="14"/>
      <c r="P1116" s="14"/>
      <c r="Q1116" s="14"/>
      <c r="R1116" s="14"/>
      <c r="S1116" s="14"/>
      <c r="T1116" s="14"/>
      <c r="U1116" s="17"/>
      <c r="V1116" s="14"/>
      <c r="W1116" s="14"/>
      <c r="X1116" s="18"/>
      <c r="Y1116" s="18"/>
      <c r="Z1116" s="18"/>
      <c r="AA1116" s="218"/>
      <c r="AB1116" s="218"/>
    </row>
    <row r="1117" ht="15.75" customHeight="1">
      <c r="A1117" s="12"/>
      <c r="B1117" s="14"/>
      <c r="C1117" s="14"/>
      <c r="D1117" s="14"/>
      <c r="E1117" s="14"/>
      <c r="F1117" s="14"/>
      <c r="G1117" s="14"/>
      <c r="H1117" s="15"/>
      <c r="I1117" s="223"/>
      <c r="J1117" s="14"/>
      <c r="K1117" s="14"/>
      <c r="L1117" s="14"/>
      <c r="M1117" s="14"/>
      <c r="N1117" s="14"/>
      <c r="O1117" s="14"/>
      <c r="P1117" s="14"/>
      <c r="Q1117" s="14"/>
      <c r="R1117" s="14"/>
      <c r="S1117" s="14"/>
      <c r="T1117" s="14"/>
      <c r="U1117" s="17"/>
      <c r="V1117" s="14"/>
      <c r="W1117" s="14"/>
      <c r="X1117" s="18"/>
      <c r="Y1117" s="18"/>
      <c r="Z1117" s="18"/>
      <c r="AA1117" s="218"/>
      <c r="AB1117" s="218"/>
    </row>
    <row r="1118" ht="15.75" customHeight="1">
      <c r="A1118" s="12"/>
      <c r="B1118" s="14"/>
      <c r="C1118" s="14"/>
      <c r="D1118" s="14"/>
      <c r="E1118" s="14"/>
      <c r="F1118" s="14"/>
      <c r="G1118" s="14"/>
      <c r="H1118" s="15"/>
      <c r="I1118" s="223"/>
      <c r="J1118" s="14"/>
      <c r="K1118" s="14"/>
      <c r="L1118" s="14"/>
      <c r="M1118" s="14"/>
      <c r="N1118" s="14"/>
      <c r="O1118" s="14"/>
      <c r="P1118" s="14"/>
      <c r="Q1118" s="14"/>
      <c r="R1118" s="14"/>
      <c r="S1118" s="14"/>
      <c r="T1118" s="14"/>
      <c r="U1118" s="17"/>
      <c r="V1118" s="14"/>
      <c r="W1118" s="14"/>
      <c r="X1118" s="18"/>
      <c r="Y1118" s="18"/>
      <c r="Z1118" s="18"/>
      <c r="AA1118" s="218"/>
      <c r="AB1118" s="218"/>
    </row>
    <row r="1119" ht="15.75" customHeight="1">
      <c r="A1119" s="12"/>
      <c r="B1119" s="14"/>
      <c r="C1119" s="14"/>
      <c r="D1119" s="14"/>
      <c r="E1119" s="14"/>
      <c r="F1119" s="14"/>
      <c r="G1119" s="14"/>
      <c r="H1119" s="15"/>
      <c r="I1119" s="223"/>
      <c r="J1119" s="14"/>
      <c r="K1119" s="14"/>
      <c r="L1119" s="14"/>
      <c r="M1119" s="14"/>
      <c r="N1119" s="14"/>
      <c r="O1119" s="14"/>
      <c r="P1119" s="14"/>
      <c r="Q1119" s="14"/>
      <c r="R1119" s="14"/>
      <c r="S1119" s="14"/>
      <c r="T1119" s="14"/>
      <c r="U1119" s="17"/>
      <c r="V1119" s="14"/>
      <c r="W1119" s="14"/>
      <c r="X1119" s="18"/>
      <c r="Y1119" s="18"/>
      <c r="Z1119" s="18"/>
      <c r="AA1119" s="218"/>
      <c r="AB1119" s="218"/>
    </row>
    <row r="1120" ht="15.75" customHeight="1">
      <c r="A1120" s="12"/>
      <c r="B1120" s="14"/>
      <c r="C1120" s="14"/>
      <c r="D1120" s="14"/>
      <c r="E1120" s="14"/>
      <c r="F1120" s="14"/>
      <c r="G1120" s="14"/>
      <c r="H1120" s="15"/>
      <c r="I1120" s="223"/>
      <c r="J1120" s="14"/>
      <c r="K1120" s="14"/>
      <c r="L1120" s="14"/>
      <c r="M1120" s="14"/>
      <c r="N1120" s="14"/>
      <c r="O1120" s="14"/>
      <c r="P1120" s="14"/>
      <c r="Q1120" s="14"/>
      <c r="R1120" s="14"/>
      <c r="S1120" s="14"/>
      <c r="T1120" s="14"/>
      <c r="U1120" s="17"/>
      <c r="V1120" s="14"/>
      <c r="W1120" s="14"/>
      <c r="X1120" s="18"/>
      <c r="Y1120" s="18"/>
      <c r="Z1120" s="18"/>
      <c r="AA1120" s="218"/>
      <c r="AB1120" s="218"/>
    </row>
    <row r="1121" ht="15.75" customHeight="1">
      <c r="A1121" s="12"/>
      <c r="B1121" s="14"/>
      <c r="C1121" s="14"/>
      <c r="D1121" s="14"/>
      <c r="E1121" s="14"/>
      <c r="F1121" s="14"/>
      <c r="G1121" s="14"/>
      <c r="H1121" s="15"/>
      <c r="I1121" s="223"/>
      <c r="J1121" s="14"/>
      <c r="K1121" s="14"/>
      <c r="L1121" s="14"/>
      <c r="M1121" s="14"/>
      <c r="N1121" s="14"/>
      <c r="O1121" s="14"/>
      <c r="P1121" s="14"/>
      <c r="Q1121" s="14"/>
      <c r="R1121" s="14"/>
      <c r="S1121" s="14"/>
      <c r="T1121" s="14"/>
      <c r="U1121" s="17"/>
      <c r="V1121" s="14"/>
      <c r="W1121" s="14"/>
      <c r="X1121" s="18"/>
      <c r="Y1121" s="18"/>
      <c r="Z1121" s="18"/>
      <c r="AA1121" s="218"/>
      <c r="AB1121" s="218"/>
    </row>
    <row r="1122" ht="15.75" customHeight="1">
      <c r="A1122" s="12"/>
      <c r="B1122" s="14"/>
      <c r="C1122" s="14"/>
      <c r="D1122" s="14"/>
      <c r="E1122" s="14"/>
      <c r="F1122" s="14"/>
      <c r="G1122" s="14"/>
      <c r="H1122" s="15"/>
      <c r="I1122" s="223"/>
      <c r="J1122" s="14"/>
      <c r="K1122" s="14"/>
      <c r="L1122" s="14"/>
      <c r="M1122" s="14"/>
      <c r="N1122" s="14"/>
      <c r="O1122" s="14"/>
      <c r="P1122" s="14"/>
      <c r="Q1122" s="14"/>
      <c r="R1122" s="14"/>
      <c r="S1122" s="14"/>
      <c r="T1122" s="14"/>
      <c r="U1122" s="17"/>
      <c r="V1122" s="14"/>
      <c r="W1122" s="14"/>
      <c r="X1122" s="18"/>
      <c r="Y1122" s="18"/>
      <c r="Z1122" s="18"/>
      <c r="AA1122" s="218"/>
      <c r="AB1122" s="218"/>
    </row>
    <row r="1123" ht="15.75" customHeight="1">
      <c r="A1123" s="12"/>
      <c r="B1123" s="14"/>
      <c r="C1123" s="14"/>
      <c r="D1123" s="14"/>
      <c r="E1123" s="14"/>
      <c r="F1123" s="14"/>
      <c r="G1123" s="14"/>
      <c r="H1123" s="15"/>
      <c r="I1123" s="223"/>
      <c r="J1123" s="14"/>
      <c r="K1123" s="14"/>
      <c r="L1123" s="14"/>
      <c r="M1123" s="14"/>
      <c r="N1123" s="14"/>
      <c r="O1123" s="14"/>
      <c r="P1123" s="14"/>
      <c r="Q1123" s="14"/>
      <c r="R1123" s="14"/>
      <c r="S1123" s="14"/>
      <c r="T1123" s="14"/>
      <c r="U1123" s="17"/>
      <c r="V1123" s="14"/>
      <c r="W1123" s="14"/>
      <c r="X1123" s="18"/>
      <c r="Y1123" s="18"/>
      <c r="Z1123" s="18"/>
      <c r="AA1123" s="218"/>
      <c r="AB1123" s="218"/>
    </row>
    <row r="1124" ht="15.75" customHeight="1">
      <c r="A1124" s="12"/>
      <c r="B1124" s="14"/>
      <c r="C1124" s="14"/>
      <c r="D1124" s="14"/>
      <c r="E1124" s="14"/>
      <c r="F1124" s="14"/>
      <c r="G1124" s="14"/>
      <c r="H1124" s="15"/>
      <c r="I1124" s="223"/>
      <c r="J1124" s="14"/>
      <c r="K1124" s="14"/>
      <c r="L1124" s="14"/>
      <c r="M1124" s="14"/>
      <c r="N1124" s="14"/>
      <c r="O1124" s="14"/>
      <c r="P1124" s="14"/>
      <c r="Q1124" s="14"/>
      <c r="R1124" s="14"/>
      <c r="S1124" s="14"/>
      <c r="T1124" s="14"/>
      <c r="U1124" s="17"/>
      <c r="V1124" s="14"/>
      <c r="W1124" s="14"/>
      <c r="X1124" s="18"/>
      <c r="Y1124" s="18"/>
      <c r="Z1124" s="18"/>
      <c r="AA1124" s="218"/>
      <c r="AB1124" s="218"/>
    </row>
    <row r="1125" ht="15.75" customHeight="1">
      <c r="A1125" s="12"/>
      <c r="B1125" s="14"/>
      <c r="C1125" s="14"/>
      <c r="D1125" s="14"/>
      <c r="E1125" s="14"/>
      <c r="F1125" s="14"/>
      <c r="G1125" s="14"/>
      <c r="H1125" s="15"/>
      <c r="I1125" s="223"/>
      <c r="J1125" s="14"/>
      <c r="K1125" s="14"/>
      <c r="L1125" s="14"/>
      <c r="M1125" s="14"/>
      <c r="N1125" s="14"/>
      <c r="O1125" s="14"/>
      <c r="P1125" s="14"/>
      <c r="Q1125" s="14"/>
      <c r="R1125" s="14"/>
      <c r="S1125" s="14"/>
      <c r="T1125" s="14"/>
      <c r="U1125" s="17"/>
      <c r="V1125" s="14"/>
      <c r="W1125" s="14"/>
      <c r="X1125" s="18"/>
      <c r="Y1125" s="18"/>
      <c r="Z1125" s="18"/>
      <c r="AA1125" s="218"/>
      <c r="AB1125" s="218"/>
    </row>
    <row r="1126" ht="15.75" customHeight="1">
      <c r="A1126" s="12"/>
      <c r="B1126" s="14"/>
      <c r="C1126" s="14"/>
      <c r="D1126" s="14"/>
      <c r="E1126" s="14"/>
      <c r="F1126" s="14"/>
      <c r="G1126" s="14"/>
      <c r="H1126" s="15"/>
      <c r="I1126" s="223"/>
      <c r="J1126" s="14"/>
      <c r="K1126" s="14"/>
      <c r="L1126" s="14"/>
      <c r="M1126" s="14"/>
      <c r="N1126" s="14"/>
      <c r="O1126" s="14"/>
      <c r="P1126" s="14"/>
      <c r="Q1126" s="14"/>
      <c r="R1126" s="14"/>
      <c r="S1126" s="14"/>
      <c r="T1126" s="14"/>
      <c r="U1126" s="17"/>
      <c r="V1126" s="14"/>
      <c r="W1126" s="14"/>
      <c r="X1126" s="18"/>
      <c r="Y1126" s="18"/>
      <c r="Z1126" s="18"/>
      <c r="AA1126" s="218"/>
      <c r="AB1126" s="218"/>
    </row>
    <row r="1127" ht="15.75" customHeight="1">
      <c r="A1127" s="12"/>
      <c r="B1127" s="14"/>
      <c r="C1127" s="14"/>
      <c r="D1127" s="14"/>
      <c r="E1127" s="14"/>
      <c r="F1127" s="14"/>
      <c r="G1127" s="14"/>
      <c r="H1127" s="15"/>
      <c r="I1127" s="223"/>
      <c r="J1127" s="14"/>
      <c r="K1127" s="14"/>
      <c r="L1127" s="14"/>
      <c r="M1127" s="14"/>
      <c r="N1127" s="14"/>
      <c r="O1127" s="14"/>
      <c r="P1127" s="14"/>
      <c r="Q1127" s="14"/>
      <c r="R1127" s="14"/>
      <c r="S1127" s="14"/>
      <c r="T1127" s="14"/>
      <c r="U1127" s="17"/>
      <c r="V1127" s="14"/>
      <c r="W1127" s="14"/>
      <c r="X1127" s="18"/>
      <c r="Y1127" s="18"/>
      <c r="Z1127" s="18"/>
      <c r="AA1127" s="218"/>
      <c r="AB1127" s="218"/>
    </row>
    <row r="1128" ht="15.75" customHeight="1">
      <c r="A1128" s="12"/>
      <c r="B1128" s="14"/>
      <c r="C1128" s="14"/>
      <c r="D1128" s="14"/>
      <c r="E1128" s="14"/>
      <c r="F1128" s="14"/>
      <c r="G1128" s="14"/>
      <c r="H1128" s="15"/>
      <c r="I1128" s="223"/>
      <c r="J1128" s="14"/>
      <c r="K1128" s="14"/>
      <c r="L1128" s="14"/>
      <c r="M1128" s="14"/>
      <c r="N1128" s="14"/>
      <c r="O1128" s="14"/>
      <c r="P1128" s="14"/>
      <c r="Q1128" s="14"/>
      <c r="R1128" s="14"/>
      <c r="S1128" s="14"/>
      <c r="T1128" s="14"/>
      <c r="U1128" s="17"/>
      <c r="V1128" s="14"/>
      <c r="W1128" s="14"/>
      <c r="X1128" s="18"/>
      <c r="Y1128" s="18"/>
      <c r="Z1128" s="18"/>
      <c r="AA1128" s="218"/>
      <c r="AB1128" s="218"/>
    </row>
    <row r="1129" ht="15.75" customHeight="1">
      <c r="A1129" s="12"/>
      <c r="B1129" s="14"/>
      <c r="C1129" s="14"/>
      <c r="D1129" s="14"/>
      <c r="E1129" s="14"/>
      <c r="F1129" s="14"/>
      <c r="G1129" s="14"/>
      <c r="H1129" s="15"/>
      <c r="I1129" s="223"/>
      <c r="J1129" s="14"/>
      <c r="K1129" s="14"/>
      <c r="L1129" s="14"/>
      <c r="M1129" s="14"/>
      <c r="N1129" s="14"/>
      <c r="O1129" s="14"/>
      <c r="P1129" s="14"/>
      <c r="Q1129" s="14"/>
      <c r="R1129" s="14"/>
      <c r="S1129" s="14"/>
      <c r="T1129" s="14"/>
      <c r="U1129" s="17"/>
      <c r="V1129" s="14"/>
      <c r="W1129" s="14"/>
      <c r="X1129" s="18"/>
      <c r="Y1129" s="18"/>
      <c r="Z1129" s="18"/>
      <c r="AA1129" s="218"/>
      <c r="AB1129" s="218"/>
    </row>
    <row r="1130" ht="15.75" customHeight="1">
      <c r="A1130" s="12"/>
      <c r="B1130" s="14"/>
      <c r="C1130" s="14"/>
      <c r="D1130" s="14"/>
      <c r="E1130" s="14"/>
      <c r="F1130" s="14"/>
      <c r="G1130" s="14"/>
      <c r="H1130" s="15"/>
      <c r="I1130" s="223"/>
      <c r="J1130" s="14"/>
      <c r="K1130" s="14"/>
      <c r="L1130" s="14"/>
      <c r="M1130" s="14"/>
      <c r="N1130" s="14"/>
      <c r="O1130" s="14"/>
      <c r="P1130" s="14"/>
      <c r="Q1130" s="14"/>
      <c r="R1130" s="14"/>
      <c r="S1130" s="14"/>
      <c r="T1130" s="14"/>
      <c r="U1130" s="17"/>
      <c r="V1130" s="14"/>
      <c r="W1130" s="14"/>
      <c r="X1130" s="18"/>
      <c r="Y1130" s="18"/>
      <c r="Z1130" s="18"/>
      <c r="AA1130" s="218"/>
      <c r="AB1130" s="218"/>
    </row>
    <row r="1131" ht="15.75" customHeight="1">
      <c r="A1131" s="12"/>
      <c r="B1131" s="14"/>
      <c r="C1131" s="14"/>
      <c r="D1131" s="14"/>
      <c r="E1131" s="14"/>
      <c r="F1131" s="14"/>
      <c r="G1131" s="14"/>
      <c r="H1131" s="15"/>
      <c r="I1131" s="223"/>
      <c r="J1131" s="14"/>
      <c r="K1131" s="14"/>
      <c r="L1131" s="14"/>
      <c r="M1131" s="14"/>
      <c r="N1131" s="14"/>
      <c r="O1131" s="14"/>
      <c r="P1131" s="14"/>
      <c r="Q1131" s="14"/>
      <c r="R1131" s="14"/>
      <c r="S1131" s="14"/>
      <c r="T1131" s="14"/>
      <c r="U1131" s="17"/>
      <c r="V1131" s="14"/>
      <c r="W1131" s="14"/>
      <c r="X1131" s="18"/>
      <c r="Y1131" s="18"/>
      <c r="Z1131" s="18"/>
      <c r="AA1131" s="218"/>
      <c r="AB1131" s="218"/>
    </row>
    <row r="1132" ht="15.75" customHeight="1">
      <c r="A1132" s="12"/>
      <c r="B1132" s="14"/>
      <c r="C1132" s="14"/>
      <c r="D1132" s="14"/>
      <c r="E1132" s="14"/>
      <c r="F1132" s="14"/>
      <c r="G1132" s="14"/>
      <c r="H1132" s="15"/>
      <c r="I1132" s="223"/>
      <c r="J1132" s="14"/>
      <c r="K1132" s="14"/>
      <c r="L1132" s="14"/>
      <c r="M1132" s="14"/>
      <c r="N1132" s="14"/>
      <c r="O1132" s="14"/>
      <c r="P1132" s="14"/>
      <c r="Q1132" s="14"/>
      <c r="R1132" s="14"/>
      <c r="S1132" s="14"/>
      <c r="T1132" s="14"/>
      <c r="U1132" s="17"/>
      <c r="V1132" s="14"/>
      <c r="W1132" s="14"/>
      <c r="X1132" s="18"/>
      <c r="Y1132" s="18"/>
      <c r="Z1132" s="18"/>
      <c r="AA1132" s="218"/>
      <c r="AB1132" s="218"/>
    </row>
    <row r="1133" ht="15.75" customHeight="1">
      <c r="A1133" s="12"/>
      <c r="B1133" s="14"/>
      <c r="C1133" s="14"/>
      <c r="D1133" s="14"/>
      <c r="E1133" s="14"/>
      <c r="F1133" s="14"/>
      <c r="G1133" s="14"/>
      <c r="H1133" s="15"/>
      <c r="I1133" s="223"/>
      <c r="J1133" s="14"/>
      <c r="K1133" s="14"/>
      <c r="L1133" s="14"/>
      <c r="M1133" s="14"/>
      <c r="N1133" s="14"/>
      <c r="O1133" s="14"/>
      <c r="P1133" s="14"/>
      <c r="Q1133" s="14"/>
      <c r="R1133" s="14"/>
      <c r="S1133" s="14"/>
      <c r="T1133" s="14"/>
      <c r="U1133" s="17"/>
      <c r="V1133" s="14"/>
      <c r="W1133" s="14"/>
      <c r="X1133" s="18"/>
      <c r="Y1133" s="18"/>
      <c r="Z1133" s="18"/>
      <c r="AA1133" s="218"/>
      <c r="AB1133" s="218"/>
    </row>
    <row r="1134" ht="15.75" customHeight="1">
      <c r="A1134" s="12"/>
      <c r="B1134" s="14"/>
      <c r="C1134" s="14"/>
      <c r="D1134" s="14"/>
      <c r="E1134" s="14"/>
      <c r="F1134" s="14"/>
      <c r="G1134" s="14"/>
      <c r="H1134" s="15"/>
      <c r="I1134" s="223"/>
      <c r="J1134" s="14"/>
      <c r="K1134" s="14"/>
      <c r="L1134" s="14"/>
      <c r="M1134" s="14"/>
      <c r="N1134" s="14"/>
      <c r="O1134" s="14"/>
      <c r="P1134" s="14"/>
      <c r="Q1134" s="14"/>
      <c r="R1134" s="14"/>
      <c r="S1134" s="14"/>
      <c r="T1134" s="14"/>
      <c r="U1134" s="17"/>
      <c r="V1134" s="14"/>
      <c r="W1134" s="14"/>
      <c r="X1134" s="18"/>
      <c r="Y1134" s="18"/>
      <c r="Z1134" s="18"/>
      <c r="AA1134" s="218"/>
      <c r="AB1134" s="218"/>
    </row>
    <row r="1135" ht="15.75" customHeight="1">
      <c r="A1135" s="12"/>
      <c r="B1135" s="14"/>
      <c r="C1135" s="14"/>
      <c r="D1135" s="14"/>
      <c r="E1135" s="14"/>
      <c r="F1135" s="14"/>
      <c r="G1135" s="14"/>
      <c r="H1135" s="15"/>
      <c r="I1135" s="223"/>
      <c r="J1135" s="14"/>
      <c r="K1135" s="14"/>
      <c r="L1135" s="14"/>
      <c r="M1135" s="14"/>
      <c r="N1135" s="14"/>
      <c r="O1135" s="14"/>
      <c r="P1135" s="14"/>
      <c r="Q1135" s="14"/>
      <c r="R1135" s="14"/>
      <c r="S1135" s="14"/>
      <c r="T1135" s="14"/>
      <c r="U1135" s="17"/>
      <c r="V1135" s="14"/>
      <c r="W1135" s="14"/>
      <c r="X1135" s="18"/>
      <c r="Y1135" s="18"/>
      <c r="Z1135" s="18"/>
      <c r="AA1135" s="218"/>
      <c r="AB1135" s="218"/>
    </row>
    <row r="1136" ht="15.75" customHeight="1">
      <c r="A1136" s="12"/>
      <c r="B1136" s="14"/>
      <c r="C1136" s="14"/>
      <c r="D1136" s="14"/>
      <c r="E1136" s="14"/>
      <c r="F1136" s="14"/>
      <c r="G1136" s="14"/>
      <c r="H1136" s="15"/>
      <c r="I1136" s="223"/>
      <c r="J1136" s="14"/>
      <c r="K1136" s="14"/>
      <c r="L1136" s="14"/>
      <c r="M1136" s="14"/>
      <c r="N1136" s="14"/>
      <c r="O1136" s="14"/>
      <c r="P1136" s="14"/>
      <c r="Q1136" s="14"/>
      <c r="R1136" s="14"/>
      <c r="S1136" s="14"/>
      <c r="T1136" s="14"/>
      <c r="U1136" s="17"/>
      <c r="V1136" s="14"/>
      <c r="W1136" s="14"/>
      <c r="X1136" s="18"/>
      <c r="Y1136" s="18"/>
      <c r="Z1136" s="18"/>
      <c r="AA1136" s="218"/>
      <c r="AB1136" s="218"/>
    </row>
    <row r="1137" ht="15.75" customHeight="1">
      <c r="A1137" s="12"/>
      <c r="B1137" s="14"/>
      <c r="C1137" s="14"/>
      <c r="D1137" s="14"/>
      <c r="E1137" s="14"/>
      <c r="F1137" s="14"/>
      <c r="G1137" s="14"/>
      <c r="H1137" s="15"/>
      <c r="I1137" s="223"/>
      <c r="J1137" s="14"/>
      <c r="K1137" s="14"/>
      <c r="L1137" s="14"/>
      <c r="M1137" s="14"/>
      <c r="N1137" s="14"/>
      <c r="O1137" s="14"/>
      <c r="P1137" s="14"/>
      <c r="Q1137" s="14"/>
      <c r="R1137" s="14"/>
      <c r="S1137" s="14"/>
      <c r="T1137" s="14"/>
      <c r="U1137" s="17"/>
      <c r="V1137" s="14"/>
      <c r="W1137" s="14"/>
      <c r="X1137" s="18"/>
      <c r="Y1137" s="18"/>
      <c r="Z1137" s="18"/>
      <c r="AA1137" s="218"/>
      <c r="AB1137" s="218"/>
    </row>
    <row r="1138" ht="15.75" customHeight="1">
      <c r="A1138" s="12"/>
      <c r="B1138" s="14"/>
      <c r="C1138" s="14"/>
      <c r="D1138" s="14"/>
      <c r="E1138" s="14"/>
      <c r="F1138" s="14"/>
      <c r="G1138" s="14"/>
      <c r="H1138" s="15"/>
      <c r="I1138" s="223"/>
      <c r="J1138" s="14"/>
      <c r="K1138" s="14"/>
      <c r="L1138" s="14"/>
      <c r="M1138" s="14"/>
      <c r="N1138" s="14"/>
      <c r="O1138" s="14"/>
      <c r="P1138" s="14"/>
      <c r="Q1138" s="14"/>
      <c r="R1138" s="14"/>
      <c r="S1138" s="14"/>
      <c r="T1138" s="14"/>
      <c r="U1138" s="17"/>
      <c r="V1138" s="14"/>
      <c r="W1138" s="14"/>
      <c r="X1138" s="18"/>
      <c r="Y1138" s="18"/>
      <c r="Z1138" s="18"/>
      <c r="AA1138" s="218"/>
      <c r="AB1138" s="218"/>
    </row>
    <row r="1139" ht="15.75" customHeight="1">
      <c r="A1139" s="12"/>
      <c r="B1139" s="14"/>
      <c r="C1139" s="14"/>
      <c r="D1139" s="14"/>
      <c r="E1139" s="14"/>
      <c r="F1139" s="14"/>
      <c r="G1139" s="14"/>
      <c r="H1139" s="15"/>
      <c r="I1139" s="223"/>
      <c r="J1139" s="14"/>
      <c r="K1139" s="14"/>
      <c r="L1139" s="14"/>
      <c r="M1139" s="14"/>
      <c r="N1139" s="14"/>
      <c r="O1139" s="14"/>
      <c r="P1139" s="14"/>
      <c r="Q1139" s="14"/>
      <c r="R1139" s="14"/>
      <c r="S1139" s="14"/>
      <c r="T1139" s="14"/>
      <c r="U1139" s="17"/>
      <c r="V1139" s="14"/>
      <c r="W1139" s="14"/>
      <c r="X1139" s="18"/>
      <c r="Y1139" s="18"/>
      <c r="Z1139" s="18"/>
      <c r="AA1139" s="218"/>
      <c r="AB1139" s="218"/>
    </row>
    <row r="1140" ht="15.75" customHeight="1">
      <c r="A1140" s="12"/>
      <c r="B1140" s="14"/>
      <c r="C1140" s="14"/>
      <c r="D1140" s="14"/>
      <c r="E1140" s="14"/>
      <c r="F1140" s="14"/>
      <c r="G1140" s="14"/>
      <c r="H1140" s="15"/>
      <c r="I1140" s="223"/>
      <c r="J1140" s="14"/>
      <c r="K1140" s="14"/>
      <c r="L1140" s="14"/>
      <c r="M1140" s="14"/>
      <c r="N1140" s="14"/>
      <c r="O1140" s="14"/>
      <c r="P1140" s="14"/>
      <c r="Q1140" s="14"/>
      <c r="R1140" s="14"/>
      <c r="S1140" s="14"/>
      <c r="T1140" s="14"/>
      <c r="U1140" s="17"/>
      <c r="V1140" s="14"/>
      <c r="W1140" s="14"/>
      <c r="X1140" s="18"/>
      <c r="Y1140" s="18"/>
      <c r="Z1140" s="18"/>
      <c r="AA1140" s="218"/>
      <c r="AB1140" s="218"/>
    </row>
    <row r="1141" ht="15.75" customHeight="1">
      <c r="A1141" s="12"/>
      <c r="B1141" s="14"/>
      <c r="C1141" s="14"/>
      <c r="D1141" s="14"/>
      <c r="E1141" s="14"/>
      <c r="F1141" s="14"/>
      <c r="G1141" s="14"/>
      <c r="H1141" s="15"/>
      <c r="I1141" s="223"/>
      <c r="J1141" s="14"/>
      <c r="K1141" s="14"/>
      <c r="L1141" s="14"/>
      <c r="M1141" s="14"/>
      <c r="N1141" s="14"/>
      <c r="O1141" s="14"/>
      <c r="P1141" s="14"/>
      <c r="Q1141" s="14"/>
      <c r="R1141" s="14"/>
      <c r="S1141" s="14"/>
      <c r="T1141" s="14"/>
      <c r="U1141" s="17"/>
      <c r="V1141" s="14"/>
      <c r="W1141" s="14"/>
      <c r="X1141" s="18"/>
      <c r="Y1141" s="18"/>
      <c r="Z1141" s="18"/>
      <c r="AA1141" s="218"/>
      <c r="AB1141" s="218"/>
    </row>
    <row r="1142" ht="15.75" customHeight="1">
      <c r="A1142" s="12"/>
      <c r="B1142" s="14"/>
      <c r="C1142" s="14"/>
      <c r="D1142" s="14"/>
      <c r="E1142" s="14"/>
      <c r="F1142" s="14"/>
      <c r="G1142" s="14"/>
      <c r="H1142" s="15"/>
      <c r="I1142" s="223"/>
      <c r="J1142" s="14"/>
      <c r="K1142" s="14"/>
      <c r="L1142" s="14"/>
      <c r="M1142" s="14"/>
      <c r="N1142" s="14"/>
      <c r="O1142" s="14"/>
      <c r="P1142" s="14"/>
      <c r="Q1142" s="14"/>
      <c r="R1142" s="14"/>
      <c r="S1142" s="14"/>
      <c r="T1142" s="14"/>
      <c r="U1142" s="17"/>
      <c r="V1142" s="14"/>
      <c r="W1142" s="14"/>
      <c r="X1142" s="18"/>
      <c r="Y1142" s="18"/>
      <c r="Z1142" s="18"/>
      <c r="AA1142" s="218"/>
      <c r="AB1142" s="218"/>
    </row>
    <row r="1143" ht="15.75" customHeight="1">
      <c r="A1143" s="12"/>
      <c r="B1143" s="14"/>
      <c r="C1143" s="14"/>
      <c r="D1143" s="14"/>
      <c r="E1143" s="14"/>
      <c r="F1143" s="14"/>
      <c r="G1143" s="14"/>
      <c r="H1143" s="15"/>
      <c r="I1143" s="223"/>
      <c r="J1143" s="14"/>
      <c r="K1143" s="14"/>
      <c r="L1143" s="14"/>
      <c r="M1143" s="14"/>
      <c r="N1143" s="14"/>
      <c r="O1143" s="14"/>
      <c r="P1143" s="14"/>
      <c r="Q1143" s="14"/>
      <c r="R1143" s="14"/>
      <c r="S1143" s="14"/>
      <c r="T1143" s="14"/>
      <c r="U1143" s="17"/>
      <c r="V1143" s="14"/>
      <c r="W1143" s="14"/>
      <c r="X1143" s="18"/>
      <c r="Y1143" s="18"/>
      <c r="Z1143" s="18"/>
      <c r="AA1143" s="218"/>
      <c r="AB1143" s="218"/>
    </row>
    <row r="1144" ht="15.75" customHeight="1">
      <c r="A1144" s="12"/>
      <c r="B1144" s="14"/>
      <c r="C1144" s="14"/>
      <c r="D1144" s="14"/>
      <c r="E1144" s="14"/>
      <c r="F1144" s="14"/>
      <c r="G1144" s="14"/>
      <c r="H1144" s="15"/>
      <c r="I1144" s="223"/>
      <c r="J1144" s="14"/>
      <c r="K1144" s="14"/>
      <c r="L1144" s="14"/>
      <c r="M1144" s="14"/>
      <c r="N1144" s="14"/>
      <c r="O1144" s="14"/>
      <c r="P1144" s="14"/>
      <c r="Q1144" s="14"/>
      <c r="R1144" s="14"/>
      <c r="S1144" s="14"/>
      <c r="T1144" s="14"/>
      <c r="U1144" s="17"/>
      <c r="V1144" s="14"/>
      <c r="W1144" s="14"/>
      <c r="X1144" s="18"/>
      <c r="Y1144" s="18"/>
      <c r="Z1144" s="18"/>
      <c r="AA1144" s="218"/>
      <c r="AB1144" s="218"/>
    </row>
    <row r="1145" ht="15.75" customHeight="1">
      <c r="A1145" s="12"/>
      <c r="B1145" s="14"/>
      <c r="C1145" s="14"/>
      <c r="D1145" s="14"/>
      <c r="E1145" s="14"/>
      <c r="F1145" s="14"/>
      <c r="G1145" s="14"/>
      <c r="H1145" s="15"/>
      <c r="I1145" s="223"/>
      <c r="J1145" s="14"/>
      <c r="K1145" s="14"/>
      <c r="L1145" s="14"/>
      <c r="M1145" s="14"/>
      <c r="N1145" s="14"/>
      <c r="O1145" s="14"/>
      <c r="P1145" s="14"/>
      <c r="Q1145" s="14"/>
      <c r="R1145" s="14"/>
      <c r="S1145" s="14"/>
      <c r="T1145" s="14"/>
      <c r="U1145" s="17"/>
      <c r="V1145" s="14"/>
      <c r="W1145" s="14"/>
      <c r="X1145" s="18"/>
      <c r="Y1145" s="18"/>
      <c r="Z1145" s="18"/>
      <c r="AA1145" s="218"/>
      <c r="AB1145" s="218"/>
    </row>
    <row r="1146" ht="15.75" customHeight="1">
      <c r="A1146" s="12"/>
      <c r="B1146" s="14"/>
      <c r="C1146" s="14"/>
      <c r="D1146" s="14"/>
      <c r="E1146" s="14"/>
      <c r="F1146" s="14"/>
      <c r="G1146" s="14"/>
      <c r="H1146" s="15"/>
      <c r="I1146" s="223"/>
      <c r="J1146" s="14"/>
      <c r="K1146" s="14"/>
      <c r="L1146" s="14"/>
      <c r="M1146" s="14"/>
      <c r="N1146" s="14"/>
      <c r="O1146" s="14"/>
      <c r="P1146" s="14"/>
      <c r="Q1146" s="14"/>
      <c r="R1146" s="14"/>
      <c r="S1146" s="14"/>
      <c r="T1146" s="14"/>
      <c r="U1146" s="17"/>
      <c r="V1146" s="14"/>
      <c r="W1146" s="14"/>
      <c r="X1146" s="18"/>
      <c r="Y1146" s="18"/>
      <c r="Z1146" s="18"/>
      <c r="AA1146" s="218"/>
      <c r="AB1146" s="218"/>
    </row>
    <row r="1147" ht="15.75" customHeight="1">
      <c r="A1147" s="12"/>
      <c r="B1147" s="14"/>
      <c r="C1147" s="14"/>
      <c r="D1147" s="14"/>
      <c r="E1147" s="14"/>
      <c r="F1147" s="14"/>
      <c r="G1147" s="14"/>
      <c r="H1147" s="15"/>
      <c r="I1147" s="223"/>
      <c r="J1147" s="14"/>
      <c r="K1147" s="14"/>
      <c r="L1147" s="14"/>
      <c r="M1147" s="14"/>
      <c r="N1147" s="14"/>
      <c r="O1147" s="14"/>
      <c r="P1147" s="14"/>
      <c r="Q1147" s="14"/>
      <c r="R1147" s="14"/>
      <c r="S1147" s="14"/>
      <c r="T1147" s="14"/>
      <c r="U1147" s="17"/>
      <c r="V1147" s="14"/>
      <c r="W1147" s="14"/>
      <c r="X1147" s="18"/>
      <c r="Y1147" s="18"/>
      <c r="Z1147" s="18"/>
      <c r="AA1147" s="218"/>
      <c r="AB1147" s="218"/>
    </row>
    <row r="1148" ht="15.75" customHeight="1">
      <c r="A1148" s="12"/>
      <c r="B1148" s="14"/>
      <c r="C1148" s="14"/>
      <c r="D1148" s="14"/>
      <c r="E1148" s="14"/>
      <c r="F1148" s="14"/>
      <c r="G1148" s="14"/>
      <c r="H1148" s="15"/>
      <c r="I1148" s="223"/>
      <c r="J1148" s="14"/>
      <c r="K1148" s="14"/>
      <c r="L1148" s="14"/>
      <c r="M1148" s="14"/>
      <c r="N1148" s="14"/>
      <c r="O1148" s="14"/>
      <c r="P1148" s="14"/>
      <c r="Q1148" s="14"/>
      <c r="R1148" s="14"/>
      <c r="S1148" s="14"/>
      <c r="T1148" s="14"/>
      <c r="U1148" s="17"/>
      <c r="V1148" s="14"/>
      <c r="W1148" s="14"/>
      <c r="X1148" s="18"/>
      <c r="Y1148" s="18"/>
      <c r="Z1148" s="18"/>
      <c r="AA1148" s="218"/>
      <c r="AB1148" s="218"/>
    </row>
    <row r="1149" ht="15.75" customHeight="1">
      <c r="A1149" s="12"/>
      <c r="B1149" s="14"/>
      <c r="C1149" s="14"/>
      <c r="D1149" s="14"/>
      <c r="E1149" s="14"/>
      <c r="F1149" s="14"/>
      <c r="G1149" s="14"/>
      <c r="H1149" s="15"/>
      <c r="I1149" s="223"/>
      <c r="J1149" s="14"/>
      <c r="K1149" s="14"/>
      <c r="L1149" s="14"/>
      <c r="M1149" s="14"/>
      <c r="N1149" s="14"/>
      <c r="O1149" s="14"/>
      <c r="P1149" s="14"/>
      <c r="Q1149" s="14"/>
      <c r="R1149" s="14"/>
      <c r="S1149" s="14"/>
      <c r="T1149" s="14"/>
      <c r="U1149" s="17"/>
      <c r="V1149" s="14"/>
      <c r="W1149" s="14"/>
      <c r="X1149" s="18"/>
      <c r="Y1149" s="18"/>
      <c r="Z1149" s="18"/>
      <c r="AA1149" s="218"/>
      <c r="AB1149" s="218"/>
    </row>
    <row r="1150" ht="15.75" customHeight="1">
      <c r="A1150" s="12"/>
      <c r="B1150" s="14"/>
      <c r="C1150" s="14"/>
      <c r="D1150" s="14"/>
      <c r="E1150" s="14"/>
      <c r="F1150" s="14"/>
      <c r="G1150" s="14"/>
      <c r="H1150" s="15"/>
      <c r="I1150" s="223"/>
      <c r="J1150" s="14"/>
      <c r="K1150" s="14"/>
      <c r="L1150" s="14"/>
      <c r="M1150" s="14"/>
      <c r="N1150" s="14"/>
      <c r="O1150" s="14"/>
      <c r="P1150" s="14"/>
      <c r="Q1150" s="14"/>
      <c r="R1150" s="14"/>
      <c r="S1150" s="14"/>
      <c r="T1150" s="14"/>
      <c r="U1150" s="17"/>
      <c r="V1150" s="14"/>
      <c r="W1150" s="14"/>
      <c r="X1150" s="18"/>
      <c r="Y1150" s="18"/>
      <c r="Z1150" s="18"/>
      <c r="AA1150" s="218"/>
      <c r="AB1150" s="218"/>
    </row>
    <row r="1151" ht="15.75" customHeight="1">
      <c r="A1151" s="12"/>
      <c r="B1151" s="14"/>
      <c r="C1151" s="14"/>
      <c r="D1151" s="14"/>
      <c r="E1151" s="14"/>
      <c r="F1151" s="14"/>
      <c r="G1151" s="14"/>
      <c r="H1151" s="15"/>
      <c r="I1151" s="223"/>
      <c r="J1151" s="14"/>
      <c r="K1151" s="14"/>
      <c r="L1151" s="14"/>
      <c r="M1151" s="14"/>
      <c r="N1151" s="14"/>
      <c r="O1151" s="14"/>
      <c r="P1151" s="14"/>
      <c r="Q1151" s="14"/>
      <c r="R1151" s="14"/>
      <c r="S1151" s="14"/>
      <c r="T1151" s="14"/>
      <c r="U1151" s="17"/>
      <c r="V1151" s="14"/>
      <c r="W1151" s="14"/>
      <c r="X1151" s="18"/>
      <c r="Y1151" s="18"/>
      <c r="Z1151" s="18"/>
      <c r="AA1151" s="218"/>
      <c r="AB1151" s="218"/>
    </row>
    <row r="1152" ht="15.75" customHeight="1">
      <c r="A1152" s="12"/>
      <c r="B1152" s="14"/>
      <c r="C1152" s="14"/>
      <c r="D1152" s="14"/>
      <c r="E1152" s="14"/>
      <c r="F1152" s="14"/>
      <c r="G1152" s="14"/>
      <c r="H1152" s="15"/>
      <c r="I1152" s="223"/>
      <c r="J1152" s="14"/>
      <c r="K1152" s="14"/>
      <c r="L1152" s="14"/>
      <c r="M1152" s="14"/>
      <c r="N1152" s="14"/>
      <c r="O1152" s="14"/>
      <c r="P1152" s="14"/>
      <c r="Q1152" s="14"/>
      <c r="R1152" s="14"/>
      <c r="S1152" s="14"/>
      <c r="T1152" s="14"/>
      <c r="U1152" s="17"/>
      <c r="V1152" s="14"/>
      <c r="W1152" s="14"/>
      <c r="X1152" s="18"/>
      <c r="Y1152" s="18"/>
      <c r="Z1152" s="18"/>
      <c r="AA1152" s="218"/>
      <c r="AB1152" s="218"/>
    </row>
    <row r="1153" ht="15.75" customHeight="1">
      <c r="A1153" s="12"/>
      <c r="B1153" s="14"/>
      <c r="C1153" s="14"/>
      <c r="D1153" s="14"/>
      <c r="E1153" s="14"/>
      <c r="F1153" s="14"/>
      <c r="G1153" s="14"/>
      <c r="H1153" s="15"/>
      <c r="I1153" s="223"/>
      <c r="J1153" s="14"/>
      <c r="K1153" s="14"/>
      <c r="L1153" s="14"/>
      <c r="M1153" s="14"/>
      <c r="N1153" s="14"/>
      <c r="O1153" s="14"/>
      <c r="P1153" s="14"/>
      <c r="Q1153" s="14"/>
      <c r="R1153" s="14"/>
      <c r="S1153" s="14"/>
      <c r="T1153" s="14"/>
      <c r="U1153" s="17"/>
      <c r="V1153" s="14"/>
      <c r="W1153" s="14"/>
      <c r="X1153" s="18"/>
      <c r="Y1153" s="18"/>
      <c r="Z1153" s="18"/>
      <c r="AA1153" s="218"/>
      <c r="AB1153" s="218"/>
    </row>
    <row r="1154" ht="15.75" customHeight="1">
      <c r="A1154" s="12"/>
      <c r="B1154" s="14"/>
      <c r="C1154" s="14"/>
      <c r="D1154" s="14"/>
      <c r="E1154" s="14"/>
      <c r="F1154" s="14"/>
      <c r="G1154" s="14"/>
      <c r="H1154" s="15"/>
      <c r="I1154" s="223"/>
      <c r="J1154" s="14"/>
      <c r="K1154" s="14"/>
      <c r="L1154" s="14"/>
      <c r="M1154" s="14"/>
      <c r="N1154" s="14"/>
      <c r="O1154" s="14"/>
      <c r="P1154" s="14"/>
      <c r="Q1154" s="14"/>
      <c r="R1154" s="14"/>
      <c r="S1154" s="14"/>
      <c r="T1154" s="14"/>
      <c r="U1154" s="17"/>
      <c r="V1154" s="14"/>
      <c r="W1154" s="14"/>
      <c r="X1154" s="18"/>
      <c r="Y1154" s="18"/>
      <c r="Z1154" s="18"/>
      <c r="AA1154" s="218"/>
      <c r="AB1154" s="218"/>
    </row>
    <row r="1155" ht="15.75" customHeight="1">
      <c r="A1155" s="12"/>
      <c r="B1155" s="14"/>
      <c r="C1155" s="14"/>
      <c r="D1155" s="14"/>
      <c r="E1155" s="14"/>
      <c r="F1155" s="14"/>
      <c r="G1155" s="14"/>
      <c r="H1155" s="15"/>
      <c r="I1155" s="223"/>
      <c r="J1155" s="14"/>
      <c r="K1155" s="14"/>
      <c r="L1155" s="14"/>
      <c r="M1155" s="14"/>
      <c r="N1155" s="14"/>
      <c r="O1155" s="14"/>
      <c r="P1155" s="14"/>
      <c r="Q1155" s="14"/>
      <c r="R1155" s="14"/>
      <c r="S1155" s="14"/>
      <c r="T1155" s="14"/>
      <c r="U1155" s="17"/>
      <c r="V1155" s="14"/>
      <c r="W1155" s="14"/>
      <c r="X1155" s="18"/>
      <c r="Y1155" s="18"/>
      <c r="Z1155" s="18"/>
      <c r="AA1155" s="218"/>
      <c r="AB1155" s="218"/>
    </row>
    <row r="1156" ht="15.75" customHeight="1">
      <c r="A1156" s="12"/>
      <c r="B1156" s="14"/>
      <c r="C1156" s="14"/>
      <c r="D1156" s="14"/>
      <c r="E1156" s="14"/>
      <c r="F1156" s="14"/>
      <c r="G1156" s="14"/>
      <c r="H1156" s="15"/>
      <c r="I1156" s="223"/>
      <c r="J1156" s="14"/>
      <c r="K1156" s="14"/>
      <c r="L1156" s="14"/>
      <c r="M1156" s="14"/>
      <c r="N1156" s="14"/>
      <c r="O1156" s="14"/>
      <c r="P1156" s="14"/>
      <c r="Q1156" s="14"/>
      <c r="R1156" s="14"/>
      <c r="S1156" s="14"/>
      <c r="T1156" s="14"/>
      <c r="U1156" s="17"/>
      <c r="V1156" s="14"/>
      <c r="W1156" s="14"/>
      <c r="X1156" s="18"/>
      <c r="Y1156" s="18"/>
      <c r="Z1156" s="18"/>
      <c r="AA1156" s="218"/>
      <c r="AB1156" s="218"/>
    </row>
    <row r="1157" ht="15.75" customHeight="1">
      <c r="A1157" s="12"/>
      <c r="B1157" s="14"/>
      <c r="C1157" s="14"/>
      <c r="D1157" s="14"/>
      <c r="E1157" s="14"/>
      <c r="F1157" s="14"/>
      <c r="G1157" s="14"/>
      <c r="H1157" s="15"/>
      <c r="I1157" s="223"/>
      <c r="J1157" s="14"/>
      <c r="K1157" s="14"/>
      <c r="L1157" s="14"/>
      <c r="M1157" s="14"/>
      <c r="N1157" s="14"/>
      <c r="O1157" s="14"/>
      <c r="P1157" s="14"/>
      <c r="Q1157" s="14"/>
      <c r="R1157" s="14"/>
      <c r="S1157" s="14"/>
      <c r="T1157" s="14"/>
      <c r="U1157" s="17"/>
      <c r="V1157" s="14"/>
      <c r="W1157" s="14"/>
      <c r="X1157" s="18"/>
      <c r="Y1157" s="18"/>
      <c r="Z1157" s="18"/>
      <c r="AA1157" s="218"/>
      <c r="AB1157" s="218"/>
    </row>
    <row r="1158" ht="15.75" customHeight="1">
      <c r="A1158" s="12"/>
      <c r="B1158" s="14"/>
      <c r="C1158" s="14"/>
      <c r="D1158" s="14"/>
      <c r="E1158" s="14"/>
      <c r="F1158" s="14"/>
      <c r="G1158" s="14"/>
      <c r="H1158" s="15"/>
      <c r="I1158" s="223"/>
      <c r="J1158" s="14"/>
      <c r="K1158" s="14"/>
      <c r="L1158" s="14"/>
      <c r="M1158" s="14"/>
      <c r="N1158" s="14"/>
      <c r="O1158" s="14"/>
      <c r="P1158" s="14"/>
      <c r="Q1158" s="14"/>
      <c r="R1158" s="14"/>
      <c r="S1158" s="14"/>
      <c r="T1158" s="14"/>
      <c r="U1158" s="17"/>
      <c r="V1158" s="14"/>
      <c r="W1158" s="14"/>
      <c r="X1158" s="18"/>
      <c r="Y1158" s="18"/>
      <c r="Z1158" s="18"/>
      <c r="AA1158" s="218"/>
      <c r="AB1158" s="218"/>
    </row>
    <row r="1159" ht="15.75" customHeight="1">
      <c r="A1159" s="12"/>
      <c r="B1159" s="14"/>
      <c r="C1159" s="14"/>
      <c r="D1159" s="14"/>
      <c r="E1159" s="14"/>
      <c r="F1159" s="14"/>
      <c r="G1159" s="14"/>
      <c r="H1159" s="15"/>
      <c r="I1159" s="223"/>
      <c r="J1159" s="14"/>
      <c r="K1159" s="14"/>
      <c r="L1159" s="14"/>
      <c r="M1159" s="14"/>
      <c r="N1159" s="14"/>
      <c r="O1159" s="14"/>
      <c r="P1159" s="14"/>
      <c r="Q1159" s="14"/>
      <c r="R1159" s="14"/>
      <c r="S1159" s="14"/>
      <c r="T1159" s="14"/>
      <c r="U1159" s="17"/>
      <c r="V1159" s="14"/>
      <c r="W1159" s="14"/>
      <c r="X1159" s="18"/>
      <c r="Y1159" s="18"/>
      <c r="Z1159" s="18"/>
      <c r="AA1159" s="218"/>
      <c r="AB1159" s="218"/>
    </row>
    <row r="1160" ht="15.75" customHeight="1">
      <c r="A1160" s="12"/>
      <c r="B1160" s="14"/>
      <c r="C1160" s="14"/>
      <c r="D1160" s="14"/>
      <c r="E1160" s="14"/>
      <c r="F1160" s="14"/>
      <c r="G1160" s="14"/>
      <c r="H1160" s="15"/>
      <c r="I1160" s="223"/>
      <c r="J1160" s="14"/>
      <c r="K1160" s="14"/>
      <c r="L1160" s="14"/>
      <c r="M1160" s="14"/>
      <c r="N1160" s="14"/>
      <c r="O1160" s="14"/>
      <c r="P1160" s="14"/>
      <c r="Q1160" s="14"/>
      <c r="R1160" s="14"/>
      <c r="S1160" s="14"/>
      <c r="T1160" s="14"/>
      <c r="U1160" s="17"/>
      <c r="V1160" s="14"/>
      <c r="W1160" s="14"/>
      <c r="X1160" s="18"/>
      <c r="Y1160" s="18"/>
      <c r="Z1160" s="18"/>
      <c r="AA1160" s="218"/>
      <c r="AB1160" s="218"/>
    </row>
    <row r="1161" ht="15.75" customHeight="1">
      <c r="A1161" s="12"/>
      <c r="B1161" s="14"/>
      <c r="C1161" s="14"/>
      <c r="D1161" s="14"/>
      <c r="E1161" s="14"/>
      <c r="F1161" s="14"/>
      <c r="G1161" s="14"/>
      <c r="H1161" s="15"/>
      <c r="I1161" s="223"/>
      <c r="J1161" s="14"/>
      <c r="K1161" s="14"/>
      <c r="L1161" s="14"/>
      <c r="M1161" s="14"/>
      <c r="N1161" s="14"/>
      <c r="O1161" s="14"/>
      <c r="P1161" s="14"/>
      <c r="Q1161" s="14"/>
      <c r="R1161" s="14"/>
      <c r="S1161" s="14"/>
      <c r="T1161" s="14"/>
      <c r="U1161" s="17"/>
      <c r="V1161" s="14"/>
      <c r="W1161" s="14"/>
      <c r="X1161" s="18"/>
      <c r="Y1161" s="18"/>
      <c r="Z1161" s="18"/>
      <c r="AA1161" s="218"/>
      <c r="AB1161" s="218"/>
    </row>
    <row r="1162" ht="15.75" customHeight="1">
      <c r="A1162" s="12"/>
      <c r="B1162" s="14"/>
      <c r="C1162" s="14"/>
      <c r="D1162" s="14"/>
      <c r="E1162" s="14"/>
      <c r="F1162" s="14"/>
      <c r="G1162" s="14"/>
      <c r="H1162" s="15"/>
      <c r="I1162" s="223"/>
      <c r="J1162" s="14"/>
      <c r="K1162" s="14"/>
      <c r="L1162" s="14"/>
      <c r="M1162" s="14"/>
      <c r="N1162" s="14"/>
      <c r="O1162" s="14"/>
      <c r="P1162" s="14"/>
      <c r="Q1162" s="14"/>
      <c r="R1162" s="14"/>
      <c r="S1162" s="14"/>
      <c r="T1162" s="14"/>
      <c r="U1162" s="17"/>
      <c r="V1162" s="14"/>
      <c r="W1162" s="14"/>
      <c r="X1162" s="18"/>
      <c r="Y1162" s="18"/>
      <c r="Z1162" s="18"/>
      <c r="AA1162" s="218"/>
      <c r="AB1162" s="218"/>
    </row>
    <row r="1163" ht="15.75" customHeight="1">
      <c r="A1163" s="12"/>
      <c r="B1163" s="14"/>
      <c r="C1163" s="14"/>
      <c r="D1163" s="14"/>
      <c r="E1163" s="14"/>
      <c r="F1163" s="14"/>
      <c r="G1163" s="14"/>
      <c r="H1163" s="15"/>
      <c r="I1163" s="223"/>
      <c r="J1163" s="14"/>
      <c r="K1163" s="14"/>
      <c r="L1163" s="14"/>
      <c r="M1163" s="14"/>
      <c r="N1163" s="14"/>
      <c r="O1163" s="14"/>
      <c r="P1163" s="14"/>
      <c r="Q1163" s="14"/>
      <c r="R1163" s="14"/>
      <c r="S1163" s="14"/>
      <c r="T1163" s="14"/>
      <c r="U1163" s="17"/>
      <c r="V1163" s="14"/>
      <c r="W1163" s="14"/>
      <c r="X1163" s="18"/>
      <c r="Y1163" s="18"/>
      <c r="Z1163" s="18"/>
      <c r="AA1163" s="218"/>
      <c r="AB1163" s="218"/>
    </row>
    <row r="1164" ht="15.75" customHeight="1">
      <c r="A1164" s="12"/>
      <c r="B1164" s="14"/>
      <c r="C1164" s="14"/>
      <c r="D1164" s="14"/>
      <c r="E1164" s="14"/>
      <c r="F1164" s="14"/>
      <c r="G1164" s="14"/>
      <c r="H1164" s="15"/>
      <c r="I1164" s="223"/>
      <c r="J1164" s="14"/>
      <c r="K1164" s="14"/>
      <c r="L1164" s="14"/>
      <c r="M1164" s="14"/>
      <c r="N1164" s="14"/>
      <c r="O1164" s="14"/>
      <c r="P1164" s="14"/>
      <c r="Q1164" s="14"/>
      <c r="R1164" s="14"/>
      <c r="S1164" s="14"/>
      <c r="T1164" s="14"/>
      <c r="U1164" s="17"/>
      <c r="V1164" s="14"/>
      <c r="W1164" s="14"/>
      <c r="X1164" s="18"/>
      <c r="Y1164" s="18"/>
      <c r="Z1164" s="18"/>
      <c r="AA1164" s="218"/>
      <c r="AB1164" s="218"/>
    </row>
    <row r="1165" ht="15.75" customHeight="1">
      <c r="A1165" s="12"/>
      <c r="B1165" s="14"/>
      <c r="C1165" s="14"/>
      <c r="D1165" s="14"/>
      <c r="E1165" s="14"/>
      <c r="F1165" s="14"/>
      <c r="G1165" s="14"/>
      <c r="H1165" s="15"/>
      <c r="I1165" s="223"/>
      <c r="J1165" s="14"/>
      <c r="K1165" s="14"/>
      <c r="L1165" s="14"/>
      <c r="M1165" s="14"/>
      <c r="N1165" s="14"/>
      <c r="O1165" s="14"/>
      <c r="P1165" s="14"/>
      <c r="Q1165" s="14"/>
      <c r="R1165" s="14"/>
      <c r="S1165" s="14"/>
      <c r="T1165" s="14"/>
      <c r="U1165" s="17"/>
      <c r="V1165" s="14"/>
      <c r="W1165" s="14"/>
      <c r="X1165" s="18"/>
      <c r="Y1165" s="18"/>
      <c r="Z1165" s="18"/>
      <c r="AA1165" s="218"/>
      <c r="AB1165" s="218"/>
    </row>
    <row r="1166" ht="15.75" customHeight="1">
      <c r="A1166" s="12"/>
      <c r="B1166" s="14"/>
      <c r="C1166" s="14"/>
      <c r="D1166" s="14"/>
      <c r="E1166" s="14"/>
      <c r="F1166" s="14"/>
      <c r="G1166" s="14"/>
      <c r="H1166" s="15"/>
      <c r="I1166" s="223"/>
      <c r="J1166" s="14"/>
      <c r="K1166" s="14"/>
      <c r="L1166" s="14"/>
      <c r="M1166" s="14"/>
      <c r="N1166" s="14"/>
      <c r="O1166" s="14"/>
      <c r="P1166" s="14"/>
      <c r="Q1166" s="14"/>
      <c r="R1166" s="14"/>
      <c r="S1166" s="14"/>
      <c r="T1166" s="14"/>
      <c r="U1166" s="17"/>
      <c r="V1166" s="14"/>
      <c r="W1166" s="14"/>
      <c r="X1166" s="18"/>
      <c r="Y1166" s="18"/>
      <c r="Z1166" s="18"/>
      <c r="AA1166" s="218"/>
      <c r="AB1166" s="218"/>
    </row>
    <row r="1167" ht="15.75" customHeight="1">
      <c r="A1167" s="12"/>
      <c r="B1167" s="14"/>
      <c r="C1167" s="14"/>
      <c r="D1167" s="14"/>
      <c r="E1167" s="14"/>
      <c r="F1167" s="14"/>
      <c r="G1167" s="14"/>
      <c r="H1167" s="15"/>
      <c r="I1167" s="223"/>
      <c r="J1167" s="14"/>
      <c r="K1167" s="14"/>
      <c r="L1167" s="14"/>
      <c r="M1167" s="14"/>
      <c r="N1167" s="14"/>
      <c r="O1167" s="14"/>
      <c r="P1167" s="14"/>
      <c r="Q1167" s="14"/>
      <c r="R1167" s="14"/>
      <c r="S1167" s="14"/>
      <c r="T1167" s="14"/>
      <c r="U1167" s="17"/>
      <c r="V1167" s="14"/>
      <c r="W1167" s="14"/>
      <c r="X1167" s="18"/>
      <c r="Y1167" s="18"/>
      <c r="Z1167" s="18"/>
      <c r="AA1167" s="218"/>
      <c r="AB1167" s="218"/>
    </row>
    <row r="1168" ht="15.75" customHeight="1">
      <c r="A1168" s="12"/>
      <c r="B1168" s="14"/>
      <c r="C1168" s="14"/>
      <c r="D1168" s="14"/>
      <c r="E1168" s="14"/>
      <c r="F1168" s="14"/>
      <c r="G1168" s="14"/>
      <c r="H1168" s="15"/>
      <c r="I1168" s="223"/>
      <c r="J1168" s="14"/>
      <c r="K1168" s="14"/>
      <c r="L1168" s="14"/>
      <c r="M1168" s="14"/>
      <c r="N1168" s="14"/>
      <c r="O1168" s="14"/>
      <c r="P1168" s="14"/>
      <c r="Q1168" s="14"/>
      <c r="R1168" s="14"/>
      <c r="S1168" s="14"/>
      <c r="T1168" s="14"/>
      <c r="U1168" s="17"/>
      <c r="V1168" s="14"/>
      <c r="W1168" s="14"/>
      <c r="X1168" s="18"/>
      <c r="Y1168" s="18"/>
      <c r="Z1168" s="18"/>
      <c r="AA1168" s="218"/>
      <c r="AB1168" s="218"/>
    </row>
    <row r="1169" ht="15.75" customHeight="1">
      <c r="A1169" s="12"/>
      <c r="B1169" s="14"/>
      <c r="C1169" s="14"/>
      <c r="D1169" s="14"/>
      <c r="E1169" s="14"/>
      <c r="F1169" s="14"/>
      <c r="G1169" s="14"/>
      <c r="H1169" s="15"/>
      <c r="I1169" s="223"/>
      <c r="J1169" s="14"/>
      <c r="K1169" s="14"/>
      <c r="L1169" s="14"/>
      <c r="M1169" s="14"/>
      <c r="N1169" s="14"/>
      <c r="O1169" s="14"/>
      <c r="P1169" s="14"/>
      <c r="Q1169" s="14"/>
      <c r="R1169" s="14"/>
      <c r="S1169" s="14"/>
      <c r="T1169" s="14"/>
      <c r="U1169" s="17"/>
      <c r="V1169" s="14"/>
      <c r="W1169" s="14"/>
      <c r="X1169" s="18"/>
      <c r="Y1169" s="18"/>
      <c r="Z1169" s="18"/>
      <c r="AA1169" s="218"/>
      <c r="AB1169" s="218"/>
    </row>
    <row r="1170" ht="15.75" customHeight="1">
      <c r="A1170" s="12"/>
      <c r="B1170" s="14"/>
      <c r="C1170" s="14"/>
      <c r="D1170" s="14"/>
      <c r="E1170" s="14"/>
      <c r="F1170" s="14"/>
      <c r="G1170" s="14"/>
      <c r="H1170" s="15"/>
      <c r="I1170" s="223"/>
      <c r="J1170" s="14"/>
      <c r="K1170" s="14"/>
      <c r="L1170" s="14"/>
      <c r="M1170" s="14"/>
      <c r="N1170" s="14"/>
      <c r="O1170" s="14"/>
      <c r="P1170" s="14"/>
      <c r="Q1170" s="14"/>
      <c r="R1170" s="14"/>
      <c r="S1170" s="14"/>
      <c r="T1170" s="14"/>
      <c r="U1170" s="17"/>
      <c r="V1170" s="14"/>
      <c r="W1170" s="14"/>
      <c r="X1170" s="18"/>
      <c r="Y1170" s="18"/>
      <c r="Z1170" s="18"/>
      <c r="AA1170" s="218"/>
      <c r="AB1170" s="218"/>
    </row>
    <row r="1171" ht="15.75" customHeight="1">
      <c r="A1171" s="12"/>
      <c r="B1171" s="14"/>
      <c r="C1171" s="14"/>
      <c r="D1171" s="14"/>
      <c r="E1171" s="14"/>
      <c r="F1171" s="14"/>
      <c r="G1171" s="14"/>
      <c r="H1171" s="15"/>
      <c r="I1171" s="223"/>
      <c r="J1171" s="14"/>
      <c r="K1171" s="14"/>
      <c r="L1171" s="14"/>
      <c r="M1171" s="14"/>
      <c r="N1171" s="14"/>
      <c r="O1171" s="14"/>
      <c r="P1171" s="14"/>
      <c r="Q1171" s="14"/>
      <c r="R1171" s="14"/>
      <c r="S1171" s="14"/>
      <c r="T1171" s="14"/>
      <c r="U1171" s="17"/>
      <c r="V1171" s="14"/>
      <c r="W1171" s="14"/>
      <c r="X1171" s="18"/>
      <c r="Y1171" s="18"/>
      <c r="Z1171" s="18"/>
      <c r="AA1171" s="218"/>
      <c r="AB1171" s="218"/>
    </row>
    <row r="1172" ht="15.75" customHeight="1">
      <c r="A1172" s="12"/>
      <c r="B1172" s="14"/>
      <c r="C1172" s="14"/>
      <c r="D1172" s="14"/>
      <c r="E1172" s="14"/>
      <c r="F1172" s="14"/>
      <c r="G1172" s="14"/>
      <c r="H1172" s="15"/>
      <c r="I1172" s="223"/>
      <c r="J1172" s="14"/>
      <c r="K1172" s="14"/>
      <c r="L1172" s="14"/>
      <c r="M1172" s="14"/>
      <c r="N1172" s="14"/>
      <c r="O1172" s="14"/>
      <c r="P1172" s="14"/>
      <c r="Q1172" s="14"/>
      <c r="R1172" s="14"/>
      <c r="S1172" s="14"/>
      <c r="T1172" s="14"/>
      <c r="U1172" s="17"/>
      <c r="V1172" s="14"/>
      <c r="W1172" s="14"/>
      <c r="X1172" s="18"/>
      <c r="Y1172" s="18"/>
      <c r="Z1172" s="18"/>
      <c r="AA1172" s="218"/>
      <c r="AB1172" s="218"/>
    </row>
    <row r="1173" ht="15.75" customHeight="1">
      <c r="A1173" s="12"/>
      <c r="B1173" s="14"/>
      <c r="C1173" s="14"/>
      <c r="D1173" s="14"/>
      <c r="E1173" s="14"/>
      <c r="F1173" s="14"/>
      <c r="G1173" s="14"/>
      <c r="H1173" s="15"/>
      <c r="I1173" s="223"/>
      <c r="J1173" s="14"/>
      <c r="K1173" s="14"/>
      <c r="L1173" s="14"/>
      <c r="M1173" s="14"/>
      <c r="N1173" s="14"/>
      <c r="O1173" s="14"/>
      <c r="P1173" s="14"/>
      <c r="Q1173" s="14"/>
      <c r="R1173" s="14"/>
      <c r="S1173" s="14"/>
      <c r="T1173" s="14"/>
      <c r="U1173" s="17"/>
      <c r="V1173" s="14"/>
      <c r="W1173" s="14"/>
      <c r="X1173" s="18"/>
      <c r="Y1173" s="18"/>
      <c r="Z1173" s="18"/>
      <c r="AA1173" s="218"/>
      <c r="AB1173" s="218"/>
    </row>
    <row r="1174" ht="15.75" customHeight="1">
      <c r="A1174" s="12"/>
      <c r="B1174" s="14"/>
      <c r="C1174" s="14"/>
      <c r="D1174" s="14"/>
      <c r="E1174" s="14"/>
      <c r="F1174" s="14"/>
      <c r="G1174" s="14"/>
      <c r="H1174" s="15"/>
      <c r="I1174" s="223"/>
      <c r="J1174" s="14"/>
      <c r="K1174" s="14"/>
      <c r="L1174" s="14"/>
      <c r="M1174" s="14"/>
      <c r="N1174" s="14"/>
      <c r="O1174" s="14"/>
      <c r="P1174" s="14"/>
      <c r="Q1174" s="14"/>
      <c r="R1174" s="14"/>
      <c r="S1174" s="14"/>
      <c r="T1174" s="14"/>
      <c r="U1174" s="17"/>
      <c r="V1174" s="14"/>
      <c r="W1174" s="14"/>
      <c r="X1174" s="18"/>
      <c r="Y1174" s="18"/>
      <c r="Z1174" s="18"/>
      <c r="AA1174" s="218"/>
      <c r="AB1174" s="218"/>
    </row>
    <row r="1175" ht="15.75" customHeight="1">
      <c r="A1175" s="12"/>
      <c r="B1175" s="14"/>
      <c r="C1175" s="14"/>
      <c r="D1175" s="14"/>
      <c r="E1175" s="14"/>
      <c r="F1175" s="14"/>
      <c r="G1175" s="14"/>
      <c r="H1175" s="15"/>
      <c r="I1175" s="223"/>
      <c r="J1175" s="14"/>
      <c r="K1175" s="14"/>
      <c r="L1175" s="14"/>
      <c r="M1175" s="14"/>
      <c r="N1175" s="14"/>
      <c r="O1175" s="14"/>
      <c r="P1175" s="14"/>
      <c r="Q1175" s="14"/>
      <c r="R1175" s="14"/>
      <c r="S1175" s="14"/>
      <c r="T1175" s="14"/>
      <c r="U1175" s="17"/>
      <c r="V1175" s="14"/>
      <c r="W1175" s="14"/>
      <c r="X1175" s="18"/>
      <c r="Y1175" s="18"/>
      <c r="Z1175" s="18"/>
      <c r="AA1175" s="218"/>
      <c r="AB1175" s="218"/>
    </row>
    <row r="1176" ht="15.75" customHeight="1">
      <c r="A1176" s="12"/>
      <c r="B1176" s="14"/>
      <c r="C1176" s="14"/>
      <c r="D1176" s="14"/>
      <c r="E1176" s="14"/>
      <c r="F1176" s="14"/>
      <c r="G1176" s="14"/>
      <c r="H1176" s="15"/>
      <c r="I1176" s="223"/>
      <c r="J1176" s="14"/>
      <c r="K1176" s="14"/>
      <c r="L1176" s="14"/>
      <c r="M1176" s="14"/>
      <c r="N1176" s="14"/>
      <c r="O1176" s="14"/>
      <c r="P1176" s="14"/>
      <c r="Q1176" s="14"/>
      <c r="R1176" s="14"/>
      <c r="S1176" s="14"/>
      <c r="T1176" s="14"/>
      <c r="U1176" s="17"/>
      <c r="V1176" s="14"/>
      <c r="W1176" s="14"/>
      <c r="X1176" s="18"/>
      <c r="Y1176" s="18"/>
      <c r="Z1176" s="18"/>
      <c r="AA1176" s="218"/>
      <c r="AB1176" s="218"/>
    </row>
    <row r="1177" ht="15.75" customHeight="1">
      <c r="A1177" s="12"/>
      <c r="B1177" s="14"/>
      <c r="C1177" s="14"/>
      <c r="D1177" s="14"/>
      <c r="E1177" s="14"/>
      <c r="F1177" s="14"/>
      <c r="G1177" s="14"/>
      <c r="H1177" s="15"/>
      <c r="I1177" s="223"/>
      <c r="J1177" s="14"/>
      <c r="K1177" s="14"/>
      <c r="L1177" s="14"/>
      <c r="M1177" s="14"/>
      <c r="N1177" s="14"/>
      <c r="O1177" s="14"/>
      <c r="P1177" s="14"/>
      <c r="Q1177" s="14"/>
      <c r="R1177" s="14"/>
      <c r="S1177" s="14"/>
      <c r="T1177" s="14"/>
      <c r="U1177" s="17"/>
      <c r="AA1177" s="218"/>
      <c r="AB1177" s="218"/>
    </row>
  </sheetData>
  <customSheetViews>
    <customSheetView guid="{8B4F3AA9-994E-4165-A053-3D23BC014B6F}" filter="1" showAutoFilter="1">
      <autoFilter ref="$J$106"/>
      <extLst>
        <ext uri="GoogleSheetsCustomDataVersion1">
          <go:sheetsCustomData xmlns:go="http://customooxmlschemas.google.com/" filterViewId="1372149685"/>
        </ext>
      </extLst>
    </customSheetView>
    <customSheetView guid="{15A83D7A-E81D-42F9-A738-1DDEC2E1AF01}" filter="1" showAutoFilter="1">
      <autoFilter ref="$O$134"/>
      <extLst>
        <ext uri="GoogleSheetsCustomDataVersion1">
          <go:sheetsCustomData xmlns:go="http://customooxmlschemas.google.com/" filterViewId="1380453805"/>
        </ext>
      </extLst>
    </customSheetView>
    <customSheetView guid="{1798342C-4677-457B-8342-8A359684EE59}" filter="1" showAutoFilter="1">
      <autoFilter ref="$O$145"/>
      <extLst>
        <ext uri="GoogleSheetsCustomDataVersion1">
          <go:sheetsCustomData xmlns:go="http://customooxmlschemas.google.com/" filterViewId="1560546508"/>
        </ext>
      </extLst>
    </customSheetView>
    <customSheetView guid="{66972218-6189-4DB2-AAB0-5F8A0E4CA726}" filter="1" showAutoFilter="1">
      <autoFilter ref="$E$181:$F$182"/>
      <extLst>
        <ext uri="GoogleSheetsCustomDataVersion1">
          <go:sheetsCustomData xmlns:go="http://customooxmlschemas.google.com/" filterViewId="1619631151"/>
        </ext>
      </extLst>
    </customSheetView>
    <customSheetView guid="{788F554C-76BF-4814-BCD0-7201D004C9E3}" filter="1" showAutoFilter="1">
      <autoFilter ref="$O$134"/>
      <extLst>
        <ext uri="GoogleSheetsCustomDataVersion1">
          <go:sheetsCustomData xmlns:go="http://customooxmlschemas.google.com/" filterViewId="1785921343"/>
        </ext>
      </extLst>
    </customSheetView>
    <customSheetView guid="{7A6E234F-62B9-4BDA-BF89-573BC3F926A6}" filter="1" showAutoFilter="1">
      <autoFilter ref="$A$186:$F$218"/>
      <extLst>
        <ext uri="GoogleSheetsCustomDataVersion1">
          <go:sheetsCustomData xmlns:go="http://customooxmlschemas.google.com/" filterViewId="2064829924"/>
        </ext>
      </extLst>
    </customSheetView>
    <customSheetView guid="{AFA8AEEE-A3EE-4E5F-B075-63759EA97324}" filter="1" showAutoFilter="1">
      <autoFilter ref="$K$103"/>
      <extLst>
        <ext uri="GoogleSheetsCustomDataVersion1">
          <go:sheetsCustomData xmlns:go="http://customooxmlschemas.google.com/" filterViewId="719907591"/>
        </ext>
      </extLst>
    </customSheetView>
    <customSheetView guid="{4A4CD9B8-4786-4845-90B1-25BF77E7868B}" filter="1" showAutoFilter="1">
      <autoFilter ref="$K$161:$K$162"/>
      <extLst>
        <ext uri="GoogleSheetsCustomDataVersion1">
          <go:sheetsCustomData xmlns:go="http://customooxmlschemas.google.com/" filterViewId="821425629"/>
        </ext>
      </extLst>
    </customSheetView>
    <customSheetView guid="{46E27461-6572-4F70-BBCA-68ADBA430C22}" filter="1" showAutoFilter="1">
      <autoFilter ref="$O$134"/>
      <extLst>
        <ext uri="GoogleSheetsCustomDataVersion1">
          <go:sheetsCustomData xmlns:go="http://customooxmlschemas.google.com/" filterViewId="841447037"/>
        </ext>
      </extLst>
    </customSheetView>
  </customSheetViews>
  <mergeCells count="50">
    <mergeCell ref="AA1:AA2"/>
    <mergeCell ref="AB1:AB2"/>
    <mergeCell ref="V1:V2"/>
    <mergeCell ref="W1:W2"/>
    <mergeCell ref="X1:X2"/>
    <mergeCell ref="Y1:Y2"/>
    <mergeCell ref="Z1:Z2"/>
    <mergeCell ref="O1:O2"/>
    <mergeCell ref="P1:P2"/>
    <mergeCell ref="Q1:Q2"/>
    <mergeCell ref="R1:R2"/>
    <mergeCell ref="S1:S2"/>
    <mergeCell ref="T1:T2"/>
    <mergeCell ref="U1:U2"/>
    <mergeCell ref="H25:H26"/>
    <mergeCell ref="I25:I26"/>
    <mergeCell ref="J25:J26"/>
    <mergeCell ref="K25:K26"/>
    <mergeCell ref="S25:S26"/>
    <mergeCell ref="U25:U26"/>
    <mergeCell ref="F54:F55"/>
    <mergeCell ref="G54:G55"/>
    <mergeCell ref="H54:H55"/>
    <mergeCell ref="I54:I55"/>
    <mergeCell ref="J54:J55"/>
    <mergeCell ref="S54:S55"/>
    <mergeCell ref="U54:U55"/>
    <mergeCell ref="A1:A2"/>
    <mergeCell ref="B1:B2"/>
    <mergeCell ref="C1:C2"/>
    <mergeCell ref="D1:D2"/>
    <mergeCell ref="E1:E2"/>
    <mergeCell ref="F1:F2"/>
    <mergeCell ref="G1:G2"/>
    <mergeCell ref="H1:H2"/>
    <mergeCell ref="I1:I2"/>
    <mergeCell ref="J1:J2"/>
    <mergeCell ref="K1:K2"/>
    <mergeCell ref="L1:L2"/>
    <mergeCell ref="M1:M2"/>
    <mergeCell ref="N1:N2"/>
    <mergeCell ref="K164:K165"/>
    <mergeCell ref="T243:T244"/>
    <mergeCell ref="H157:H158"/>
    <mergeCell ref="H164:H165"/>
    <mergeCell ref="I164:I165"/>
    <mergeCell ref="J164:J165"/>
    <mergeCell ref="H167:H168"/>
    <mergeCell ref="I167:I168"/>
    <mergeCell ref="J167:J168"/>
  </mergeCells>
  <conditionalFormatting sqref="U3:U1177">
    <cfRule type="expression" dxfId="0" priority="1">
      <formula>AND(ISNUMBER(U3),TRUNC(U3)&lt;TODAY())</formula>
    </cfRule>
  </conditionalFormatting>
  <conditionalFormatting sqref="H3:H449 S448 H451:H525 H530:H546 H548:H583 H586:H631 H633 H635:H638 H645:H713 C667:G667 I667:K667 H715:H787 H791:H1011">
    <cfRule type="expression" dxfId="1" priority="2">
      <formula>"countif(I:I, I4)&gt;1"</formula>
    </cfRule>
  </conditionalFormatting>
  <conditionalFormatting sqref="U1:U1177">
    <cfRule type="timePeriod" dxfId="2" priority="3" timePeriod="today"/>
  </conditionalFormatting>
  <conditionalFormatting sqref="E57">
    <cfRule type="notContainsBlanks" dxfId="3" priority="4">
      <formula>LEN(TRIM(E57))&gt;0</formula>
    </cfRule>
  </conditionalFormatting>
  <conditionalFormatting sqref="Z3:Z384 AA3:AA977 AB3:AB931 Z415:Z416 Z430:Z433 Z437:Z438 Z507:Z508 Z544:Z545 Z548:Z551 Z570:Z571 Z575:Z576 Z578:Z579 Z620:Z621 Z887:Z888 Z934:Z936 AB935:AB936">
    <cfRule type="notContainsBlanks" dxfId="4" priority="5">
      <formula>LEN(TRIM(Z3))&gt;0</formula>
    </cfRule>
  </conditionalFormatting>
  <conditionalFormatting sqref="M1:N1177 I434">
    <cfRule type="containsText" dxfId="5" priority="6" operator="containsText" text="Chốt">
      <formula>NOT(ISERROR(SEARCH(("Chốt"),(M1))))</formula>
    </cfRule>
  </conditionalFormatting>
  <conditionalFormatting sqref="O177:P177">
    <cfRule type="notContainsBlanks" dxfId="3" priority="7">
      <formula>LEN(TRIM(O177))&gt;0</formula>
    </cfRule>
  </conditionalFormatting>
  <conditionalFormatting sqref="V1:V1177">
    <cfRule type="notContainsBlanks" dxfId="3" priority="8">
      <formula>LEN(TRIM(V1))&gt;0</formula>
    </cfRule>
  </conditionalFormatting>
  <conditionalFormatting sqref="A1:A1177">
    <cfRule type="containsBlanks" dxfId="6" priority="9">
      <formula>LEN(TRIM(A1))=0</formula>
    </cfRule>
  </conditionalFormatting>
  <conditionalFormatting sqref="B1:B1177">
    <cfRule type="notContainsBlanks" dxfId="3" priority="10">
      <formula>LEN(TRIM(B1))&gt;0</formula>
    </cfRule>
  </conditionalFormatting>
  <hyperlinks>
    <hyperlink r:id="rId1" ref="I3"/>
    <hyperlink r:id="rId2" ref="I4"/>
    <hyperlink r:id="rId3" ref="I5"/>
    <hyperlink r:id="rId4" ref="I6"/>
    <hyperlink r:id="rId5" ref="I21"/>
    <hyperlink r:id="rId6" ref="I22"/>
    <hyperlink r:id="rId7" ref="I25"/>
    <hyperlink r:id="rId8" ref="I29"/>
    <hyperlink r:id="rId9" ref="I77"/>
    <hyperlink r:id="rId10" ref="I340"/>
    <hyperlink r:id="rId11" ref="I346"/>
    <hyperlink r:id="rId12" ref="I347"/>
    <hyperlink r:id="rId13" ref="I348"/>
    <hyperlink r:id="rId14" ref="K630"/>
    <hyperlink r:id="rId15" location="gid=1666319970" ref="K740"/>
    <hyperlink r:id="rId16" location="gid=1666319970" ref="K741"/>
    <hyperlink r:id="rId17" location="gid=1666319970" ref="K742"/>
    <hyperlink r:id="rId18" location="gid=1666319970" ref="K747"/>
    <hyperlink r:id="rId19" location="gid=1819601126" ref="K749"/>
    <hyperlink r:id="rId20" location="gid=1819601126" ref="K753"/>
    <hyperlink r:id="rId21" location="gid=1819601126" ref="K754"/>
    <hyperlink r:id="rId22" location="gid=1666319970" ref="K765"/>
    <hyperlink r:id="rId23" location="gid=1666319970" ref="K770"/>
    <hyperlink r:id="rId24" location="gid=1666319970" ref="K771"/>
    <hyperlink r:id="rId25" location="gid=1666319970" ref="K772"/>
    <hyperlink r:id="rId26" location="gid=1666319970" ref="K778"/>
    <hyperlink r:id="rId27" location="gid=445902500" ref="K779"/>
    <hyperlink r:id="rId28" location="gid=1666319970" ref="K784"/>
    <hyperlink r:id="rId29" location="gid=1666319970" ref="K785"/>
    <hyperlink r:id="rId30" location="gid=445902500" ref="K789"/>
    <hyperlink r:id="rId31" location="gid=445902500" ref="K790"/>
    <hyperlink r:id="rId32" location="gid=1666319970" ref="K795"/>
  </hyperlinks>
  <drawing r:id="rId3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5.38"/>
    <col customWidth="1" min="3" max="6" width="19.0"/>
    <col customWidth="1" min="7" max="7" width="18.25"/>
    <col customWidth="1" min="8" max="8" width="16.88"/>
    <col customWidth="1" min="18" max="19" width="7.0"/>
  </cols>
  <sheetData>
    <row r="1" ht="15.75" customHeight="1">
      <c r="A1" s="357" t="s">
        <v>4724</v>
      </c>
      <c r="J1" s="358" t="s">
        <v>4611</v>
      </c>
      <c r="T1" s="358" t="s">
        <v>4612</v>
      </c>
    </row>
    <row r="2" ht="15.75" customHeight="1">
      <c r="A2" s="359" t="s">
        <v>4613</v>
      </c>
      <c r="B2" s="360" t="s">
        <v>4614</v>
      </c>
      <c r="C2" s="235"/>
      <c r="D2" s="235"/>
      <c r="E2" s="235"/>
      <c r="F2" s="236"/>
      <c r="G2" s="359" t="s">
        <v>4615</v>
      </c>
      <c r="J2" s="361" t="s">
        <v>4613</v>
      </c>
      <c r="K2" s="363" t="s">
        <v>4616</v>
      </c>
      <c r="L2" s="235"/>
      <c r="M2" s="235"/>
      <c r="N2" s="235"/>
      <c r="O2" s="235"/>
      <c r="P2" s="235"/>
      <c r="Q2" s="236"/>
      <c r="T2" s="361" t="s">
        <v>4613</v>
      </c>
      <c r="U2" s="363" t="s">
        <v>4616</v>
      </c>
      <c r="V2" s="235"/>
      <c r="W2" s="235"/>
      <c r="X2" s="235"/>
      <c r="Y2" s="235"/>
      <c r="Z2" s="235"/>
      <c r="AA2" s="236"/>
      <c r="AD2" s="358" t="s">
        <v>4727</v>
      </c>
      <c r="AL2" s="358"/>
    </row>
    <row r="3" ht="15.75" customHeight="1">
      <c r="A3" s="11"/>
      <c r="B3" s="365" t="s">
        <v>412</v>
      </c>
      <c r="C3" s="365" t="s">
        <v>66</v>
      </c>
      <c r="D3" s="365" t="s">
        <v>48</v>
      </c>
      <c r="E3" s="365" t="s">
        <v>111</v>
      </c>
      <c r="F3" s="365" t="s">
        <v>4618</v>
      </c>
      <c r="G3" s="11"/>
      <c r="J3" s="11"/>
      <c r="K3" s="366" t="s">
        <v>4620</v>
      </c>
      <c r="L3" s="367" t="s">
        <v>4621</v>
      </c>
      <c r="M3" s="368" t="s">
        <v>73</v>
      </c>
      <c r="N3" s="369" t="s">
        <v>201</v>
      </c>
      <c r="O3" s="370" t="s">
        <v>84</v>
      </c>
      <c r="P3" s="371" t="s">
        <v>60</v>
      </c>
      <c r="Q3" s="371" t="s">
        <v>703</v>
      </c>
      <c r="T3" s="11"/>
      <c r="U3" s="366" t="s">
        <v>4620</v>
      </c>
      <c r="V3" s="367" t="s">
        <v>4621</v>
      </c>
      <c r="W3" s="368" t="s">
        <v>73</v>
      </c>
      <c r="X3" s="369" t="s">
        <v>201</v>
      </c>
      <c r="Y3" s="370" t="s">
        <v>84</v>
      </c>
      <c r="Z3" s="371" t="s">
        <v>60</v>
      </c>
      <c r="AA3" s="371" t="s">
        <v>703</v>
      </c>
      <c r="AD3" s="361" t="s">
        <v>4613</v>
      </c>
      <c r="AE3" s="363" t="s">
        <v>4616</v>
      </c>
      <c r="AF3" s="235"/>
      <c r="AG3" s="235"/>
      <c r="AH3" s="235"/>
      <c r="AI3" s="235"/>
      <c r="AJ3" s="235"/>
      <c r="AK3" s="236"/>
      <c r="AL3" s="364"/>
    </row>
    <row r="4" ht="15.75" customHeight="1">
      <c r="A4" s="372">
        <v>45078.0</v>
      </c>
      <c r="B4" s="373">
        <f>sumifs('KIDS&amp;ADULTS'!$Z$3:$Z$1015,'KIDS&amp;ADULTS'!$V$3:$V$1015,A4,'KIDS&amp;ADULTS'!$M$3:$M$1015,$B$3)</f>
        <v>5205000</v>
      </c>
      <c r="C4" s="373">
        <f>sumifs('KIDS&amp;ADULTS'!$Z$3:$Z$1015,'KIDS&amp;ADULTS'!$V$3:$V$1015,A4,'KIDS&amp;ADULTS'!$M$3:$M$1015,"phương")</f>
        <v>0</v>
      </c>
      <c r="D4" s="373">
        <f>sumifs('KIDS&amp;ADULTS'!$Z$3:$Z$1015,'KIDS&amp;ADULTS'!$V$3:$V$1015,A4,'KIDS&amp;ADULTS'!$M$3:$M$1015,$D$3)</f>
        <v>0</v>
      </c>
      <c r="E4" s="373">
        <f>sumifs('KIDS&amp;ADULTS'!$Z$3:$Z$1015,'KIDS&amp;ADULTS'!$V$3:$V$1015,A4,'KIDS&amp;ADULTS'!$M$3:$M$1015,"Ánh")</f>
        <v>0</v>
      </c>
      <c r="F4" s="373">
        <f>sumifs('KIDS&amp;ADULTS'!$Z$3:$Z$1015,'KIDS&amp;ADULTS'!$V$3:$V$1015,A4,'KIDS&amp;ADULTS'!$M$3:$M$1015,"Loan")</f>
        <v>0</v>
      </c>
      <c r="G4" s="373">
        <f t="shared" ref="G4:G33" si="1">sum(B4:F4)</f>
        <v>5205000</v>
      </c>
      <c r="J4" s="420">
        <v>45078.0</v>
      </c>
      <c r="K4" s="374">
        <f>COUNTIFS('KIDS&amp;ADULTS'!$A$3:$A$492,J4,'KIDS&amp;ADULTS'!$B$3:$B$492,$K$3)</f>
        <v>0</v>
      </c>
      <c r="L4" s="374">
        <f>COUNTIFS('KIDS&amp;ADULTS'!$A$3:$A$502,J4,'KIDS&amp;ADULTS'!$B$3:$B$502,$L$3)</f>
        <v>0</v>
      </c>
      <c r="M4" s="375">
        <f>COUNTIFS('KIDS&amp;ADULTS'!$A$3:$A$54,J4,'KIDS&amp;ADULTS'!$B$3:$B$54,$M$3)</f>
        <v>0</v>
      </c>
      <c r="N4" s="375">
        <f>COUNTIFS('KIDS&amp;ADULTS'!$A$3:$A$492,J4,'KIDS&amp;ADULTS'!$B$3:$B$492,$N$3)</f>
        <v>5</v>
      </c>
      <c r="O4" s="375">
        <f>COUNTIFS('KIDS&amp;ADULTS'!$A$3:$A$280,J4,'KIDS&amp;ADULTS'!$B$3:$B$280,$O$3)</f>
        <v>0</v>
      </c>
      <c r="P4" s="375">
        <f>COUNTIFS('KIDS&amp;ADULTS'!$A$3:$A$1015,J4,'KIDS&amp;ADULTS'!$B$3:$B$1015,$P$3)</f>
        <v>1</v>
      </c>
      <c r="Q4" s="375">
        <f>COUNTIFS('KIDS&amp;ADULTS'!$A$3:$A$1015,J4,'KIDS&amp;ADULTS'!$B$3:$B$1015,$Q$3)</f>
        <v>0</v>
      </c>
      <c r="T4" s="420">
        <v>45078.0</v>
      </c>
      <c r="U4" s="376">
        <f>COUNTIFS('KIDS&amp;ADULTS'!$V$3:$V$492,T4,'KIDS&amp;ADULTS'!$B$3:$B$492,$K$3,'KIDS&amp;ADULTS'!$N$3:$N$492,"Đã đóng học phí")</f>
        <v>0</v>
      </c>
      <c r="V4" s="376">
        <f>COUNTIFS('KIDS&amp;ADULTS'!$V$3:$V$492,T4,'KIDS&amp;ADULTS'!$B$3:$B$492,$W$3,'KIDS&amp;ADULTS'!$N$3:$N$492,"Đã đóng học phí")</f>
        <v>0</v>
      </c>
      <c r="W4" s="376">
        <f>COUNTIFS('KIDS&amp;ADULTS'!$V$3:$V$492,T4,'KIDS&amp;ADULTS'!$B$3:$B$492,$W$3,'KIDS&amp;ADULTS'!$N$3:$N$492,"Đã đóng học phí")</f>
        <v>0</v>
      </c>
      <c r="X4" s="376">
        <f>COUNTIFS('KIDS&amp;ADULTS'!$V$3:$V$492,T4,'KIDS&amp;ADULTS'!$B$3:$B$492,$X$3,'KIDS&amp;ADULTS'!$N$3:$N$492,"Đã đóng học phí")</f>
        <v>0</v>
      </c>
      <c r="Y4" s="376">
        <f>COUNTIFS('KIDS&amp;ADULTS'!$V$3:$V$492,T4,'KIDS&amp;ADULTS'!$B$3:$B$492,$Y$3,'KIDS&amp;ADULTS'!$N$3:$N$492,"Đã đóng học phí")</f>
        <v>1</v>
      </c>
      <c r="Z4" s="376">
        <f>COUNTIFS('KIDS&amp;ADULTS'!$V$3:$V$492,T4,'KIDS&amp;ADULTS'!$B$3:$B$492,$Z$3,'KIDS&amp;ADULTS'!$N$3:$N$492,"Đã đóng học phí")</f>
        <v>0</v>
      </c>
      <c r="AA4" s="376">
        <f>COUNTIFS('KIDS&amp;ADULTS'!$V$3:$V$492,T4,'KIDS&amp;ADULTS'!$B$3:$B$492,$AA$3,'KIDS&amp;ADULTS'!$N$3:$N$492,"Đã đóng học phí")</f>
        <v>0</v>
      </c>
      <c r="AD4" s="11"/>
      <c r="AE4" s="366" t="s">
        <v>4620</v>
      </c>
      <c r="AF4" s="367" t="s">
        <v>4621</v>
      </c>
      <c r="AG4" s="377" t="s">
        <v>73</v>
      </c>
      <c r="AH4" s="378" t="s">
        <v>201</v>
      </c>
      <c r="AI4" s="379" t="s">
        <v>84</v>
      </c>
      <c r="AJ4" s="380" t="s">
        <v>60</v>
      </c>
      <c r="AK4" s="380" t="s">
        <v>703</v>
      </c>
      <c r="AL4" s="371" t="s">
        <v>4622</v>
      </c>
    </row>
    <row r="5" ht="15.75" customHeight="1">
      <c r="A5" s="420">
        <v>45079.0</v>
      </c>
      <c r="B5" s="373">
        <f>sumifs('KIDS&amp;ADULTS'!$Z$3:$Z$1015,'KIDS&amp;ADULTS'!$V$3:$V$1015,A5,'KIDS&amp;ADULTS'!$M$3:$M$1015,$B$3)</f>
        <v>0</v>
      </c>
      <c r="C5" s="373">
        <f>sumifs('KIDS&amp;ADULTS'!$Z$3:$Z$1015,'KIDS&amp;ADULTS'!$V$3:$V$1015,A5,'KIDS&amp;ADULTS'!$M$3:$M$1015,"phương")</f>
        <v>0</v>
      </c>
      <c r="D5" s="373">
        <f>sumifs('KIDS&amp;ADULTS'!$Z$3:$Z$1015,'KIDS&amp;ADULTS'!$V$3:$V$1015,A5,'KIDS&amp;ADULTS'!$M$3:$M$1015,$D$3)</f>
        <v>0</v>
      </c>
      <c r="E5" s="373">
        <f>sumifs('KIDS&amp;ADULTS'!$Z$3:$Z$1015,'KIDS&amp;ADULTS'!$V$3:$V$1015,A5,'KIDS&amp;ADULTS'!$M$3:$M$1015,"Ánh")</f>
        <v>0</v>
      </c>
      <c r="F5" s="373">
        <f>sumifs('KIDS&amp;ADULTS'!$Z$3:$Z$1015,'KIDS&amp;ADULTS'!$V$3:$V$1015,A5,'KIDS&amp;ADULTS'!$M$3:$M$1015,"Loan")</f>
        <v>0</v>
      </c>
      <c r="G5" s="373">
        <f t="shared" si="1"/>
        <v>0</v>
      </c>
      <c r="J5" s="420">
        <v>45079.0</v>
      </c>
      <c r="K5" s="374">
        <f>COUNTIFS('KIDS&amp;ADULTS'!$A$3:$A$492,J5,'KIDS&amp;ADULTS'!$B$3:$B$492,$K$3)</f>
        <v>0</v>
      </c>
      <c r="L5" s="374">
        <f>COUNTIFS('KIDS&amp;ADULTS'!$A$3:$A$54,J5,'KIDS&amp;ADULTS'!$B$3:$B$54,$L$3)</f>
        <v>0</v>
      </c>
      <c r="M5" s="375">
        <f>COUNTIFS('KIDS&amp;ADULTS'!$A$3:$A$54,J5,'KIDS&amp;ADULTS'!$B$3:$B$54,$M$3)</f>
        <v>0</v>
      </c>
      <c r="N5" s="375">
        <f>COUNTIFS('KIDS&amp;ADULTS'!$A$3:$A$492,J5,'KIDS&amp;ADULTS'!$B$3:$B$492,$N$3)</f>
        <v>0</v>
      </c>
      <c r="O5" s="375">
        <f>COUNTIFS('KIDS&amp;ADULTS'!$A$3:$A$280,J5,'KIDS&amp;ADULTS'!$B$3:$B$280,$O$3)</f>
        <v>2</v>
      </c>
      <c r="P5" s="375">
        <f>COUNTIFS('KIDS&amp;ADULTS'!$A$3:$A$1015,J5,'KIDS&amp;ADULTS'!$B$3:$B$1015,$P$3)</f>
        <v>0</v>
      </c>
      <c r="Q5" s="375">
        <f>COUNTIFS('KIDS&amp;ADULTS'!$A$3:$A$1015,J5,'KIDS&amp;ADULTS'!$B$3:$B$1015,$Q$3)</f>
        <v>0</v>
      </c>
      <c r="T5" s="420">
        <v>45079.0</v>
      </c>
      <c r="U5" s="376">
        <f>COUNTIFS('KIDS&amp;ADULTS'!$V$3:$V$492,T5,'KIDS&amp;ADULTS'!$B$3:$B$492,$K$3,'KIDS&amp;ADULTS'!$N$3:$N$492,"Đã đóng học phí")</f>
        <v>0</v>
      </c>
      <c r="V5" s="376">
        <f>COUNTIFS('KIDS&amp;ADULTS'!$V$3:$V$492,T5,'KIDS&amp;ADULTS'!$B$3:$B$492,$W$3,'KIDS&amp;ADULTS'!$N$3:$N$492,"Đã đóng học phí")</f>
        <v>0</v>
      </c>
      <c r="W5" s="376">
        <f>COUNTIFS('KIDS&amp;ADULTS'!$V$3:$V$492,T5,'KIDS&amp;ADULTS'!$B$3:$B$492,$W$3,'KIDS&amp;ADULTS'!$N$3:$N$492,"Đã đóng học phí")</f>
        <v>0</v>
      </c>
      <c r="X5" s="376">
        <f>COUNTIFS('KIDS&amp;ADULTS'!$V$3:$V$492,T5,'KIDS&amp;ADULTS'!$B$3:$B$492,$X$3,'KIDS&amp;ADULTS'!$N$3:$N$492,"Đã đóng học phí")</f>
        <v>0</v>
      </c>
      <c r="Y5" s="376">
        <f>COUNTIFS('KIDS&amp;ADULTS'!$V$3:$V$492,T5,'KIDS&amp;ADULTS'!$B$3:$B$492,$Y$3,'KIDS&amp;ADULTS'!$N$3:$N$492,"Đã đóng học phí")</f>
        <v>0</v>
      </c>
      <c r="Z5" s="376">
        <f>COUNTIFS('KIDS&amp;ADULTS'!$V$3:$V$492,T5,'KIDS&amp;ADULTS'!$B$3:$B$492,$Z$3,'KIDS&amp;ADULTS'!$N$3:$N$492,"Đã đóng học phí")</f>
        <v>0</v>
      </c>
      <c r="AA5" s="376">
        <f>COUNTIFS('KIDS&amp;ADULTS'!$V$3:$V$492,T5,'KIDS&amp;ADULTS'!$B$3:$B$492,$AA$3,'KIDS&amp;ADULTS'!$N$3:$N$492,"Đã đóng học phí")</f>
        <v>0</v>
      </c>
      <c r="AD5" s="381" t="s">
        <v>4622</v>
      </c>
      <c r="AE5" s="381">
        <f t="shared" ref="AE5:AK5" si="2">U34</f>
        <v>0</v>
      </c>
      <c r="AF5" s="381">
        <f t="shared" si="2"/>
        <v>0</v>
      </c>
      <c r="AG5" s="381">
        <f t="shared" si="2"/>
        <v>0</v>
      </c>
      <c r="AH5" s="381">
        <f t="shared" si="2"/>
        <v>12</v>
      </c>
      <c r="AI5" s="381">
        <f t="shared" si="2"/>
        <v>15</v>
      </c>
      <c r="AJ5" s="381">
        <f t="shared" si="2"/>
        <v>1</v>
      </c>
      <c r="AK5" s="381">
        <f t="shared" si="2"/>
        <v>1</v>
      </c>
      <c r="AL5" s="415">
        <f>SUM(AE5:AK5)</f>
        <v>29</v>
      </c>
    </row>
    <row r="6" ht="15.75" customHeight="1">
      <c r="A6" s="420">
        <v>45080.0</v>
      </c>
      <c r="B6" s="373">
        <f>sumifs('KIDS&amp;ADULTS'!$Z$3:$Z$1015,'KIDS&amp;ADULTS'!$V$3:$V$1015,A6,'KIDS&amp;ADULTS'!$M$3:$M$1015,$B$3)</f>
        <v>2756000</v>
      </c>
      <c r="C6" s="373">
        <f>sumifs('KIDS&amp;ADULTS'!$Z$3:$Z$1015,'KIDS&amp;ADULTS'!$V$3:$V$1015,A6,'KIDS&amp;ADULTS'!$M$3:$M$1015,"phương")</f>
        <v>7437500</v>
      </c>
      <c r="D6" s="373">
        <f>sumifs('KIDS&amp;ADULTS'!$Z$3:$Z$1015,'KIDS&amp;ADULTS'!$V$3:$V$1015,A6,'KIDS&amp;ADULTS'!$M$3:$M$1015,$D$3)</f>
        <v>0</v>
      </c>
      <c r="E6" s="373">
        <f>sumifs('KIDS&amp;ADULTS'!$Z$3:$Z$1015,'KIDS&amp;ADULTS'!$V$3:$V$1015,A6,'KIDS&amp;ADULTS'!$M$3:$M$1015,"Ánh")</f>
        <v>0</v>
      </c>
      <c r="F6" s="373">
        <f>sumifs('KIDS&amp;ADULTS'!$Z$3:$Z$1015,'KIDS&amp;ADULTS'!$V$3:$V$1015,A6,'KIDS&amp;ADULTS'!$M$3:$M$1015,"Loan")</f>
        <v>0</v>
      </c>
      <c r="G6" s="373">
        <f t="shared" si="1"/>
        <v>10193500</v>
      </c>
      <c r="J6" s="420">
        <v>45080.0</v>
      </c>
      <c r="K6" s="374">
        <f>COUNTIFS('KIDS&amp;ADULTS'!$A$3:$A$492,J6,'KIDS&amp;ADULTS'!$B$3:$B$492,$K$3)</f>
        <v>0</v>
      </c>
      <c r="L6" s="374">
        <f>COUNTIFS('KIDS&amp;ADULTS'!$A$3:$A$54,J6,'KIDS&amp;ADULTS'!$B$3:$B$54,$L$3)</f>
        <v>0</v>
      </c>
      <c r="M6" s="375">
        <f>COUNTIFS('KIDS&amp;ADULTS'!$A$3:$A$54,J6,'KIDS&amp;ADULTS'!$B$3:$B$54,$M$3)</f>
        <v>0</v>
      </c>
      <c r="N6" s="375">
        <f>COUNTIFS('KIDS&amp;ADULTS'!$A$3:$A$492,J6,'KIDS&amp;ADULTS'!$B$3:$B$492,$N$3)</f>
        <v>0</v>
      </c>
      <c r="O6" s="375">
        <f>COUNTIFS('KIDS&amp;ADULTS'!$A$3:$A$280,J6,'KIDS&amp;ADULTS'!$B$3:$B$280,$O$3)</f>
        <v>0</v>
      </c>
      <c r="P6" s="375">
        <f>COUNTIFS('KIDS&amp;ADULTS'!$A$3:$A$1015,J6,'KIDS&amp;ADULTS'!$B$3:$B$1015,$P$3)</f>
        <v>1</v>
      </c>
      <c r="Q6" s="375">
        <f>COUNTIFS('KIDS&amp;ADULTS'!$A$3:$A$1015,J6,'KIDS&amp;ADULTS'!$B$3:$B$1015,$Q$3)</f>
        <v>1</v>
      </c>
      <c r="T6" s="420">
        <v>45080.0</v>
      </c>
      <c r="U6" s="376">
        <f>COUNTIFS('KIDS&amp;ADULTS'!$V$3:$V$492,T6,'KIDS&amp;ADULTS'!$B$3:$B$492,$K$3,'KIDS&amp;ADULTS'!$N$3:$N$492,"Đã đóng học phí")</f>
        <v>0</v>
      </c>
      <c r="V6" s="376">
        <f>COUNTIFS('KIDS&amp;ADULTS'!$V$3:$V$492,T6,'KIDS&amp;ADULTS'!$B$3:$B$492,$W$3,'KIDS&amp;ADULTS'!$N$3:$N$492,"Đã đóng học phí")</f>
        <v>0</v>
      </c>
      <c r="W6" s="376">
        <f>COUNTIFS('KIDS&amp;ADULTS'!$V$3:$V$492,T6,'KIDS&amp;ADULTS'!$B$3:$B$492,$W$3,'KIDS&amp;ADULTS'!$N$3:$N$492,"Đã đóng học phí")</f>
        <v>0</v>
      </c>
      <c r="X6" s="376">
        <f>COUNTIFS('KIDS&amp;ADULTS'!$V$3:$V$492,T6,'KIDS&amp;ADULTS'!$B$3:$B$492,$X$3,'KIDS&amp;ADULTS'!$N$3:$N$492,"Đã đóng học phí")</f>
        <v>1</v>
      </c>
      <c r="Y6" s="376">
        <f>COUNTIFS('KIDS&amp;ADULTS'!$V$3:$V$492,T6,'KIDS&amp;ADULTS'!$B$3:$B$492,$Y$3,'KIDS&amp;ADULTS'!$N$3:$N$492,"Đã đóng học phí")</f>
        <v>1</v>
      </c>
      <c r="Z6" s="376">
        <f>COUNTIFS('KIDS&amp;ADULTS'!$V$3:$V$492,T6,'KIDS&amp;ADULTS'!$B$3:$B$492,$Z$3,'KIDS&amp;ADULTS'!$N$3:$N$492,"Đã đóng học phí")</f>
        <v>0</v>
      </c>
      <c r="AA6" s="376">
        <f>COUNTIFS('KIDS&amp;ADULTS'!$V$3:$V$492,T6,'KIDS&amp;ADULTS'!$B$3:$B$492,$AA$3,'KIDS&amp;ADULTS'!$N$3:$N$492,"Đã đóng học phí")</f>
        <v>0</v>
      </c>
    </row>
    <row r="7" ht="15.75" customHeight="1">
      <c r="A7" s="420">
        <v>45081.0</v>
      </c>
      <c r="B7" s="373">
        <f>sumifs('KIDS&amp;ADULTS'!$Z$3:$Z$1015,'KIDS&amp;ADULTS'!$V$3:$V$1015,A7,'KIDS&amp;ADULTS'!$M$3:$M$1015,$B$3)</f>
        <v>0</v>
      </c>
      <c r="C7" s="373">
        <f>sumifs('KIDS&amp;ADULTS'!$Z$3:$Z$1015,'KIDS&amp;ADULTS'!$V$3:$V$1015,A7,'KIDS&amp;ADULTS'!$M$3:$M$1015,"phương")</f>
        <v>0</v>
      </c>
      <c r="D7" s="373">
        <f>sumifs('KIDS&amp;ADULTS'!$Z$3:$Z$1015,'KIDS&amp;ADULTS'!$V$3:$V$1015,A7,'KIDS&amp;ADULTS'!$M$3:$M$1015,$D$3)</f>
        <v>0</v>
      </c>
      <c r="E7" s="373">
        <f>sumifs('KIDS&amp;ADULTS'!$Z$3:$Z$1015,'KIDS&amp;ADULTS'!$V$3:$V$1015,A7,'KIDS&amp;ADULTS'!$M$3:$M$1015,"Ánh")</f>
        <v>0</v>
      </c>
      <c r="F7" s="373">
        <f>sumifs('KIDS&amp;ADULTS'!$Z$3:$Z$1015,'KIDS&amp;ADULTS'!$V$3:$V$1015,A7,'KIDS&amp;ADULTS'!$M$3:$M$1015,"Loan")</f>
        <v>0</v>
      </c>
      <c r="G7" s="373">
        <f t="shared" si="1"/>
        <v>0</v>
      </c>
      <c r="J7" s="420">
        <v>45081.0</v>
      </c>
      <c r="K7" s="374">
        <f>COUNTIFS('KIDS&amp;ADULTS'!$A$3:$A$492,J7,'KIDS&amp;ADULTS'!$B$3:$B$492,$K$3)</f>
        <v>0</v>
      </c>
      <c r="L7" s="374">
        <f>COUNTIFS('KIDS&amp;ADULTS'!$A$3:$A$54,J7,'KIDS&amp;ADULTS'!$B$3:$B$54,$L$3)</f>
        <v>0</v>
      </c>
      <c r="M7" s="375">
        <f>COUNTIFS('KIDS&amp;ADULTS'!$A$3:$A$54,J7,'KIDS&amp;ADULTS'!$B$3:$B$54,$M$3)</f>
        <v>0</v>
      </c>
      <c r="N7" s="375">
        <f>COUNTIFS('KIDS&amp;ADULTS'!$A$3:$A$492,J7,'KIDS&amp;ADULTS'!$B$3:$B$492,$N$3)</f>
        <v>1</v>
      </c>
      <c r="O7" s="375">
        <f>COUNTIFS('KIDS&amp;ADULTS'!$A$3:$A$280,J7,'KIDS&amp;ADULTS'!$B$3:$B$280,$O$3)</f>
        <v>0</v>
      </c>
      <c r="P7" s="375">
        <f>COUNTIFS('KIDS&amp;ADULTS'!$A$3:$A$1015,J7,'KIDS&amp;ADULTS'!$B$3:$B$1015,$P$3)</f>
        <v>0</v>
      </c>
      <c r="Q7" s="375">
        <f>COUNTIFS('KIDS&amp;ADULTS'!$A$3:$A$1015,J7,'KIDS&amp;ADULTS'!$B$3:$B$1015,$Q$3)</f>
        <v>0</v>
      </c>
      <c r="T7" s="420">
        <v>45081.0</v>
      </c>
      <c r="U7" s="376">
        <f>COUNTIFS('KIDS&amp;ADULTS'!$V$3:$V$492,T7,'KIDS&amp;ADULTS'!$B$3:$B$492,$K$3,'KIDS&amp;ADULTS'!$N$3:$N$492,"Đã đóng học phí")</f>
        <v>0</v>
      </c>
      <c r="V7" s="376">
        <f>COUNTIFS('KIDS&amp;ADULTS'!$V$3:$V$492,T7,'KIDS&amp;ADULTS'!$B$3:$B$492,$W$3,'KIDS&amp;ADULTS'!$N$3:$N$492,"Đã đóng học phí")</f>
        <v>0</v>
      </c>
      <c r="W7" s="376">
        <f>COUNTIFS('KIDS&amp;ADULTS'!$V$3:$V$492,T7,'KIDS&amp;ADULTS'!$B$3:$B$492,$W$3,'KIDS&amp;ADULTS'!$N$3:$N$492,"Đã đóng học phí")</f>
        <v>0</v>
      </c>
      <c r="X7" s="376">
        <f>COUNTIFS('KIDS&amp;ADULTS'!$V$3:$V$492,T7,'KIDS&amp;ADULTS'!$B$3:$B$492,$X$3,'KIDS&amp;ADULTS'!$N$3:$N$492,"Đã đóng học phí")</f>
        <v>0</v>
      </c>
      <c r="Y7" s="376">
        <f>COUNTIFS('KIDS&amp;ADULTS'!$V$3:$V$492,T7,'KIDS&amp;ADULTS'!$B$3:$B$492,$Y$3,'KIDS&amp;ADULTS'!$N$3:$N$492,"Đã đóng học phí")</f>
        <v>0</v>
      </c>
      <c r="Z7" s="376">
        <f>COUNTIFS('KIDS&amp;ADULTS'!$V$3:$V$492,T7,'KIDS&amp;ADULTS'!$B$3:$B$492,$Z$3,'KIDS&amp;ADULTS'!$N$3:$N$492,"Đã đóng học phí")</f>
        <v>0</v>
      </c>
      <c r="AA7" s="376">
        <f>COUNTIFS('KIDS&amp;ADULTS'!$V$3:$V$492,T7,'KIDS&amp;ADULTS'!$B$3:$B$492,$AA$3,'KIDS&amp;ADULTS'!$N$3:$N$492,"Đã đóng học phí")</f>
        <v>0</v>
      </c>
      <c r="AD7" s="358" t="s">
        <v>4728</v>
      </c>
      <c r="AL7" s="358"/>
    </row>
    <row r="8" ht="15.75" customHeight="1">
      <c r="A8" s="420">
        <v>45082.0</v>
      </c>
      <c r="B8" s="373">
        <f>sumifs('KIDS&amp;ADULTS'!$Z$3:$Z$1015,'KIDS&amp;ADULTS'!$V$3:$V$1015,A8,'KIDS&amp;ADULTS'!$M$3:$M$1015,$B$3)</f>
        <v>5205000</v>
      </c>
      <c r="C8" s="373">
        <f>sumifs('KIDS&amp;ADULTS'!$Z$3:$Z$1015,'KIDS&amp;ADULTS'!$V$3:$V$1015,A8,'KIDS&amp;ADULTS'!$M$3:$M$1015,"phương")</f>
        <v>0</v>
      </c>
      <c r="D8" s="373">
        <f>sumifs('KIDS&amp;ADULTS'!$Z$3:$Z$1015,'KIDS&amp;ADULTS'!$V$3:$V$1015,A8,'KIDS&amp;ADULTS'!$M$3:$M$1015,$D$3)</f>
        <v>0</v>
      </c>
      <c r="E8" s="373">
        <f>sumifs('KIDS&amp;ADULTS'!$Z$3:$Z$1015,'KIDS&amp;ADULTS'!$V$3:$V$1015,A8,'KIDS&amp;ADULTS'!$M$3:$M$1015,"Ánh")</f>
        <v>0</v>
      </c>
      <c r="F8" s="373">
        <f>sumifs('KIDS&amp;ADULTS'!$Z$3:$Z$1015,'KIDS&amp;ADULTS'!$V$3:$V$1015,A8,'KIDS&amp;ADULTS'!$M$3:$M$1015,"Loan")</f>
        <v>0</v>
      </c>
      <c r="G8" s="373">
        <f t="shared" si="1"/>
        <v>5205000</v>
      </c>
      <c r="J8" s="420">
        <v>45082.0</v>
      </c>
      <c r="K8" s="374">
        <f>COUNTIFS('KIDS&amp;ADULTS'!$A$3:$A$492,J8,'KIDS&amp;ADULTS'!$B$3:$B$492,$K$3)</f>
        <v>0</v>
      </c>
      <c r="L8" s="374">
        <f>COUNTIFS('KIDS&amp;ADULTS'!$A$3:$A$54,J8,'KIDS&amp;ADULTS'!$B$3:$B$54,$L$3)</f>
        <v>0</v>
      </c>
      <c r="M8" s="375">
        <f>COUNTIFS('KIDS&amp;ADULTS'!$A$3:$A$54,J8,'KIDS&amp;ADULTS'!$B$3:$B$54,$M$3)</f>
        <v>0</v>
      </c>
      <c r="N8" s="375">
        <f>COUNTIFS('KIDS&amp;ADULTS'!$A$3:$A$492,J8,'KIDS&amp;ADULTS'!$B$3:$B$492,$N$3)</f>
        <v>0</v>
      </c>
      <c r="O8" s="375">
        <f>COUNTIFS('KIDS&amp;ADULTS'!$A$3:$A$280,J8,'KIDS&amp;ADULTS'!$B$3:$B$280,$O$3)</f>
        <v>0</v>
      </c>
      <c r="P8" s="375">
        <f>COUNTIFS('KIDS&amp;ADULTS'!$A$3:$A$1015,J8,'KIDS&amp;ADULTS'!$B$3:$B$1015,$P$3)</f>
        <v>0</v>
      </c>
      <c r="Q8" s="375">
        <f>COUNTIFS('KIDS&amp;ADULTS'!$A$3:$A$1015,J8,'KIDS&amp;ADULTS'!$B$3:$B$1015,$Q$3)</f>
        <v>0</v>
      </c>
      <c r="T8" s="420">
        <v>45082.0</v>
      </c>
      <c r="U8" s="376">
        <f>COUNTIFS('KIDS&amp;ADULTS'!$V$3:$V$492,T8,'KIDS&amp;ADULTS'!$B$3:$B$492,$K$3,'KIDS&amp;ADULTS'!$N$3:$N$492,"Đã đóng học phí")</f>
        <v>0</v>
      </c>
      <c r="V8" s="376">
        <f>COUNTIFS('KIDS&amp;ADULTS'!$V$3:$V$492,T8,'KIDS&amp;ADULTS'!$B$3:$B$492,$W$3,'KIDS&amp;ADULTS'!$N$3:$N$492,"Đã đóng học phí")</f>
        <v>0</v>
      </c>
      <c r="W8" s="376">
        <f>COUNTIFS('KIDS&amp;ADULTS'!$V$3:$V$492,T8,'KIDS&amp;ADULTS'!$B$3:$B$492,$W$3,'KIDS&amp;ADULTS'!$N$3:$N$492,"Đã đóng học phí")</f>
        <v>0</v>
      </c>
      <c r="X8" s="376">
        <f>COUNTIFS('KIDS&amp;ADULTS'!$V$3:$V$492,T8,'KIDS&amp;ADULTS'!$B$3:$B$492,$X$3,'KIDS&amp;ADULTS'!$N$3:$N$492,"Đã đóng học phí")</f>
        <v>0</v>
      </c>
      <c r="Y8" s="376">
        <f>COUNTIFS('KIDS&amp;ADULTS'!$V$3:$V$492,T8,'KIDS&amp;ADULTS'!$B$3:$B$492,$Y$3,'KIDS&amp;ADULTS'!$N$3:$N$492,"Đã đóng học phí")</f>
        <v>0</v>
      </c>
      <c r="Z8" s="376">
        <f>COUNTIFS('KIDS&amp;ADULTS'!$V$3:$V$492,T8,'KIDS&amp;ADULTS'!$B$3:$B$492,$Z$3,'KIDS&amp;ADULTS'!$N$3:$N$492,"Đã đóng học phí")</f>
        <v>0</v>
      </c>
      <c r="AA8" s="376">
        <f>COUNTIFS('KIDS&amp;ADULTS'!$V$3:$V$492,T8,'KIDS&amp;ADULTS'!$B$3:$B$492,$AA$3,'KIDS&amp;ADULTS'!$N$3:$N$492,"Đã đóng học phí")</f>
        <v>0</v>
      </c>
      <c r="AD8" s="361" t="s">
        <v>4613</v>
      </c>
      <c r="AE8" s="363" t="s">
        <v>4616</v>
      </c>
      <c r="AF8" s="235"/>
      <c r="AG8" s="235"/>
      <c r="AH8" s="235"/>
      <c r="AI8" s="235"/>
      <c r="AJ8" s="235"/>
      <c r="AK8" s="236"/>
      <c r="AL8" s="364"/>
    </row>
    <row r="9" ht="15.75" customHeight="1">
      <c r="A9" s="420">
        <v>45083.0</v>
      </c>
      <c r="B9" s="373">
        <f>sumifs('KIDS&amp;ADULTS'!$Z$3:$Z$1015,'KIDS&amp;ADULTS'!$V$3:$V$1015,A9,'KIDS&amp;ADULTS'!$M$3:$M$1015,$B$3)</f>
        <v>0</v>
      </c>
      <c r="C9" s="373">
        <f>sumifs('KIDS&amp;ADULTS'!$Z$3:$Z$1015,'KIDS&amp;ADULTS'!$V$3:$V$1015,A9,'KIDS&amp;ADULTS'!$M$3:$M$1015,"phương")</f>
        <v>3302200</v>
      </c>
      <c r="D9" s="373">
        <f>sumifs('KIDS&amp;ADULTS'!$Z$3:$Z$1015,'KIDS&amp;ADULTS'!$V$3:$V$1015,A9,'KIDS&amp;ADULTS'!$M$3:$M$1015,$D$3)</f>
        <v>0</v>
      </c>
      <c r="E9" s="373">
        <f>sumifs('KIDS&amp;ADULTS'!$Z$3:$Z$1015,'KIDS&amp;ADULTS'!$V$3:$V$1015,A9,'KIDS&amp;ADULTS'!$M$3:$M$1015,"Ánh")</f>
        <v>0</v>
      </c>
      <c r="F9" s="373">
        <f>sumifs('KIDS&amp;ADULTS'!$Z$3:$Z$1015,'KIDS&amp;ADULTS'!$V$3:$V$1015,A9,'KIDS&amp;ADULTS'!$M$3:$M$1015,"Loan")</f>
        <v>0</v>
      </c>
      <c r="G9" s="373">
        <f t="shared" si="1"/>
        <v>3302200</v>
      </c>
      <c r="J9" s="420">
        <v>45083.0</v>
      </c>
      <c r="K9" s="374">
        <f>COUNTIFS('KIDS&amp;ADULTS'!$A$3:$A$492,J9,'KIDS&amp;ADULTS'!$B$3:$B$492,$K$3)</f>
        <v>0</v>
      </c>
      <c r="L9" s="374">
        <f>COUNTIFS('KIDS&amp;ADULTS'!$A$3:$A$54,J9,'KIDS&amp;ADULTS'!$B$3:$B$54,$L$3)</f>
        <v>0</v>
      </c>
      <c r="M9" s="375">
        <f>COUNTIFS('KIDS&amp;ADULTS'!$A$3:$A$54,J9,'KIDS&amp;ADULTS'!$B$3:$B$54,$M$3)</f>
        <v>0</v>
      </c>
      <c r="N9" s="375">
        <f>COUNTIFS('KIDS&amp;ADULTS'!$A$3:$A$492,J9,'KIDS&amp;ADULTS'!$B$3:$B$492,$N$3)</f>
        <v>0</v>
      </c>
      <c r="O9" s="375">
        <f>COUNTIFS('KIDS&amp;ADULTS'!$A$3:$A$280,J9,'KIDS&amp;ADULTS'!$B$3:$B$280,$O$3)</f>
        <v>2</v>
      </c>
      <c r="P9" s="375">
        <f>COUNTIFS('KIDS&amp;ADULTS'!$A$3:$A$1015,J9,'KIDS&amp;ADULTS'!$B$3:$B$1015,$P$3)</f>
        <v>0</v>
      </c>
      <c r="Q9" s="375">
        <f>COUNTIFS('KIDS&amp;ADULTS'!$A$3:$A$1015,J9,'KIDS&amp;ADULTS'!$B$3:$B$1015,$Q$3)</f>
        <v>0</v>
      </c>
      <c r="T9" s="420">
        <v>45083.0</v>
      </c>
      <c r="U9" s="376">
        <f>COUNTIFS('KIDS&amp;ADULTS'!$V$3:$V$492,T9,'KIDS&amp;ADULTS'!$B$3:$B$492,$K$3,'KIDS&amp;ADULTS'!$N$3:$N$492,"Đã đóng học phí")</f>
        <v>0</v>
      </c>
      <c r="V9" s="376">
        <f>COUNTIFS('KIDS&amp;ADULTS'!$V$3:$V$492,T9,'KIDS&amp;ADULTS'!$B$3:$B$492,$W$3,'KIDS&amp;ADULTS'!$N$3:$N$492,"Đã đóng học phí")</f>
        <v>0</v>
      </c>
      <c r="W9" s="376">
        <f>COUNTIFS('KIDS&amp;ADULTS'!$V$3:$V$492,T9,'KIDS&amp;ADULTS'!$B$3:$B$492,$W$3,'KIDS&amp;ADULTS'!$N$3:$N$492,"Đã đóng học phí")</f>
        <v>0</v>
      </c>
      <c r="X9" s="376">
        <f>COUNTIFS('KIDS&amp;ADULTS'!$V$3:$V$492,T9,'KIDS&amp;ADULTS'!$B$3:$B$492,$X$3,'KIDS&amp;ADULTS'!$N$3:$N$492,"Đã đóng học phí")</f>
        <v>0</v>
      </c>
      <c r="Y9" s="376">
        <f>COUNTIFS('KIDS&amp;ADULTS'!$V$3:$V$492,T9,'KIDS&amp;ADULTS'!$B$3:$B$492,$Y$3,'KIDS&amp;ADULTS'!$N$3:$N$492,"Đã đóng học phí")</f>
        <v>0</v>
      </c>
      <c r="Z9" s="376">
        <f>COUNTIFS('KIDS&amp;ADULTS'!$V$3:$V$492,T9,'KIDS&amp;ADULTS'!$B$3:$B$492,$Z$3,'KIDS&amp;ADULTS'!$N$3:$N$492,"Đã đóng học phí")</f>
        <v>1</v>
      </c>
      <c r="AA9" s="376">
        <f>COUNTIFS('KIDS&amp;ADULTS'!$V$3:$V$492,T9,'KIDS&amp;ADULTS'!$B$3:$B$492,$AA$3,'KIDS&amp;ADULTS'!$N$3:$N$492,"Đã đóng học phí")</f>
        <v>0</v>
      </c>
      <c r="AD9" s="11"/>
      <c r="AE9" s="366" t="s">
        <v>4620</v>
      </c>
      <c r="AF9" s="367" t="s">
        <v>4621</v>
      </c>
      <c r="AG9" s="368" t="s">
        <v>73</v>
      </c>
      <c r="AH9" s="369" t="s">
        <v>201</v>
      </c>
      <c r="AI9" s="370" t="s">
        <v>84</v>
      </c>
      <c r="AJ9" s="371" t="s">
        <v>60</v>
      </c>
      <c r="AK9" s="371" t="s">
        <v>703</v>
      </c>
      <c r="AL9" s="371" t="s">
        <v>4622</v>
      </c>
    </row>
    <row r="10" ht="15.75" customHeight="1">
      <c r="A10" s="420">
        <v>45084.0</v>
      </c>
      <c r="B10" s="373">
        <f>sumifs('KIDS&amp;ADULTS'!$Z$3:$Z$1015,'KIDS&amp;ADULTS'!$V$3:$V$1015,A10,'KIDS&amp;ADULTS'!$M$3:$M$1015,$B$3)</f>
        <v>0</v>
      </c>
      <c r="C10" s="373">
        <f>sumifs('KIDS&amp;ADULTS'!$Z$3:$Z$1015,'KIDS&amp;ADULTS'!$V$3:$V$1015,A10,'KIDS&amp;ADULTS'!$M$3:$M$1015,"phương")</f>
        <v>0</v>
      </c>
      <c r="D10" s="373">
        <f>sumifs('KIDS&amp;ADULTS'!$Z$3:$Z$1015,'KIDS&amp;ADULTS'!$V$3:$V$1015,A10,'KIDS&amp;ADULTS'!$M$3:$M$1015,$D$3)</f>
        <v>0</v>
      </c>
      <c r="E10" s="373">
        <f>sumifs('KIDS&amp;ADULTS'!$Z$3:$Z$1015,'KIDS&amp;ADULTS'!$V$3:$V$1015,A10,'KIDS&amp;ADULTS'!$M$3:$M$1015,"Ánh")</f>
        <v>0</v>
      </c>
      <c r="F10" s="373">
        <f>sumifs('KIDS&amp;ADULTS'!$Z$3:$Z$1015,'KIDS&amp;ADULTS'!$V$3:$V$1015,A10,'KIDS&amp;ADULTS'!$M$3:$M$1015,"Loan")</f>
        <v>6400000</v>
      </c>
      <c r="G10" s="373">
        <f t="shared" si="1"/>
        <v>6400000</v>
      </c>
      <c r="J10" s="420">
        <v>45084.0</v>
      </c>
      <c r="K10" s="374">
        <f>COUNTIFS('KIDS&amp;ADULTS'!$A$3:$A$492,J10,'KIDS&amp;ADULTS'!$B$3:$B$492,$K$3)</f>
        <v>0</v>
      </c>
      <c r="L10" s="374">
        <f>COUNTIFS('KIDS&amp;ADULTS'!$A$3:$A$54,J10,'KIDS&amp;ADULTS'!$B$3:$B$54,$L$3)</f>
        <v>0</v>
      </c>
      <c r="M10" s="375">
        <f>COUNTIFS('KIDS&amp;ADULTS'!$A$3:$A$54,J10,'KIDS&amp;ADULTS'!$B$3:$B$54,$M$3)</f>
        <v>0</v>
      </c>
      <c r="N10" s="375">
        <f>COUNTIFS('KIDS&amp;ADULTS'!$A$3:$A$492,J10,'KIDS&amp;ADULTS'!$B$3:$B$492,$N$3)</f>
        <v>1</v>
      </c>
      <c r="O10" s="375">
        <f>COUNTIFS('KIDS&amp;ADULTS'!$A$3:$A$280,J10,'KIDS&amp;ADULTS'!$B$3:$B$280,$O$3)</f>
        <v>0</v>
      </c>
      <c r="P10" s="375">
        <f>COUNTIFS('KIDS&amp;ADULTS'!$A$3:$A$1015,J10,'KIDS&amp;ADULTS'!$B$3:$B$1015,$P$3)</f>
        <v>0</v>
      </c>
      <c r="Q10" s="375">
        <f>COUNTIFS('KIDS&amp;ADULTS'!$A$3:$A$1015,J10,'KIDS&amp;ADULTS'!$B$3:$B$1015,$Q$3)</f>
        <v>0</v>
      </c>
      <c r="T10" s="420">
        <v>45084.0</v>
      </c>
      <c r="U10" s="376">
        <f>COUNTIFS('KIDS&amp;ADULTS'!$V$3:$V$492,T10,'KIDS&amp;ADULTS'!$B$3:$B$492,$K$3,'KIDS&amp;ADULTS'!$N$3:$N$492,"Đã đóng học phí")</f>
        <v>0</v>
      </c>
      <c r="V10" s="376">
        <f>COUNTIFS('KIDS&amp;ADULTS'!$V$3:$V$492,T10,'KIDS&amp;ADULTS'!$B$3:$B$492,$W$3,'KIDS&amp;ADULTS'!$N$3:$N$492,"Đã đóng học phí")</f>
        <v>0</v>
      </c>
      <c r="W10" s="376">
        <f>COUNTIFS('KIDS&amp;ADULTS'!$V$3:$V$492,T10,'KIDS&amp;ADULTS'!$B$3:$B$492,$W$3,'KIDS&amp;ADULTS'!$N$3:$N$492,"Đã đóng học phí")</f>
        <v>0</v>
      </c>
      <c r="X10" s="376">
        <f>COUNTIFS('KIDS&amp;ADULTS'!$V$3:$V$492,T10,'KIDS&amp;ADULTS'!$B$3:$B$492,$X$3,'KIDS&amp;ADULTS'!$N$3:$N$492,"Đã đóng học phí")</f>
        <v>0</v>
      </c>
      <c r="Y10" s="376">
        <f>COUNTIFS('KIDS&amp;ADULTS'!$V$3:$V$492,T10,'KIDS&amp;ADULTS'!$B$3:$B$492,$Y$3,'KIDS&amp;ADULTS'!$N$3:$N$492,"Đã đóng học phí")</f>
        <v>2</v>
      </c>
      <c r="Z10" s="376">
        <f>COUNTIFS('KIDS&amp;ADULTS'!$V$3:$V$492,T10,'KIDS&amp;ADULTS'!$B$3:$B$492,$Z$3,'KIDS&amp;ADULTS'!$N$3:$N$492,"Đã đóng học phí")</f>
        <v>0</v>
      </c>
      <c r="AA10" s="376">
        <f>COUNTIFS('KIDS&amp;ADULTS'!$V$3:$V$492,T10,'KIDS&amp;ADULTS'!$B$3:$B$492,$AA$3,'KIDS&amp;ADULTS'!$N$3:$N$492,"Đã đóng học phí")</f>
        <v>0</v>
      </c>
      <c r="AD10" s="381" t="s">
        <v>4622</v>
      </c>
      <c r="AE10" s="382">
        <f t="shared" ref="AE10:AK10" si="3">U70</f>
        <v>0</v>
      </c>
      <c r="AF10" s="382">
        <f t="shared" si="3"/>
        <v>0</v>
      </c>
      <c r="AG10" s="382">
        <f t="shared" si="3"/>
        <v>0</v>
      </c>
      <c r="AH10" s="382">
        <f t="shared" si="3"/>
        <v>56582798</v>
      </c>
      <c r="AI10" s="382">
        <f t="shared" si="3"/>
        <v>73956480</v>
      </c>
      <c r="AJ10" s="382">
        <f t="shared" si="3"/>
        <v>2302200</v>
      </c>
      <c r="AK10" s="382">
        <f t="shared" si="3"/>
        <v>4348600</v>
      </c>
      <c r="AL10" s="421">
        <f>SUM(AE10:AK10)</f>
        <v>137190078</v>
      </c>
    </row>
    <row r="11" ht="15.75" customHeight="1">
      <c r="A11" s="420">
        <v>45085.0</v>
      </c>
      <c r="B11" s="373">
        <f>sumifs('KIDS&amp;ADULTS'!$Z$3:$Z$1015,'KIDS&amp;ADULTS'!$V$3:$V$1015,A11,'KIDS&amp;ADULTS'!$M$3:$M$1015,$B$3)</f>
        <v>0</v>
      </c>
      <c r="C11" s="373">
        <f>sumifs('KIDS&amp;ADULTS'!$Z$3:$Z$1015,'KIDS&amp;ADULTS'!$V$3:$V$1015,A11,'KIDS&amp;ADULTS'!$M$3:$M$1015,"phương")</f>
        <v>0</v>
      </c>
      <c r="D11" s="373">
        <f>sumifs('KIDS&amp;ADULTS'!$Z$3:$Z$1015,'KIDS&amp;ADULTS'!$V$3:$V$1015,A11,'KIDS&amp;ADULTS'!$M$3:$M$1015,$D$3)</f>
        <v>0</v>
      </c>
      <c r="E11" s="373">
        <f>sumifs('KIDS&amp;ADULTS'!$Z$3:$Z$1015,'KIDS&amp;ADULTS'!$V$3:$V$1015,A11,'KIDS&amp;ADULTS'!$M$3:$M$1015,"Ánh")</f>
        <v>0</v>
      </c>
      <c r="F11" s="373">
        <f>sumifs('KIDS&amp;ADULTS'!$Z$3:$Z$1015,'KIDS&amp;ADULTS'!$V$3:$V$1015,A11,'KIDS&amp;ADULTS'!$M$3:$M$1015,"Loan")</f>
        <v>5205400</v>
      </c>
      <c r="G11" s="373">
        <f t="shared" si="1"/>
        <v>5205400</v>
      </c>
      <c r="J11" s="420">
        <v>45085.0</v>
      </c>
      <c r="K11" s="374">
        <f>COUNTIFS('KIDS&amp;ADULTS'!$A$3:$A$492,J11,'KIDS&amp;ADULTS'!$B$3:$B$492,$K$3)</f>
        <v>0</v>
      </c>
      <c r="L11" s="374">
        <f>COUNTIFS('KIDS&amp;ADULTS'!$A$3:$A$54,J11,'KIDS&amp;ADULTS'!$B$3:$B$54,$L$3)</f>
        <v>0</v>
      </c>
      <c r="M11" s="375">
        <f>COUNTIFS('KIDS&amp;ADULTS'!$A$3:$A$573,J11,'KIDS&amp;ADULTS'!$B$3:$B$573,$M$3)</f>
        <v>0</v>
      </c>
      <c r="N11" s="375">
        <f>COUNTIFS('KIDS&amp;ADULTS'!$A$3:$A$492,J11,'KIDS&amp;ADULTS'!$B$3:$B$492,$N$3)</f>
        <v>0</v>
      </c>
      <c r="O11" s="375">
        <f>COUNTIFS('KIDS&amp;ADULTS'!$A$3:$A$280,J11,'KIDS&amp;ADULTS'!$B$3:$B$280,$O$3)</f>
        <v>0</v>
      </c>
      <c r="P11" s="375">
        <f>COUNTIFS('KIDS&amp;ADULTS'!$A$3:$A$1015,J11,'KIDS&amp;ADULTS'!$B$3:$B$1015,$P$3)</f>
        <v>0</v>
      </c>
      <c r="Q11" s="375">
        <f>COUNTIFS('KIDS&amp;ADULTS'!$A$3:$A$1015,J11,'KIDS&amp;ADULTS'!$B$3:$B$1015,$Q$3)</f>
        <v>0</v>
      </c>
      <c r="T11" s="420">
        <v>45085.0</v>
      </c>
      <c r="U11" s="376">
        <f>COUNTIFS('KIDS&amp;ADULTS'!$V$3:$V$492,T11,'KIDS&amp;ADULTS'!$B$3:$B$492,$K$3,'KIDS&amp;ADULTS'!$N$3:$N$492,"Đã đóng học phí")</f>
        <v>0</v>
      </c>
      <c r="V11" s="376">
        <f>COUNTIFS('KIDS&amp;ADULTS'!$V$3:$V$492,T11,'KIDS&amp;ADULTS'!$B$3:$B$492,$W$3,'KIDS&amp;ADULTS'!$N$3:$N$492,"Đã đóng học phí")</f>
        <v>0</v>
      </c>
      <c r="W11" s="376">
        <f>COUNTIFS('KIDS&amp;ADULTS'!$V$3:$V$492,T11,'KIDS&amp;ADULTS'!$B$3:$B$492,$W$3,'KIDS&amp;ADULTS'!$N$3:$N$492,"Đã đóng học phí")</f>
        <v>0</v>
      </c>
      <c r="X11" s="376">
        <f>COUNTIFS('KIDS&amp;ADULTS'!$V$3:$V$492,T11,'KIDS&amp;ADULTS'!$B$3:$B$492,$X$3,'KIDS&amp;ADULTS'!$N$3:$N$492,"Đã đóng học phí")</f>
        <v>1</v>
      </c>
      <c r="Y11" s="376">
        <f>COUNTIFS('KIDS&amp;ADULTS'!$V$3:$V$492,T11,'KIDS&amp;ADULTS'!$B$3:$B$492,$Y$3,'KIDS&amp;ADULTS'!$N$3:$N$492,"Đã đóng học phí")</f>
        <v>0</v>
      </c>
      <c r="Z11" s="376">
        <f>COUNTIFS('KIDS&amp;ADULTS'!$V$3:$V$492,T11,'KIDS&amp;ADULTS'!$B$3:$B$492,$Z$3,'KIDS&amp;ADULTS'!$N$3:$N$492,"Đã đóng học phí")</f>
        <v>0</v>
      </c>
      <c r="AA11" s="376">
        <f>COUNTIFS('KIDS&amp;ADULTS'!$V$3:$V$492,T11,'KIDS&amp;ADULTS'!$B$3:$B$492,$AA$3,'KIDS&amp;ADULTS'!$N$3:$N$492,"Đã đóng học phí")</f>
        <v>0</v>
      </c>
    </row>
    <row r="12" ht="15.75" customHeight="1">
      <c r="A12" s="420">
        <v>45086.0</v>
      </c>
      <c r="B12" s="373">
        <f>sumifs('KIDS&amp;ADULTS'!$Z$3:$Z$1015,'KIDS&amp;ADULTS'!$V$3:$V$1015,A12,'KIDS&amp;ADULTS'!$M$3:$M$1015,$B$3)</f>
        <v>0</v>
      </c>
      <c r="C12" s="373">
        <f>sumifs('KIDS&amp;ADULTS'!$Z$3:$Z$1015,'KIDS&amp;ADULTS'!$V$3:$V$1015,A12,'KIDS&amp;ADULTS'!$M$3:$M$1015,"phương")</f>
        <v>0</v>
      </c>
      <c r="D12" s="373">
        <f>sumifs('KIDS&amp;ADULTS'!$Z$3:$Z$1015,'KIDS&amp;ADULTS'!$V$3:$V$1015,A12,'KIDS&amp;ADULTS'!$M$3:$M$1015,$D$3)</f>
        <v>0</v>
      </c>
      <c r="E12" s="373">
        <f>sumifs('KIDS&amp;ADULTS'!$Z$3:$Z$1015,'KIDS&amp;ADULTS'!$V$3:$V$1015,A12,'KIDS&amp;ADULTS'!$M$3:$M$1015,"Ánh")</f>
        <v>0</v>
      </c>
      <c r="F12" s="373">
        <f>sumifs('KIDS&amp;ADULTS'!$Z$3:$Z$1015,'KIDS&amp;ADULTS'!$V$3:$V$1015,A12,'KIDS&amp;ADULTS'!$M$3:$M$1015,"Loan")</f>
        <v>0</v>
      </c>
      <c r="G12" s="373">
        <f t="shared" si="1"/>
        <v>0</v>
      </c>
      <c r="J12" s="420">
        <v>45086.0</v>
      </c>
      <c r="K12" s="374">
        <f>COUNTIFS('KIDS&amp;ADULTS'!$A$3:$A$492,J12,'KIDS&amp;ADULTS'!$B$3:$B$492,$K$3)</f>
        <v>0</v>
      </c>
      <c r="L12" s="374">
        <f>COUNTIFS('KIDS&amp;ADULTS'!$A$3:$A$54,J12,'KIDS&amp;ADULTS'!$B$3:$B$54,$L$3)</f>
        <v>0</v>
      </c>
      <c r="M12" s="375">
        <f>COUNTIFS('KIDS&amp;ADULTS'!$A$3:$A$573,J12,'KIDS&amp;ADULTS'!$B$3:$B$573,$M$3)</f>
        <v>0</v>
      </c>
      <c r="N12" s="375">
        <f>COUNTIFS('KIDS&amp;ADULTS'!$A$3:$A$492,J12,'KIDS&amp;ADULTS'!$B$3:$B$492,$N$3)</f>
        <v>0</v>
      </c>
      <c r="O12" s="375">
        <f>COUNTIFS('KIDS&amp;ADULTS'!$A$3:$A$280,J12,'KIDS&amp;ADULTS'!$B$3:$B$280,$O$3)</f>
        <v>0</v>
      </c>
      <c r="P12" s="375">
        <f>COUNTIFS('KIDS&amp;ADULTS'!$A$3:$A$1015,J12,'KIDS&amp;ADULTS'!$B$3:$B$1015,$P$3)</f>
        <v>0</v>
      </c>
      <c r="Q12" s="375">
        <f>COUNTIFS('KIDS&amp;ADULTS'!$A$3:$A$1015,J12,'KIDS&amp;ADULTS'!$B$3:$B$1015,$Q$3)</f>
        <v>0</v>
      </c>
      <c r="T12" s="420">
        <v>45086.0</v>
      </c>
      <c r="U12" s="376">
        <f>COUNTIFS('KIDS&amp;ADULTS'!$V$3:$V$492,T12,'KIDS&amp;ADULTS'!$B$3:$B$492,$K$3,'KIDS&amp;ADULTS'!$N$3:$N$492,"Đã đóng học phí")</f>
        <v>0</v>
      </c>
      <c r="V12" s="376">
        <f>COUNTIFS('KIDS&amp;ADULTS'!$V$3:$V$492,T12,'KIDS&amp;ADULTS'!$B$3:$B$492,$W$3,'KIDS&amp;ADULTS'!$N$3:$N$492,"Đã đóng học phí")</f>
        <v>0</v>
      </c>
      <c r="W12" s="376">
        <f>COUNTIFS('KIDS&amp;ADULTS'!$V$3:$V$492,T12,'KIDS&amp;ADULTS'!$B$3:$B$492,$W$3,'KIDS&amp;ADULTS'!$N$3:$N$492,"Đã đóng học phí")</f>
        <v>0</v>
      </c>
      <c r="X12" s="376">
        <f>COUNTIFS('KIDS&amp;ADULTS'!$V$3:$V$492,T12,'KIDS&amp;ADULTS'!$B$3:$B$492,$X$3,'KIDS&amp;ADULTS'!$N$3:$N$492,"Đã đóng học phí")</f>
        <v>0</v>
      </c>
      <c r="Y12" s="376">
        <f>COUNTIFS('KIDS&amp;ADULTS'!$V$3:$V$492,T12,'KIDS&amp;ADULTS'!$B$3:$B$492,$Y$3,'KIDS&amp;ADULTS'!$N$3:$N$492,"Đã đóng học phí")</f>
        <v>0</v>
      </c>
      <c r="Z12" s="376">
        <f>COUNTIFS('KIDS&amp;ADULTS'!$V$3:$V$492,T12,'KIDS&amp;ADULTS'!$B$3:$B$492,$Z$3,'KIDS&amp;ADULTS'!$N$3:$N$492,"Đã đóng học phí")</f>
        <v>0</v>
      </c>
      <c r="AA12" s="376">
        <f>COUNTIFS('KIDS&amp;ADULTS'!$V$3:$V$492,T12,'KIDS&amp;ADULTS'!$B$3:$B$492,$AA$3,'KIDS&amp;ADULTS'!$N$3:$N$492,"Đã đóng học phí")</f>
        <v>0</v>
      </c>
    </row>
    <row r="13" ht="15.75" customHeight="1">
      <c r="A13" s="420">
        <v>45087.0</v>
      </c>
      <c r="B13" s="373">
        <f>sumifs('KIDS&amp;ADULTS'!$Z$3:$Z$1015,'KIDS&amp;ADULTS'!$V$3:$V$1015,A13,'KIDS&amp;ADULTS'!$M$3:$M$1015,$B$3)</f>
        <v>0</v>
      </c>
      <c r="C13" s="373">
        <f>sumifs('KIDS&amp;ADULTS'!$Z$3:$Z$1015,'KIDS&amp;ADULTS'!$V$3:$V$1015,A13,'KIDS&amp;ADULTS'!$M$3:$M$1015,"phương")</f>
        <v>0</v>
      </c>
      <c r="D13" s="373">
        <f>sumifs('KIDS&amp;ADULTS'!$Z$3:$Z$1015,'KIDS&amp;ADULTS'!$V$3:$V$1015,A13,'KIDS&amp;ADULTS'!$M$3:$M$1015,$D$3)</f>
        <v>0</v>
      </c>
      <c r="E13" s="373">
        <f>sumifs('KIDS&amp;ADULTS'!$Z$3:$Z$1015,'KIDS&amp;ADULTS'!$V$3:$V$1015,A13,'KIDS&amp;ADULTS'!$M$3:$M$1015,"Ánh")</f>
        <v>0</v>
      </c>
      <c r="F13" s="373">
        <f>sumifs('KIDS&amp;ADULTS'!$Z$3:$Z$1015,'KIDS&amp;ADULTS'!$V$3:$V$1015,A13,'KIDS&amp;ADULTS'!$M$3:$M$1015,"Loan")</f>
        <v>0</v>
      </c>
      <c r="G13" s="373">
        <f t="shared" si="1"/>
        <v>0</v>
      </c>
      <c r="J13" s="420">
        <v>45087.0</v>
      </c>
      <c r="K13" s="374">
        <f>COUNTIFS('KIDS&amp;ADULTS'!$A$3:$A$492,J13,'KIDS&amp;ADULTS'!$B$3:$B$492,$K$3)</f>
        <v>0</v>
      </c>
      <c r="L13" s="374">
        <f>COUNTIFS('KIDS&amp;ADULTS'!$A$3:$A$54,J13,'KIDS&amp;ADULTS'!$B$3:$B$54,$L$3)</f>
        <v>0</v>
      </c>
      <c r="M13" s="375">
        <f>COUNTIFS('KIDS&amp;ADULTS'!$A$3:$A$573,J13,'KIDS&amp;ADULTS'!$B$3:$B$573,$M$3)</f>
        <v>0</v>
      </c>
      <c r="N13" s="375">
        <f>COUNTIFS('KIDS&amp;ADULTS'!$A$3:$A$492,J13,'KIDS&amp;ADULTS'!$B$3:$B$492,$N$3)</f>
        <v>1</v>
      </c>
      <c r="O13" s="375">
        <f>COUNTIFS('KIDS&amp;ADULTS'!$A$3:$A$280,J13,'KIDS&amp;ADULTS'!$B$3:$B$280,$O$3)</f>
        <v>5</v>
      </c>
      <c r="P13" s="375">
        <f>COUNTIFS('KIDS&amp;ADULTS'!$A$3:$A$1015,J13,'KIDS&amp;ADULTS'!$B$3:$B$1015,$P$3)</f>
        <v>0</v>
      </c>
      <c r="Q13" s="375">
        <f>COUNTIFS('KIDS&amp;ADULTS'!$A$3:$A$1015,J13,'KIDS&amp;ADULTS'!$B$3:$B$1015,$Q$3)</f>
        <v>0</v>
      </c>
      <c r="T13" s="420">
        <v>45087.0</v>
      </c>
      <c r="U13" s="376">
        <f>COUNTIFS('KIDS&amp;ADULTS'!$V$3:$V$492,T13,'KIDS&amp;ADULTS'!$B$3:$B$492,$K$3,'KIDS&amp;ADULTS'!$N$3:$N$492,"Đã đóng học phí")</f>
        <v>0</v>
      </c>
      <c r="V13" s="376">
        <f>COUNTIFS('KIDS&amp;ADULTS'!$V$3:$V$492,T13,'KIDS&amp;ADULTS'!$B$3:$B$492,$W$3,'KIDS&amp;ADULTS'!$N$3:$N$492,"Đã đóng học phí")</f>
        <v>0</v>
      </c>
      <c r="W13" s="376">
        <f>COUNTIFS('KIDS&amp;ADULTS'!$V$3:$V$492,T13,'KIDS&amp;ADULTS'!$B$3:$B$492,$W$3,'KIDS&amp;ADULTS'!$N$3:$N$492,"Đã đóng học phí")</f>
        <v>0</v>
      </c>
      <c r="X13" s="376">
        <f>COUNTIFS('KIDS&amp;ADULTS'!$V$3:$V$492,T13,'KIDS&amp;ADULTS'!$B$3:$B$492,$X$3,'KIDS&amp;ADULTS'!$N$3:$N$492,"Đã đóng học phí")</f>
        <v>0</v>
      </c>
      <c r="Y13" s="376">
        <f>COUNTIFS('KIDS&amp;ADULTS'!$V$3:$V$492,T13,'KIDS&amp;ADULTS'!$B$3:$B$492,$Y$3,'KIDS&amp;ADULTS'!$N$3:$N$492,"Đã đóng học phí")</f>
        <v>0</v>
      </c>
      <c r="Z13" s="376">
        <f>COUNTIFS('KIDS&amp;ADULTS'!$V$3:$V$492,T13,'KIDS&amp;ADULTS'!$B$3:$B$492,$Z$3,'KIDS&amp;ADULTS'!$N$3:$N$492,"Đã đóng học phí")</f>
        <v>0</v>
      </c>
      <c r="AA13" s="376">
        <f>COUNTIFS('KIDS&amp;ADULTS'!$V$3:$V$492,T13,'KIDS&amp;ADULTS'!$B$3:$B$492,$AA$3,'KIDS&amp;ADULTS'!$N$3:$N$492,"Đã đóng học phí")</f>
        <v>0</v>
      </c>
    </row>
    <row r="14" ht="15.75" customHeight="1">
      <c r="A14" s="420">
        <v>45088.0</v>
      </c>
      <c r="B14" s="373">
        <f>sumifs('KIDS&amp;ADULTS'!$Z$3:$Z$1015,'KIDS&amp;ADULTS'!$V$3:$V$1015,A14,'KIDS&amp;ADULTS'!$M$3:$M$1015,$B$3)</f>
        <v>0</v>
      </c>
      <c r="C14" s="373">
        <f>sumifs('KIDS&amp;ADULTS'!$Z$3:$Z$1015,'KIDS&amp;ADULTS'!$V$3:$V$1015,A14,'KIDS&amp;ADULTS'!$M$3:$M$1015,"phương")</f>
        <v>0</v>
      </c>
      <c r="D14" s="373">
        <f>sumifs('KIDS&amp;ADULTS'!$Z$3:$Z$1015,'KIDS&amp;ADULTS'!$V$3:$V$1015,A14,'KIDS&amp;ADULTS'!$M$3:$M$1015,$D$3)</f>
        <v>0</v>
      </c>
      <c r="E14" s="373">
        <f>sumifs('KIDS&amp;ADULTS'!$Z$3:$Z$1015,'KIDS&amp;ADULTS'!$V$3:$V$1015,A14,'KIDS&amp;ADULTS'!$M$3:$M$1015,"Ánh")</f>
        <v>0</v>
      </c>
      <c r="F14" s="373">
        <f>sumifs('KIDS&amp;ADULTS'!$Z$3:$Z$1015,'KIDS&amp;ADULTS'!$V$3:$V$1015,A14,'KIDS&amp;ADULTS'!$M$3:$M$1015,"Loan")</f>
        <v>0</v>
      </c>
      <c r="G14" s="373">
        <f t="shared" si="1"/>
        <v>0</v>
      </c>
      <c r="J14" s="420">
        <v>45088.0</v>
      </c>
      <c r="K14" s="374">
        <f>COUNTIFS('KIDS&amp;ADULTS'!$A$3:$A$492,J14,'KIDS&amp;ADULTS'!$B$3:$B$492,$K$3)</f>
        <v>0</v>
      </c>
      <c r="L14" s="374">
        <f>COUNTIFS('KIDS&amp;ADULTS'!$A$3:$A$54,J14,'KIDS&amp;ADULTS'!$B$3:$B$54,$L$3)</f>
        <v>0</v>
      </c>
      <c r="M14" s="375">
        <f>COUNTIFS('KIDS&amp;ADULTS'!$A$3:$A$573,J14,'KIDS&amp;ADULTS'!$B$3:$B$573,$M$3)</f>
        <v>0</v>
      </c>
      <c r="N14" s="375">
        <f>COUNTIFS('KIDS&amp;ADULTS'!$A$3:$A$492,J14,'KIDS&amp;ADULTS'!$B$3:$B$492,$N$3)</f>
        <v>0</v>
      </c>
      <c r="O14" s="375">
        <f>COUNTIFS('KIDS&amp;ADULTS'!$A$3:$A$280,J14,'KIDS&amp;ADULTS'!$B$3:$B$280,$O$3)</f>
        <v>1</v>
      </c>
      <c r="P14" s="375">
        <f>COUNTIFS('KIDS&amp;ADULTS'!$A$3:$A$1015,J14,'KIDS&amp;ADULTS'!$B$3:$B$1015,$P$3)</f>
        <v>0</v>
      </c>
      <c r="Q14" s="375">
        <f>COUNTIFS('KIDS&amp;ADULTS'!$A$3:$A$1015,J14,'KIDS&amp;ADULTS'!$B$3:$B$1015,$Q$3)</f>
        <v>0</v>
      </c>
      <c r="T14" s="420">
        <v>45088.0</v>
      </c>
      <c r="U14" s="376">
        <f>COUNTIFS('KIDS&amp;ADULTS'!$V$3:$V$492,T14,'KIDS&amp;ADULTS'!$B$3:$B$492,$K$3,'KIDS&amp;ADULTS'!$N$3:$N$492,"Đã đóng học phí")</f>
        <v>0</v>
      </c>
      <c r="V14" s="376">
        <f>COUNTIFS('KIDS&amp;ADULTS'!$V$3:$V$492,T14,'KIDS&amp;ADULTS'!$B$3:$B$492,$W$3,'KIDS&amp;ADULTS'!$N$3:$N$492,"Đã đóng học phí")</f>
        <v>0</v>
      </c>
      <c r="W14" s="376">
        <f>COUNTIFS('KIDS&amp;ADULTS'!$V$3:$V$492,T14,'KIDS&amp;ADULTS'!$B$3:$B$492,$W$3,'KIDS&amp;ADULTS'!$N$3:$N$492,"Đã đóng học phí")</f>
        <v>0</v>
      </c>
      <c r="X14" s="376">
        <f>COUNTIFS('KIDS&amp;ADULTS'!$V$3:$V$492,T14,'KIDS&amp;ADULTS'!$B$3:$B$492,$X$3,'KIDS&amp;ADULTS'!$N$3:$N$492,"Đã đóng học phí")</f>
        <v>0</v>
      </c>
      <c r="Y14" s="376">
        <f>COUNTIFS('KIDS&amp;ADULTS'!$V$3:$V$492,T14,'KIDS&amp;ADULTS'!$B$3:$B$492,$Y$3,'KIDS&amp;ADULTS'!$N$3:$N$492,"Đã đóng học phí")</f>
        <v>0</v>
      </c>
      <c r="Z14" s="376">
        <f>COUNTIFS('KIDS&amp;ADULTS'!$V$3:$V$492,T14,'KIDS&amp;ADULTS'!$B$3:$B$492,$Z$3,'KIDS&amp;ADULTS'!$N$3:$N$492,"Đã đóng học phí")</f>
        <v>0</v>
      </c>
      <c r="AA14" s="376">
        <f>COUNTIFS('KIDS&amp;ADULTS'!$V$3:$V$492,T14,'KIDS&amp;ADULTS'!$B$3:$B$492,$AA$3,'KIDS&amp;ADULTS'!$N$3:$N$492,"Đã đóng học phí")</f>
        <v>0</v>
      </c>
    </row>
    <row r="15" ht="15.75" customHeight="1">
      <c r="A15" s="420">
        <v>45089.0</v>
      </c>
      <c r="B15" s="373">
        <f>sumifs('KIDS&amp;ADULTS'!$Z$3:$Z$1015,'KIDS&amp;ADULTS'!$V$3:$V$1015,A15,'KIDS&amp;ADULTS'!$M$3:$M$1015,$B$3)</f>
        <v>0</v>
      </c>
      <c r="C15" s="373">
        <f>sumifs('KIDS&amp;ADULTS'!$Z$3:$Z$1015,'KIDS&amp;ADULTS'!$V$3:$V$1015,A15,'KIDS&amp;ADULTS'!$M$3:$M$1015,"phương")</f>
        <v>0</v>
      </c>
      <c r="D15" s="373">
        <f>sumifs('KIDS&amp;ADULTS'!$Z$3:$Z$1015,'KIDS&amp;ADULTS'!$V$3:$V$1015,A15,'KIDS&amp;ADULTS'!$M$3:$M$1015,$D$3)</f>
        <v>0</v>
      </c>
      <c r="E15" s="373">
        <f>sumifs('KIDS&amp;ADULTS'!$Z$3:$Z$1015,'KIDS&amp;ADULTS'!$V$3:$V$1015,A15,'KIDS&amp;ADULTS'!$M$3:$M$1015,"Ánh")</f>
        <v>0</v>
      </c>
      <c r="F15" s="373">
        <f>sumifs('KIDS&amp;ADULTS'!$Z$3:$Z$1015,'KIDS&amp;ADULTS'!$V$3:$V$1015,A15,'KIDS&amp;ADULTS'!$M$3:$M$1015,"Loan")</f>
        <v>0</v>
      </c>
      <c r="G15" s="373">
        <f t="shared" si="1"/>
        <v>0</v>
      </c>
      <c r="J15" s="420">
        <v>45089.0</v>
      </c>
      <c r="K15" s="374">
        <f>COUNTIFS('KIDS&amp;ADULTS'!$A$3:$A$492,J15,'KIDS&amp;ADULTS'!$B$3:$B$492,$K$3)</f>
        <v>0</v>
      </c>
      <c r="L15" s="374">
        <f>COUNTIFS('KIDS&amp;ADULTS'!$A$3:$A$54,J15,'KIDS&amp;ADULTS'!$B$3:$B$54,$L$3)</f>
        <v>0</v>
      </c>
      <c r="M15" s="375">
        <f>COUNTIFS('KIDS&amp;ADULTS'!$A$3:$A$573,J15,'KIDS&amp;ADULTS'!$B$3:$B$573,$M$3)</f>
        <v>0</v>
      </c>
      <c r="N15" s="375">
        <f>COUNTIFS('KIDS&amp;ADULTS'!$A$3:$A$492,J15,'KIDS&amp;ADULTS'!$B$3:$B$492,$N$3)</f>
        <v>0</v>
      </c>
      <c r="O15" s="375">
        <f>COUNTIFS('KIDS&amp;ADULTS'!$A$3:$A$280,J15,'KIDS&amp;ADULTS'!$B$3:$B$280,$O$3)</f>
        <v>2</v>
      </c>
      <c r="P15" s="375">
        <f>COUNTIFS('KIDS&amp;ADULTS'!$A$3:$A$1015,J15,'KIDS&amp;ADULTS'!$B$3:$B$1015,$P$3)</f>
        <v>0</v>
      </c>
      <c r="Q15" s="375">
        <f>COUNTIFS('KIDS&amp;ADULTS'!$A$3:$A$1015,J15,'KIDS&amp;ADULTS'!$B$3:$B$1015,$Q$3)</f>
        <v>0</v>
      </c>
      <c r="T15" s="420">
        <v>45089.0</v>
      </c>
      <c r="U15" s="376">
        <f>COUNTIFS('KIDS&amp;ADULTS'!$V$3:$V$492,T15,'KIDS&amp;ADULTS'!$B$3:$B$492,$K$3,'KIDS&amp;ADULTS'!$N$3:$N$492,"Đã đóng học phí")</f>
        <v>0</v>
      </c>
      <c r="V15" s="376">
        <f>COUNTIFS('KIDS&amp;ADULTS'!$V$3:$V$492,T15,'KIDS&amp;ADULTS'!$B$3:$B$492,$W$3,'KIDS&amp;ADULTS'!$N$3:$N$492,"Đã đóng học phí")</f>
        <v>0</v>
      </c>
      <c r="W15" s="376">
        <f>COUNTIFS('KIDS&amp;ADULTS'!$V$3:$V$492,T15,'KIDS&amp;ADULTS'!$B$3:$B$492,$W$3,'KIDS&amp;ADULTS'!$N$3:$N$492,"Đã đóng học phí")</f>
        <v>0</v>
      </c>
      <c r="X15" s="376">
        <f>COUNTIFS('KIDS&amp;ADULTS'!$V$3:$V$492,T15,'KIDS&amp;ADULTS'!$B$3:$B$492,$X$3,'KIDS&amp;ADULTS'!$N$3:$N$492,"Đã đóng học phí")</f>
        <v>0</v>
      </c>
      <c r="Y15" s="376">
        <f>COUNTIFS('KIDS&amp;ADULTS'!$V$3:$V$492,T15,'KIDS&amp;ADULTS'!$B$3:$B$492,$Y$3,'KIDS&amp;ADULTS'!$N$3:$N$492,"Đã đóng học phí")</f>
        <v>0</v>
      </c>
      <c r="Z15" s="376">
        <f>COUNTIFS('KIDS&amp;ADULTS'!$V$3:$V$492,T15,'KIDS&amp;ADULTS'!$B$3:$B$492,$Z$3,'KIDS&amp;ADULTS'!$N$3:$N$492,"Đã đóng học phí")</f>
        <v>0</v>
      </c>
      <c r="AA15" s="376">
        <f>COUNTIFS('KIDS&amp;ADULTS'!$V$3:$V$492,T15,'KIDS&amp;ADULTS'!$B$3:$B$492,$AA$3,'KIDS&amp;ADULTS'!$N$3:$N$492,"Đã đóng học phí")</f>
        <v>0</v>
      </c>
    </row>
    <row r="16" ht="15.75" customHeight="1">
      <c r="A16" s="420">
        <v>45090.0</v>
      </c>
      <c r="B16" s="373">
        <f>sumifs('KIDS&amp;ADULTS'!$Z$3:$Z$1015,'KIDS&amp;ADULTS'!$V$3:$V$1015,A16,'KIDS&amp;ADULTS'!$M$3:$M$1015,$B$3)</f>
        <v>0</v>
      </c>
      <c r="C16" s="373">
        <f>sumifs('KIDS&amp;ADULTS'!$Z$3:$Z$1015,'KIDS&amp;ADULTS'!$V$3:$V$1015,A16,'KIDS&amp;ADULTS'!$M$3:$M$1015,"phương")</f>
        <v>0</v>
      </c>
      <c r="D16" s="373">
        <f>sumifs('KIDS&amp;ADULTS'!$Z$3:$Z$1015,'KIDS&amp;ADULTS'!$V$3:$V$1015,A16,'KIDS&amp;ADULTS'!$M$3:$M$1015,$D$3)</f>
        <v>0</v>
      </c>
      <c r="E16" s="373">
        <f>sumifs('KIDS&amp;ADULTS'!$Z$3:$Z$1015,'KIDS&amp;ADULTS'!$V$3:$V$1015,A16,'KIDS&amp;ADULTS'!$M$3:$M$1015,"Ánh")</f>
        <v>0</v>
      </c>
      <c r="F16" s="373">
        <f>sumifs('KIDS&amp;ADULTS'!$Z$3:$Z$1015,'KIDS&amp;ADULTS'!$V$3:$V$1015,A16,'KIDS&amp;ADULTS'!$M$3:$M$1015,"Loan")</f>
        <v>10410800</v>
      </c>
      <c r="G16" s="373">
        <f t="shared" si="1"/>
        <v>10410800</v>
      </c>
      <c r="J16" s="420">
        <v>45090.0</v>
      </c>
      <c r="K16" s="374">
        <f>COUNTIFS('KIDS&amp;ADULTS'!$A$3:$A$492,J16,'KIDS&amp;ADULTS'!$B$3:$B$492,$K$3)</f>
        <v>0</v>
      </c>
      <c r="L16" s="374">
        <f>COUNTIFS('KIDS&amp;ADULTS'!$A$3:$A$54,J16,'KIDS&amp;ADULTS'!$B$3:$B$54,$L$3)</f>
        <v>0</v>
      </c>
      <c r="M16" s="375">
        <f>COUNTIFS('KIDS&amp;ADULTS'!$A$3:$A$573,J16,'KIDS&amp;ADULTS'!$B$3:$B$573,$M$3)</f>
        <v>0</v>
      </c>
      <c r="N16" s="375">
        <f>COUNTIFS('KIDS&amp;ADULTS'!$A$3:$A$492,J16,'KIDS&amp;ADULTS'!$B$3:$B$492,$N$3)</f>
        <v>2</v>
      </c>
      <c r="O16" s="375">
        <f>COUNTIFS('KIDS&amp;ADULTS'!$A$3:$A$280,J16,'KIDS&amp;ADULTS'!$B$3:$B$280,$O$3)</f>
        <v>1</v>
      </c>
      <c r="P16" s="375">
        <f>COUNTIFS('KIDS&amp;ADULTS'!$A$3:$A$1015,J16,'KIDS&amp;ADULTS'!$B$3:$B$1015,$P$3)</f>
        <v>0</v>
      </c>
      <c r="Q16" s="375">
        <f>COUNTIFS('KIDS&amp;ADULTS'!$A$3:$A$1015,J16,'KIDS&amp;ADULTS'!$B$3:$B$1015,$Q$3)</f>
        <v>0</v>
      </c>
      <c r="T16" s="420">
        <v>45090.0</v>
      </c>
      <c r="U16" s="376">
        <f>COUNTIFS('KIDS&amp;ADULTS'!$V$3:$V$492,T16,'KIDS&amp;ADULTS'!$B$3:$B$492,$K$3,'KIDS&amp;ADULTS'!$N$3:$N$492,"Đã đóng học phí")</f>
        <v>0</v>
      </c>
      <c r="V16" s="376">
        <f>COUNTIFS('KIDS&amp;ADULTS'!$V$3:$V$492,T16,'KIDS&amp;ADULTS'!$B$3:$B$492,$W$3,'KIDS&amp;ADULTS'!$N$3:$N$492,"Đã đóng học phí")</f>
        <v>0</v>
      </c>
      <c r="W16" s="376">
        <f>COUNTIFS('KIDS&amp;ADULTS'!$V$3:$V$492,T16,'KIDS&amp;ADULTS'!$B$3:$B$492,$W$3,'KIDS&amp;ADULTS'!$N$3:$N$492,"Đã đóng học phí")</f>
        <v>0</v>
      </c>
      <c r="X16" s="376">
        <f>COUNTIFS('KIDS&amp;ADULTS'!$V$3:$V$492,T16,'KIDS&amp;ADULTS'!$B$3:$B$492,$X$3,'KIDS&amp;ADULTS'!$N$3:$N$492,"Đã đóng học phí")</f>
        <v>0</v>
      </c>
      <c r="Y16" s="376">
        <f>COUNTIFS('KIDS&amp;ADULTS'!$V$3:$V$492,T16,'KIDS&amp;ADULTS'!$B$3:$B$492,$Y$3,'KIDS&amp;ADULTS'!$N$3:$N$492,"Đã đóng học phí")</f>
        <v>2</v>
      </c>
      <c r="Z16" s="376">
        <f>COUNTIFS('KIDS&amp;ADULTS'!$V$3:$V$492,T16,'KIDS&amp;ADULTS'!$B$3:$B$492,$Z$3,'KIDS&amp;ADULTS'!$N$3:$N$492,"Đã đóng học phí")</f>
        <v>0</v>
      </c>
      <c r="AA16" s="376">
        <f>COUNTIFS('KIDS&amp;ADULTS'!$V$3:$V$492,T16,'KIDS&amp;ADULTS'!$B$3:$B$492,$AA$3,'KIDS&amp;ADULTS'!$N$3:$N$492,"Đã đóng học phí")</f>
        <v>0</v>
      </c>
    </row>
    <row r="17" ht="15.75" customHeight="1">
      <c r="A17" s="420">
        <v>45091.0</v>
      </c>
      <c r="B17" s="373">
        <f>sumifs('KIDS&amp;ADULTS'!$Z$3:$Z$1015,'KIDS&amp;ADULTS'!$V$3:$V$1015,A17,'KIDS&amp;ADULTS'!$M$3:$M$1015,$B$3)</f>
        <v>0</v>
      </c>
      <c r="C17" s="373">
        <f>sumifs('KIDS&amp;ADULTS'!$Z$3:$Z$1015,'KIDS&amp;ADULTS'!$V$3:$V$1015,A17,'KIDS&amp;ADULTS'!$M$3:$M$1015,"phương")</f>
        <v>0</v>
      </c>
      <c r="D17" s="373">
        <f>sumifs('KIDS&amp;ADULTS'!$Z$3:$Z$1015,'KIDS&amp;ADULTS'!$V$3:$V$1015,A17,'KIDS&amp;ADULTS'!$M$3:$M$1015,$D$3)</f>
        <v>0</v>
      </c>
      <c r="E17" s="373">
        <f>sumifs('KIDS&amp;ADULTS'!$Z$3:$Z$1015,'KIDS&amp;ADULTS'!$V$3:$V$1015,A17,'KIDS&amp;ADULTS'!$M$3:$M$1015,"Ánh")</f>
        <v>0</v>
      </c>
      <c r="F17" s="373">
        <f>sumifs('KIDS&amp;ADULTS'!$Z$3:$Z$1015,'KIDS&amp;ADULTS'!$V$3:$V$1015,A17,'KIDS&amp;ADULTS'!$M$3:$M$1015,"Loan")</f>
        <v>0</v>
      </c>
      <c r="G17" s="373">
        <f t="shared" si="1"/>
        <v>0</v>
      </c>
      <c r="J17" s="420">
        <v>45091.0</v>
      </c>
      <c r="K17" s="374">
        <f>COUNTIFS('KIDS&amp;ADULTS'!$A$3:$A$492,J17,'KIDS&amp;ADULTS'!$B$3:$B$492,$K$3)</f>
        <v>0</v>
      </c>
      <c r="L17" s="374">
        <f>COUNTIFS('KIDS&amp;ADULTS'!$A$3:$A$54,J17,'KIDS&amp;ADULTS'!$B$3:$B$54,$L$3)</f>
        <v>0</v>
      </c>
      <c r="M17" s="375">
        <f>COUNTIFS('KIDS&amp;ADULTS'!$A$3:$A$573,J17,'KIDS&amp;ADULTS'!$B$3:$B$573,$M$3)</f>
        <v>0</v>
      </c>
      <c r="N17" s="375">
        <f>COUNTIFS('KIDS&amp;ADULTS'!$A$3:$A$492,J17,'KIDS&amp;ADULTS'!$B$3:$B$492,$N$3)</f>
        <v>0</v>
      </c>
      <c r="O17" s="375">
        <f>COUNTIFS('KIDS&amp;ADULTS'!$A$3:$A$280,J17,'KIDS&amp;ADULTS'!$B$3:$B$280,$O$3)</f>
        <v>1</v>
      </c>
      <c r="P17" s="375">
        <f>COUNTIFS('KIDS&amp;ADULTS'!$A$3:$A$1015,J17,'KIDS&amp;ADULTS'!$B$3:$B$1015,$P$3)</f>
        <v>0</v>
      </c>
      <c r="Q17" s="375">
        <f>COUNTIFS('KIDS&amp;ADULTS'!$A$3:$A$1015,J17,'KIDS&amp;ADULTS'!$B$3:$B$1015,$Q$3)</f>
        <v>0</v>
      </c>
      <c r="T17" s="420">
        <v>45091.0</v>
      </c>
      <c r="U17" s="376">
        <f>COUNTIFS('KIDS&amp;ADULTS'!$V$3:$V$492,T17,'KIDS&amp;ADULTS'!$B$3:$B$492,$K$3,'KIDS&amp;ADULTS'!$N$3:$N$492,"Đã đóng học phí")</f>
        <v>0</v>
      </c>
      <c r="V17" s="376">
        <f>COUNTIFS('KIDS&amp;ADULTS'!$V$3:$V$492,T17,'KIDS&amp;ADULTS'!$B$3:$B$492,$W$3,'KIDS&amp;ADULTS'!$N$3:$N$492,"Đã đóng học phí")</f>
        <v>0</v>
      </c>
      <c r="W17" s="376">
        <f>COUNTIFS('KIDS&amp;ADULTS'!$V$3:$V$492,T17,'KIDS&amp;ADULTS'!$B$3:$B$492,$W$3,'KIDS&amp;ADULTS'!$N$3:$N$492,"Đã đóng học phí")</f>
        <v>0</v>
      </c>
      <c r="X17" s="376">
        <f>COUNTIFS('KIDS&amp;ADULTS'!$V$3:$V$492,T17,'KIDS&amp;ADULTS'!$B$3:$B$492,$X$3,'KIDS&amp;ADULTS'!$N$3:$N$492,"Đã đóng học phí")</f>
        <v>0</v>
      </c>
      <c r="Y17" s="376">
        <f>COUNTIFS('KIDS&amp;ADULTS'!$V$3:$V$492,T17,'KIDS&amp;ADULTS'!$B$3:$B$492,$Y$3,'KIDS&amp;ADULTS'!$N$3:$N$492,"Đã đóng học phí")</f>
        <v>0</v>
      </c>
      <c r="Z17" s="376">
        <f>COUNTIFS('KIDS&amp;ADULTS'!$V$3:$V$492,T17,'KIDS&amp;ADULTS'!$B$3:$B$492,$Z$3,'KIDS&amp;ADULTS'!$N$3:$N$492,"Đã đóng học phí")</f>
        <v>0</v>
      </c>
      <c r="AA17" s="376">
        <f>COUNTIFS('KIDS&amp;ADULTS'!$V$3:$V$492,T17,'KIDS&amp;ADULTS'!$B$3:$B$492,$AA$3,'KIDS&amp;ADULTS'!$N$3:$N$492,"Đã đóng học phí")</f>
        <v>0</v>
      </c>
    </row>
    <row r="18" ht="15.75" customHeight="1">
      <c r="A18" s="420">
        <v>45092.0</v>
      </c>
      <c r="B18" s="373">
        <f>sumifs('KIDS&amp;ADULTS'!$Z$3:$Z$1015,'KIDS&amp;ADULTS'!$V$3:$V$1015,A18,'KIDS&amp;ADULTS'!$M$3:$M$1015,$B$3)</f>
        <v>0</v>
      </c>
      <c r="C18" s="373">
        <f>sumifs('KIDS&amp;ADULTS'!$Z$3:$Z$1015,'KIDS&amp;ADULTS'!$V$3:$V$1015,A18,'KIDS&amp;ADULTS'!$M$3:$M$1015,"phương")</f>
        <v>5205400</v>
      </c>
      <c r="D18" s="373">
        <f>sumifs('KIDS&amp;ADULTS'!$Z$3:$Z$1015,'KIDS&amp;ADULTS'!$V$3:$V$1015,A18,'KIDS&amp;ADULTS'!$M$3:$M$1015,$D$3)</f>
        <v>0</v>
      </c>
      <c r="E18" s="373">
        <f>sumifs('KIDS&amp;ADULTS'!$Z$3:$Z$1015,'KIDS&amp;ADULTS'!$V$3:$V$1015,A18,'KIDS&amp;ADULTS'!$M$3:$M$1015,"Ánh")</f>
        <v>0</v>
      </c>
      <c r="F18" s="373">
        <f>sumifs('KIDS&amp;ADULTS'!$Z$3:$Z$1015,'KIDS&amp;ADULTS'!$V$3:$V$1015,A18,'KIDS&amp;ADULTS'!$M$3:$M$1015,"Loan")</f>
        <v>0</v>
      </c>
      <c r="G18" s="373">
        <f t="shared" si="1"/>
        <v>5205400</v>
      </c>
      <c r="J18" s="420">
        <v>45092.0</v>
      </c>
      <c r="K18" s="374">
        <f>COUNTIFS('KIDS&amp;ADULTS'!$A$3:$A$492,J18,'KIDS&amp;ADULTS'!$B$3:$B$492,$K$3)</f>
        <v>0</v>
      </c>
      <c r="L18" s="374">
        <f>COUNTIFS('KIDS&amp;ADULTS'!$A$3:$A$54,J18,'KIDS&amp;ADULTS'!$B$3:$B$54,$L$3)</f>
        <v>0</v>
      </c>
      <c r="M18" s="375">
        <f>COUNTIFS('KIDS&amp;ADULTS'!$A$3:$A$573,J18,'KIDS&amp;ADULTS'!$B$3:$B$573,$M$3)</f>
        <v>1</v>
      </c>
      <c r="N18" s="375">
        <f>COUNTIFS('KIDS&amp;ADULTS'!$A$3:$A$492,J18,'KIDS&amp;ADULTS'!$B$3:$B$492,$N$3)</f>
        <v>0</v>
      </c>
      <c r="O18" s="375">
        <f>COUNTIFS('KIDS&amp;ADULTS'!$A$3:$A$280,J18,'KIDS&amp;ADULTS'!$B$3:$B$280,$O$3)</f>
        <v>8</v>
      </c>
      <c r="P18" s="375">
        <f>COUNTIFS('KIDS&amp;ADULTS'!$A$3:$A$1015,J18,'KIDS&amp;ADULTS'!$B$3:$B$1015,$P$3)</f>
        <v>0</v>
      </c>
      <c r="Q18" s="375">
        <f>COUNTIFS('KIDS&amp;ADULTS'!$A$3:$A$1015,J18,'KIDS&amp;ADULTS'!$B$3:$B$1015,$Q$3)</f>
        <v>0</v>
      </c>
      <c r="T18" s="420">
        <v>45092.0</v>
      </c>
      <c r="U18" s="376">
        <f>COUNTIFS('KIDS&amp;ADULTS'!$V$3:$V$492,T18,'KIDS&amp;ADULTS'!$B$3:$B$492,$K$3,'KIDS&amp;ADULTS'!$N$3:$N$492,"Đã đóng học phí")</f>
        <v>0</v>
      </c>
      <c r="V18" s="376">
        <f>COUNTIFS('KIDS&amp;ADULTS'!$V$3:$V$492,T18,'KIDS&amp;ADULTS'!$B$3:$B$492,$W$3,'KIDS&amp;ADULTS'!$N$3:$N$492,"Đã đóng học phí")</f>
        <v>0</v>
      </c>
      <c r="W18" s="376">
        <f>COUNTIFS('KIDS&amp;ADULTS'!$V$3:$V$492,T18,'KIDS&amp;ADULTS'!$B$3:$B$492,$W$3,'KIDS&amp;ADULTS'!$N$3:$N$492,"Đã đóng học phí")</f>
        <v>0</v>
      </c>
      <c r="X18" s="376">
        <f>COUNTIFS('KIDS&amp;ADULTS'!$V$3:$V$492,T18,'KIDS&amp;ADULTS'!$B$3:$B$492,$X$3,'KIDS&amp;ADULTS'!$N$3:$N$492,"Đã đóng học phí")</f>
        <v>0</v>
      </c>
      <c r="Y18" s="376">
        <f>COUNTIFS('KIDS&amp;ADULTS'!$V$3:$V$492,T18,'KIDS&amp;ADULTS'!$B$3:$B$492,$Y$3,'KIDS&amp;ADULTS'!$N$3:$N$492,"Đã đóng học phí")</f>
        <v>1</v>
      </c>
      <c r="Z18" s="376">
        <f>COUNTIFS('KIDS&amp;ADULTS'!$V$3:$V$492,T18,'KIDS&amp;ADULTS'!$B$3:$B$492,$Z$3,'KIDS&amp;ADULTS'!$N$3:$N$492,"Đã đóng học phí")</f>
        <v>0</v>
      </c>
      <c r="AA18" s="376">
        <f>COUNTIFS('KIDS&amp;ADULTS'!$V$3:$V$492,T18,'KIDS&amp;ADULTS'!$B$3:$B$492,$AA$3,'KIDS&amp;ADULTS'!$N$3:$N$492,"Đã đóng học phí")</f>
        <v>0</v>
      </c>
    </row>
    <row r="19" ht="15.75" customHeight="1">
      <c r="A19" s="420">
        <v>45093.0</v>
      </c>
      <c r="B19" s="373">
        <f>sumifs('KIDS&amp;ADULTS'!$Z$3:$Z$1015,'KIDS&amp;ADULTS'!$V$3:$V$1015,A19,'KIDS&amp;ADULTS'!$M$3:$M$1015,$B$3)</f>
        <v>0</v>
      </c>
      <c r="C19" s="373">
        <f>sumifs('KIDS&amp;ADULTS'!$Z$3:$Z$1015,'KIDS&amp;ADULTS'!$V$3:$V$1015,A19,'KIDS&amp;ADULTS'!$M$3:$M$1015,"phương")</f>
        <v>0</v>
      </c>
      <c r="D19" s="373">
        <f>sumifs('KIDS&amp;ADULTS'!$Z$3:$Z$1015,'KIDS&amp;ADULTS'!$V$3:$V$1015,A19,'KIDS&amp;ADULTS'!$M$3:$M$1015,$D$3)</f>
        <v>0</v>
      </c>
      <c r="E19" s="373">
        <f>sumifs('KIDS&amp;ADULTS'!$Z$3:$Z$1015,'KIDS&amp;ADULTS'!$V$3:$V$1015,A19,'KIDS&amp;ADULTS'!$M$3:$M$1015,"Ánh")</f>
        <v>7437500</v>
      </c>
      <c r="F19" s="373">
        <f>sumifs('KIDS&amp;ADULTS'!$Z$3:$Z$1015,'KIDS&amp;ADULTS'!$V$3:$V$1015,A19,'KIDS&amp;ADULTS'!$M$3:$M$1015,"Loan")</f>
        <v>0</v>
      </c>
      <c r="G19" s="373">
        <f t="shared" si="1"/>
        <v>7437500</v>
      </c>
      <c r="J19" s="420">
        <v>45093.0</v>
      </c>
      <c r="K19" s="374">
        <f>COUNTIFS('KIDS&amp;ADULTS'!$A$3:$A$492,J19,'KIDS&amp;ADULTS'!$B$3:$B$492,$K$3)</f>
        <v>0</v>
      </c>
      <c r="L19" s="374">
        <f>COUNTIFS('KIDS&amp;ADULTS'!$A$3:$A$54,J19,'KIDS&amp;ADULTS'!$B$3:$B$54,$L$3)</f>
        <v>0</v>
      </c>
      <c r="M19" s="375">
        <f>COUNTIFS('KIDS&amp;ADULTS'!$A$3:$A$573,J19,'KIDS&amp;ADULTS'!$B$3:$B$573,$M$3)</f>
        <v>0</v>
      </c>
      <c r="N19" s="375">
        <f>COUNTIFS('KIDS&amp;ADULTS'!$A$3:$A$492,J19,'KIDS&amp;ADULTS'!$B$3:$B$492,$N$3)</f>
        <v>1</v>
      </c>
      <c r="O19" s="375">
        <f>COUNTIFS('KIDS&amp;ADULTS'!$A$3:$A$280,J19,'KIDS&amp;ADULTS'!$B$3:$B$280,$O$3)</f>
        <v>5</v>
      </c>
      <c r="P19" s="375">
        <f>COUNTIFS('KIDS&amp;ADULTS'!$A$3:$A$1015,J19,'KIDS&amp;ADULTS'!$B$3:$B$1015,$P$3)</f>
        <v>0</v>
      </c>
      <c r="Q19" s="375">
        <f>COUNTIFS('KIDS&amp;ADULTS'!$A$3:$A$1015,J19,'KIDS&amp;ADULTS'!$B$3:$B$1015,$Q$3)</f>
        <v>0</v>
      </c>
      <c r="T19" s="420">
        <v>45093.0</v>
      </c>
      <c r="U19" s="376">
        <f>COUNTIFS('KIDS&amp;ADULTS'!$V$3:$V$492,T19,'KIDS&amp;ADULTS'!$B$3:$B$492,$K$3,'KIDS&amp;ADULTS'!$N$3:$N$492,"Đã đóng học phí")</f>
        <v>0</v>
      </c>
      <c r="V19" s="376">
        <f>COUNTIFS('KIDS&amp;ADULTS'!$V$3:$V$492,T19,'KIDS&amp;ADULTS'!$B$3:$B$492,$W$3,'KIDS&amp;ADULTS'!$N$3:$N$492,"Đã đóng học phí")</f>
        <v>0</v>
      </c>
      <c r="W19" s="376">
        <f>COUNTIFS('KIDS&amp;ADULTS'!$V$3:$V$492,T19,'KIDS&amp;ADULTS'!$B$3:$B$492,$W$3,'KIDS&amp;ADULTS'!$N$3:$N$492,"Đã đóng học phí")</f>
        <v>0</v>
      </c>
      <c r="X19" s="376">
        <f>COUNTIFS('KIDS&amp;ADULTS'!$V$3:$V$492,T19,'KIDS&amp;ADULTS'!$B$3:$B$492,$X$3,'KIDS&amp;ADULTS'!$N$3:$N$492,"Đã đóng học phí")</f>
        <v>0</v>
      </c>
      <c r="Y19" s="376">
        <f>COUNTIFS('KIDS&amp;ADULTS'!$V$3:$V$492,T19,'KIDS&amp;ADULTS'!$B$3:$B$492,$Y$3,'KIDS&amp;ADULTS'!$N$3:$N$492,"Đã đóng học phí")</f>
        <v>0</v>
      </c>
      <c r="Z19" s="376">
        <f>COUNTIFS('KIDS&amp;ADULTS'!$V$3:$V$492,T19,'KIDS&amp;ADULTS'!$B$3:$B$492,$Z$3,'KIDS&amp;ADULTS'!$N$3:$N$492,"Đã đóng học phí")</f>
        <v>0</v>
      </c>
      <c r="AA19" s="376">
        <f>COUNTIFS('KIDS&amp;ADULTS'!$V$3:$V$492,T19,'KIDS&amp;ADULTS'!$B$3:$B$492,$AA$3,'KIDS&amp;ADULTS'!$N$3:$N$492,"Đã đóng học phí")</f>
        <v>0</v>
      </c>
    </row>
    <row r="20" ht="15.75" customHeight="1">
      <c r="A20" s="420">
        <v>45094.0</v>
      </c>
      <c r="B20" s="373">
        <f>sumifs('KIDS&amp;ADULTS'!$Z$3:$Z$1015,'KIDS&amp;ADULTS'!$V$3:$V$1015,A20,'KIDS&amp;ADULTS'!$M$3:$M$1015,$B$3)</f>
        <v>0</v>
      </c>
      <c r="C20" s="373">
        <f>sumifs('KIDS&amp;ADULTS'!$Z$3:$Z$1015,'KIDS&amp;ADULTS'!$V$3:$V$1015,A20,'KIDS&amp;ADULTS'!$M$3:$M$1015,"phương")</f>
        <v>0</v>
      </c>
      <c r="D20" s="373">
        <f>sumifs('KIDS&amp;ADULTS'!$Z$3:$Z$1015,'KIDS&amp;ADULTS'!$V$3:$V$1015,A20,'KIDS&amp;ADULTS'!$M$3:$M$1015,$D$3)</f>
        <v>0</v>
      </c>
      <c r="E20" s="373">
        <f>sumifs('KIDS&amp;ADULTS'!$Z$3:$Z$1015,'KIDS&amp;ADULTS'!$V$3:$V$1015,A20,'KIDS&amp;ADULTS'!$M$3:$M$1015,"Ánh")</f>
        <v>2908900</v>
      </c>
      <c r="F20" s="373">
        <f>sumifs('KIDS&amp;ADULTS'!$Z$3:$Z$1015,'KIDS&amp;ADULTS'!$V$3:$V$1015,A20,'KIDS&amp;ADULTS'!$M$3:$M$1015,"Loan")</f>
        <v>0</v>
      </c>
      <c r="G20" s="373">
        <f t="shared" si="1"/>
        <v>2908900</v>
      </c>
      <c r="J20" s="420">
        <v>45094.0</v>
      </c>
      <c r="K20" s="374">
        <f>COUNTIFS('KIDS&amp;ADULTS'!$A$3:$A$492,J20,'KIDS&amp;ADULTS'!$B$3:$B$492,$K$3)</f>
        <v>0</v>
      </c>
      <c r="L20" s="374">
        <f>COUNTIFS('KIDS&amp;ADULTS'!$A$3:$A$54,J20,'KIDS&amp;ADULTS'!$B$3:$B$54,$L$3)</f>
        <v>0</v>
      </c>
      <c r="M20" s="375">
        <f>COUNTIFS('KIDS&amp;ADULTS'!$A$3:$A$573,J20,'KIDS&amp;ADULTS'!$B$3:$B$573,$M$3)</f>
        <v>0</v>
      </c>
      <c r="N20" s="375">
        <f>COUNTIFS('KIDS&amp;ADULTS'!$A$3:$A$492,J20,'KIDS&amp;ADULTS'!$B$3:$B$492,$N$3)</f>
        <v>1</v>
      </c>
      <c r="O20" s="375">
        <f>COUNTIFS('KIDS&amp;ADULTS'!$A$3:$A$280,J20,'KIDS&amp;ADULTS'!$B$3:$B$280,$O$3)</f>
        <v>4</v>
      </c>
      <c r="P20" s="375">
        <f>COUNTIFS('KIDS&amp;ADULTS'!$A$3:$A$1015,J20,'KIDS&amp;ADULTS'!$B$3:$B$1015,$P$3)</f>
        <v>1</v>
      </c>
      <c r="Q20" s="375">
        <f>COUNTIFS('KIDS&amp;ADULTS'!$A$3:$A$1015,J20,'KIDS&amp;ADULTS'!$B$3:$B$1015,$Q$3)</f>
        <v>0</v>
      </c>
      <c r="T20" s="420">
        <v>45094.0</v>
      </c>
      <c r="U20" s="376">
        <f>COUNTIFS('KIDS&amp;ADULTS'!$V$3:$V$492,T20,'KIDS&amp;ADULTS'!$B$3:$B$492,$K$3,'KIDS&amp;ADULTS'!$N$3:$N$492,"Đã đóng học phí")</f>
        <v>0</v>
      </c>
      <c r="V20" s="376">
        <f>COUNTIFS('KIDS&amp;ADULTS'!$V$3:$V$492,T20,'KIDS&amp;ADULTS'!$B$3:$B$492,$W$3,'KIDS&amp;ADULTS'!$N$3:$N$492,"Đã đóng học phí")</f>
        <v>0</v>
      </c>
      <c r="W20" s="376">
        <f>COUNTIFS('KIDS&amp;ADULTS'!$V$3:$V$492,T20,'KIDS&amp;ADULTS'!$B$3:$B$492,$W$3,'KIDS&amp;ADULTS'!$N$3:$N$492,"Đã đóng học phí")</f>
        <v>0</v>
      </c>
      <c r="X20" s="376">
        <f>COUNTIFS('KIDS&amp;ADULTS'!$V$3:$V$492,T20,'KIDS&amp;ADULTS'!$B$3:$B$492,$X$3,'KIDS&amp;ADULTS'!$N$3:$N$492,"Đã đóng học phí")</f>
        <v>0</v>
      </c>
      <c r="Y20" s="376">
        <f>COUNTIFS('KIDS&amp;ADULTS'!$V$3:$V$492,T20,'KIDS&amp;ADULTS'!$B$3:$B$492,$Y$3,'KIDS&amp;ADULTS'!$N$3:$N$492,"Đã đóng học phí")</f>
        <v>1</v>
      </c>
      <c r="Z20" s="376">
        <f>COUNTIFS('KIDS&amp;ADULTS'!$V$3:$V$492,T20,'KIDS&amp;ADULTS'!$B$3:$B$492,$Z$3,'KIDS&amp;ADULTS'!$N$3:$N$492,"Đã đóng học phí")</f>
        <v>0</v>
      </c>
      <c r="AA20" s="376">
        <f>COUNTIFS('KIDS&amp;ADULTS'!$V$3:$V$492,T20,'KIDS&amp;ADULTS'!$B$3:$B$492,$AA$3,'KIDS&amp;ADULTS'!$N$3:$N$492,"Đã đóng học phí")</f>
        <v>0</v>
      </c>
    </row>
    <row r="21" ht="15.75" customHeight="1">
      <c r="A21" s="420">
        <v>45095.0</v>
      </c>
      <c r="B21" s="373">
        <f>sumifs('KIDS&amp;ADULTS'!$Z$3:$Z$1015,'KIDS&amp;ADULTS'!$V$3:$V$1015,A21,'KIDS&amp;ADULTS'!$M$3:$M$1015,$B$3)</f>
        <v>0</v>
      </c>
      <c r="C21" s="373">
        <f>sumifs('KIDS&amp;ADULTS'!$Z$3:$Z$1015,'KIDS&amp;ADULTS'!$V$3:$V$1015,A21,'KIDS&amp;ADULTS'!$M$3:$M$1015,"phương")</f>
        <v>4165000</v>
      </c>
      <c r="D21" s="373">
        <f>sumifs('KIDS&amp;ADULTS'!$Z$3:$Z$1015,'KIDS&amp;ADULTS'!$V$3:$V$1015,A21,'KIDS&amp;ADULTS'!$M$3:$M$1015,$D$3)</f>
        <v>0</v>
      </c>
      <c r="E21" s="373">
        <f>sumifs('KIDS&amp;ADULTS'!$Z$3:$Z$1015,'KIDS&amp;ADULTS'!$V$3:$V$1015,A21,'KIDS&amp;ADULTS'!$M$3:$M$1015,"Ánh")</f>
        <v>0</v>
      </c>
      <c r="F21" s="373">
        <f>sumifs('KIDS&amp;ADULTS'!$Z$3:$Z$1015,'KIDS&amp;ADULTS'!$V$3:$V$1015,A21,'KIDS&amp;ADULTS'!$M$3:$M$1015,"Loan")</f>
        <v>0</v>
      </c>
      <c r="G21" s="373">
        <f t="shared" si="1"/>
        <v>4165000</v>
      </c>
      <c r="J21" s="420">
        <v>45095.0</v>
      </c>
      <c r="K21" s="374">
        <f>COUNTIFS('KIDS&amp;ADULTS'!$A$3:$A$492,J21,'KIDS&amp;ADULTS'!$B$3:$B$492,$K$3)</f>
        <v>0</v>
      </c>
      <c r="L21" s="374">
        <f>COUNTIFS('KIDS&amp;ADULTS'!$A$3:$A$54,J21,'KIDS&amp;ADULTS'!$B$3:$B$54,$L$3)</f>
        <v>0</v>
      </c>
      <c r="M21" s="375">
        <f>COUNTIFS('KIDS&amp;ADULTS'!$A$3:$A$573,J21,'KIDS&amp;ADULTS'!$B$3:$B$573,$M$3)</f>
        <v>0</v>
      </c>
      <c r="N21" s="375">
        <f>COUNTIFS('KIDS&amp;ADULTS'!$A$3:$A$492,J21,'KIDS&amp;ADULTS'!$B$3:$B$492,$N$3)</f>
        <v>0</v>
      </c>
      <c r="O21" s="375">
        <f>COUNTIFS('KIDS&amp;ADULTS'!$A$3:$A$280,J21,'KIDS&amp;ADULTS'!$B$3:$B$280,$O$3)</f>
        <v>2</v>
      </c>
      <c r="P21" s="375">
        <f>COUNTIFS('KIDS&amp;ADULTS'!$A$3:$A$1015,J21,'KIDS&amp;ADULTS'!$B$3:$B$1015,$P$3)</f>
        <v>0</v>
      </c>
      <c r="Q21" s="375">
        <f>COUNTIFS('KIDS&amp;ADULTS'!$A$3:$A$1015,J21,'KIDS&amp;ADULTS'!$B$3:$B$1015,$Q$3)</f>
        <v>0</v>
      </c>
      <c r="T21" s="420">
        <v>45095.0</v>
      </c>
      <c r="U21" s="376">
        <f>COUNTIFS('KIDS&amp;ADULTS'!$V$3:$V$492,T21,'KIDS&amp;ADULTS'!$B$3:$B$492,$K$3,'KIDS&amp;ADULTS'!$N$3:$N$492,"Đã đóng học phí")</f>
        <v>0</v>
      </c>
      <c r="V21" s="376">
        <f>COUNTIFS('KIDS&amp;ADULTS'!$V$3:$V$492,T21,'KIDS&amp;ADULTS'!$B$3:$B$492,$W$3,'KIDS&amp;ADULTS'!$N$3:$N$492,"Đã đóng học phí")</f>
        <v>0</v>
      </c>
      <c r="W21" s="376">
        <f>COUNTIFS('KIDS&amp;ADULTS'!$V$3:$V$492,T21,'KIDS&amp;ADULTS'!$B$3:$B$492,$W$3,'KIDS&amp;ADULTS'!$N$3:$N$492,"Đã đóng học phí")</f>
        <v>0</v>
      </c>
      <c r="X21" s="376">
        <f>COUNTIFS('KIDS&amp;ADULTS'!$V$3:$V$492,T21,'KIDS&amp;ADULTS'!$B$3:$B$492,$X$3,'KIDS&amp;ADULTS'!$N$3:$N$492,"Đã đóng học phí")</f>
        <v>0</v>
      </c>
      <c r="Y21" s="376">
        <f>COUNTIFS('KIDS&amp;ADULTS'!$V$3:$V$492,T21,'KIDS&amp;ADULTS'!$B$3:$B$492,$Y$3,'KIDS&amp;ADULTS'!$N$3:$N$492,"Đã đóng học phí")</f>
        <v>1</v>
      </c>
      <c r="Z21" s="376">
        <f>COUNTIFS('KIDS&amp;ADULTS'!$V$3:$V$492,T21,'KIDS&amp;ADULTS'!$B$3:$B$492,$Z$3,'KIDS&amp;ADULTS'!$N$3:$N$492,"Đã đóng học phí")</f>
        <v>0</v>
      </c>
      <c r="AA21" s="376">
        <f>COUNTIFS('KIDS&amp;ADULTS'!$V$3:$V$492,T21,'KIDS&amp;ADULTS'!$B$3:$B$492,$AA$3,'KIDS&amp;ADULTS'!$N$3:$N$492,"Đã đóng học phí")</f>
        <v>0</v>
      </c>
    </row>
    <row r="22" ht="15.75" customHeight="1">
      <c r="A22" s="420">
        <v>45096.0</v>
      </c>
      <c r="B22" s="373">
        <f>sumifs('KIDS&amp;ADULTS'!$Z$3:$Z$1015,'KIDS&amp;ADULTS'!$V$3:$V$1015,A22,'KIDS&amp;ADULTS'!$M$3:$M$1015,$B$3)</f>
        <v>4348600</v>
      </c>
      <c r="C22" s="373">
        <f>sumifs('KIDS&amp;ADULTS'!$Z$3:$Z$1015,'KIDS&amp;ADULTS'!$V$3:$V$1015,A22,'KIDS&amp;ADULTS'!$M$3:$M$1015,"phương")</f>
        <v>0</v>
      </c>
      <c r="D22" s="373">
        <f>sumifs('KIDS&amp;ADULTS'!$Z$3:$Z$1015,'KIDS&amp;ADULTS'!$V$3:$V$1015,A22,'KIDS&amp;ADULTS'!$M$3:$M$1015,$D$3)</f>
        <v>0</v>
      </c>
      <c r="E22" s="373">
        <f>sumifs('KIDS&amp;ADULTS'!$Z$3:$Z$1015,'KIDS&amp;ADULTS'!$V$3:$V$1015,A22,'KIDS&amp;ADULTS'!$M$3:$M$1015,"Ánh")</f>
        <v>0</v>
      </c>
      <c r="F22" s="373">
        <f>sumifs('KIDS&amp;ADULTS'!$Z$3:$Z$1015,'KIDS&amp;ADULTS'!$V$3:$V$1015,A22,'KIDS&amp;ADULTS'!$M$3:$M$1015,"Loan")</f>
        <v>0</v>
      </c>
      <c r="G22" s="373">
        <f t="shared" si="1"/>
        <v>4348600</v>
      </c>
      <c r="J22" s="420">
        <v>45096.0</v>
      </c>
      <c r="K22" s="374">
        <f>COUNTIFS('KIDS&amp;ADULTS'!$A$3:$A$492,J22,'KIDS&amp;ADULTS'!$B$3:$B$492,$K$3)</f>
        <v>0</v>
      </c>
      <c r="L22" s="374">
        <f>COUNTIFS('KIDS&amp;ADULTS'!$A$3:$A$54,J22,'KIDS&amp;ADULTS'!$B$3:$B$54,$L$3)</f>
        <v>0</v>
      </c>
      <c r="M22" s="375">
        <f>COUNTIFS('KIDS&amp;ADULTS'!$A$3:$A$573,J22,'KIDS&amp;ADULTS'!$B$3:$B$573,$M$3)</f>
        <v>0</v>
      </c>
      <c r="N22" s="375">
        <f>COUNTIFS('KIDS&amp;ADULTS'!$A$3:$A$492,J22,'KIDS&amp;ADULTS'!$B$3:$B$492,$N$3)</f>
        <v>4</v>
      </c>
      <c r="O22" s="375">
        <f>COUNTIFS('KIDS&amp;ADULTS'!$A$3:$A$280,J22,'KIDS&amp;ADULTS'!$B$3:$B$280,$O$3)</f>
        <v>1</v>
      </c>
      <c r="P22" s="375">
        <f>COUNTIFS('KIDS&amp;ADULTS'!$A$3:$A$1015,J22,'KIDS&amp;ADULTS'!$B$3:$B$1015,$P$3)</f>
        <v>0</v>
      </c>
      <c r="Q22" s="375">
        <f>COUNTIFS('KIDS&amp;ADULTS'!$A$3:$A$1015,J22,'KIDS&amp;ADULTS'!$B$3:$B$1015,$Q$3)</f>
        <v>0</v>
      </c>
      <c r="T22" s="420">
        <v>45096.0</v>
      </c>
      <c r="U22" s="376">
        <f>COUNTIFS('KIDS&amp;ADULTS'!$V$3:$V$492,T22,'KIDS&amp;ADULTS'!$B$3:$B$492,$K$3,'KIDS&amp;ADULTS'!$N$3:$N$492,"Đã đóng học phí")</f>
        <v>0</v>
      </c>
      <c r="V22" s="376">
        <f>COUNTIFS('KIDS&amp;ADULTS'!$V$3:$V$492,T22,'KIDS&amp;ADULTS'!$B$3:$B$492,$W$3,'KIDS&amp;ADULTS'!$N$3:$N$492,"Đã đóng học phí")</f>
        <v>0</v>
      </c>
      <c r="W22" s="376">
        <f>COUNTIFS('KIDS&amp;ADULTS'!$V$3:$V$492,T22,'KIDS&amp;ADULTS'!$B$3:$B$492,$W$3,'KIDS&amp;ADULTS'!$N$3:$N$492,"Đã đóng học phí")</f>
        <v>0</v>
      </c>
      <c r="X22" s="376">
        <f>COUNTIFS('KIDS&amp;ADULTS'!$V$3:$V$492,T22,'KIDS&amp;ADULTS'!$B$3:$B$492,$X$3,'KIDS&amp;ADULTS'!$N$3:$N$492,"Đã đóng học phí")</f>
        <v>0</v>
      </c>
      <c r="Y22" s="376">
        <f>COUNTIFS('KIDS&amp;ADULTS'!$V$3:$V$492,T22,'KIDS&amp;ADULTS'!$B$3:$B$492,$Y$3,'KIDS&amp;ADULTS'!$N$3:$N$492,"Đã đóng học phí")</f>
        <v>0</v>
      </c>
      <c r="Z22" s="376">
        <f>COUNTIFS('KIDS&amp;ADULTS'!$V$3:$V$492,T22,'KIDS&amp;ADULTS'!$B$3:$B$492,$Z$3,'KIDS&amp;ADULTS'!$N$3:$N$492,"Đã đóng học phí")</f>
        <v>0</v>
      </c>
      <c r="AA22" s="376">
        <f>COUNTIFS('KIDS&amp;ADULTS'!$V$3:$V$492,T22,'KIDS&amp;ADULTS'!$B$3:$B$492,$AA$3,'KIDS&amp;ADULTS'!$N$3:$N$492,"Đã đóng học phí")</f>
        <v>1</v>
      </c>
    </row>
    <row r="23" ht="15.75" customHeight="1">
      <c r="A23" s="420">
        <v>45097.0</v>
      </c>
      <c r="B23" s="373">
        <f>sumifs('KIDS&amp;ADULTS'!$Z$3:$Z$1015,'KIDS&amp;ADULTS'!$V$3:$V$1015,A23,'KIDS&amp;ADULTS'!$M$3:$M$1015,$B$3)</f>
        <v>0</v>
      </c>
      <c r="C23" s="373">
        <f>sumifs('KIDS&amp;ADULTS'!$Z$3:$Z$1015,'KIDS&amp;ADULTS'!$V$3:$V$1015,A23,'KIDS&amp;ADULTS'!$M$3:$M$1015,"phương")</f>
        <v>5021680</v>
      </c>
      <c r="D23" s="373">
        <f>sumifs('KIDS&amp;ADULTS'!$Z$3:$Z$1015,'KIDS&amp;ADULTS'!$V$3:$V$1015,A23,'KIDS&amp;ADULTS'!$M$3:$M$1015,$D$3)</f>
        <v>0</v>
      </c>
      <c r="E23" s="373">
        <f>sumifs('KIDS&amp;ADULTS'!$Z$3:$Z$1015,'KIDS&amp;ADULTS'!$V$3:$V$1015,A23,'KIDS&amp;ADULTS'!$M$3:$M$1015,"Ánh")</f>
        <v>2908900</v>
      </c>
      <c r="F23" s="373">
        <f>sumifs('KIDS&amp;ADULTS'!$Z$3:$Z$1015,'KIDS&amp;ADULTS'!$V$3:$V$1015,A23,'KIDS&amp;ADULTS'!$M$3:$M$1015,"Loan")</f>
        <v>0</v>
      </c>
      <c r="G23" s="373">
        <f t="shared" si="1"/>
        <v>7930580</v>
      </c>
      <c r="J23" s="420">
        <v>45097.0</v>
      </c>
      <c r="K23" s="374">
        <f>COUNTIFS('KIDS&amp;ADULTS'!$A$3:$A$492,J23,'KIDS&amp;ADULTS'!$B$3:$B$492,$K$3)</f>
        <v>0</v>
      </c>
      <c r="L23" s="374">
        <f>COUNTIFS('KIDS&amp;ADULTS'!$A$3:$A$54,J23,'KIDS&amp;ADULTS'!$B$3:$B$54,$L$3)</f>
        <v>0</v>
      </c>
      <c r="M23" s="375">
        <f>COUNTIFS('KIDS&amp;ADULTS'!$A$3:$A$573,J23,'KIDS&amp;ADULTS'!$B$3:$B$573,$M$3)</f>
        <v>1</v>
      </c>
      <c r="N23" s="375">
        <f>COUNTIFS('KIDS&amp;ADULTS'!$A$3:$A$492,J23,'KIDS&amp;ADULTS'!$B$3:$B$492,$N$3)</f>
        <v>4</v>
      </c>
      <c r="O23" s="375">
        <f>COUNTIFS('KIDS&amp;ADULTS'!$A$3:$A$280,J23,'KIDS&amp;ADULTS'!$B$3:$B$280,$O$3)</f>
        <v>0</v>
      </c>
      <c r="P23" s="375">
        <f>COUNTIFS('KIDS&amp;ADULTS'!$A$3:$A$1015,J23,'KIDS&amp;ADULTS'!$B$3:$B$1015,$P$3)</f>
        <v>0</v>
      </c>
      <c r="Q23" s="375">
        <f>COUNTIFS('KIDS&amp;ADULTS'!$A$3:$A$1015,J23,'KIDS&amp;ADULTS'!$B$3:$B$1015,$Q$3)</f>
        <v>0</v>
      </c>
      <c r="T23" s="420">
        <v>45097.0</v>
      </c>
      <c r="U23" s="376">
        <f>COUNTIFS('KIDS&amp;ADULTS'!$V$3:$V$492,T23,'KIDS&amp;ADULTS'!$B$3:$B$492,$K$3,'KIDS&amp;ADULTS'!$N$3:$N$492,"Đã đóng học phí")</f>
        <v>0</v>
      </c>
      <c r="V23" s="376">
        <f>COUNTIFS('KIDS&amp;ADULTS'!$V$3:$V$492,T23,'KIDS&amp;ADULTS'!$B$3:$B$492,$W$3,'KIDS&amp;ADULTS'!$N$3:$N$492,"Đã đóng học phí")</f>
        <v>0</v>
      </c>
      <c r="W23" s="376">
        <f>COUNTIFS('KIDS&amp;ADULTS'!$V$3:$V$492,T23,'KIDS&amp;ADULTS'!$B$3:$B$492,$W$3,'KIDS&amp;ADULTS'!$N$3:$N$492,"Đã đóng học phí")</f>
        <v>0</v>
      </c>
      <c r="X23" s="376">
        <f>COUNTIFS('KIDS&amp;ADULTS'!$V$3:$V$492,T23,'KIDS&amp;ADULTS'!$B$3:$B$492,$X$3,'KIDS&amp;ADULTS'!$N$3:$N$492,"Đã đóng học phí")</f>
        <v>0</v>
      </c>
      <c r="Y23" s="376">
        <f>COUNTIFS('KIDS&amp;ADULTS'!$V$3:$V$492,T23,'KIDS&amp;ADULTS'!$B$3:$B$492,$Y$3,'KIDS&amp;ADULTS'!$N$3:$N$492,"Đã đóng học phí")</f>
        <v>1</v>
      </c>
      <c r="Z23" s="376">
        <f>COUNTIFS('KIDS&amp;ADULTS'!$V$3:$V$492,T23,'KIDS&amp;ADULTS'!$B$3:$B$492,$Z$3,'KIDS&amp;ADULTS'!$N$3:$N$492,"Đã đóng học phí")</f>
        <v>0</v>
      </c>
      <c r="AA23" s="376">
        <f>COUNTIFS('KIDS&amp;ADULTS'!$V$3:$V$492,T23,'KIDS&amp;ADULTS'!$B$3:$B$492,$AA$3,'KIDS&amp;ADULTS'!$N$3:$N$492,"Đã đóng học phí")</f>
        <v>0</v>
      </c>
    </row>
    <row r="24" ht="15.75" customHeight="1">
      <c r="A24" s="420">
        <v>45098.0</v>
      </c>
      <c r="B24" s="373">
        <f>sumifs('KIDS&amp;ADULTS'!$Z$3:$Z$1015,'KIDS&amp;ADULTS'!$V$3:$V$1015,A24,'KIDS&amp;ADULTS'!$M$3:$M$1015,$B$3)</f>
        <v>0</v>
      </c>
      <c r="C24" s="373">
        <f>sumifs('KIDS&amp;ADULTS'!$Z$3:$Z$1015,'KIDS&amp;ADULTS'!$V$3:$V$1015,A24,'KIDS&amp;ADULTS'!$M$3:$M$1015,"phương")</f>
        <v>0</v>
      </c>
      <c r="D24" s="373">
        <f>sumifs('KIDS&amp;ADULTS'!$Z$3:$Z$1015,'KIDS&amp;ADULTS'!$V$3:$V$1015,A24,'KIDS&amp;ADULTS'!$M$3:$M$1015,$D$3)</f>
        <v>5205400</v>
      </c>
      <c r="E24" s="373">
        <f>sumifs('KIDS&amp;ADULTS'!$Z$3:$Z$1015,'KIDS&amp;ADULTS'!$V$3:$V$1015,A24,'KIDS&amp;ADULTS'!$M$3:$M$1015,"Ánh")</f>
        <v>5817800</v>
      </c>
      <c r="F24" s="373">
        <f>sumifs('KIDS&amp;ADULTS'!$Z$3:$Z$1015,'KIDS&amp;ADULTS'!$V$3:$V$1015,A24,'KIDS&amp;ADULTS'!$M$3:$M$1015,"Loan")</f>
        <v>0</v>
      </c>
      <c r="G24" s="373">
        <f t="shared" si="1"/>
        <v>11023200</v>
      </c>
      <c r="J24" s="420">
        <v>45098.0</v>
      </c>
      <c r="K24" s="374">
        <f>COUNTIFS('KIDS&amp;ADULTS'!$A$3:$A$492,J24,'KIDS&amp;ADULTS'!$B$3:$B$492,$K$3)</f>
        <v>0</v>
      </c>
      <c r="L24" s="374">
        <f>COUNTIFS('KIDS&amp;ADULTS'!$A$3:$A$54,J24,'KIDS&amp;ADULTS'!$B$3:$B$54,$L$3)</f>
        <v>0</v>
      </c>
      <c r="M24" s="375">
        <f>COUNTIFS('KIDS&amp;ADULTS'!$A$3:$A$573,J24,'KIDS&amp;ADULTS'!$B$3:$B$573,$M$3)</f>
        <v>0</v>
      </c>
      <c r="N24" s="375">
        <f>COUNTIFS('KIDS&amp;ADULTS'!$A$3:$A$492,J24,'KIDS&amp;ADULTS'!$B$3:$B$492,$N$3)</f>
        <v>0</v>
      </c>
      <c r="O24" s="375">
        <f>COUNTIFS('KIDS&amp;ADULTS'!$A$3:$A$280,J24,'KIDS&amp;ADULTS'!$B$3:$B$280,$O$3)</f>
        <v>0</v>
      </c>
      <c r="P24" s="375">
        <f>COUNTIFS('KIDS&amp;ADULTS'!$A$3:$A$1015,J24,'KIDS&amp;ADULTS'!$B$3:$B$1015,$P$3)</f>
        <v>0</v>
      </c>
      <c r="Q24" s="375">
        <f>COUNTIFS('KIDS&amp;ADULTS'!$A$3:$A$1015,J24,'KIDS&amp;ADULTS'!$B$3:$B$1015,$Q$3)</f>
        <v>0</v>
      </c>
      <c r="T24" s="420">
        <v>45098.0</v>
      </c>
      <c r="U24" s="376">
        <f>COUNTIFS('KIDS&amp;ADULTS'!$V$3:$V$492,T24,'KIDS&amp;ADULTS'!$B$3:$B$492,$K$3,'KIDS&amp;ADULTS'!$N$3:$N$492,"Đã đóng học phí")</f>
        <v>0</v>
      </c>
      <c r="V24" s="376">
        <f>COUNTIFS('KIDS&amp;ADULTS'!$V$3:$V$492,T24,'KIDS&amp;ADULTS'!$B$3:$B$492,$W$3,'KIDS&amp;ADULTS'!$N$3:$N$492,"Đã đóng học phí")</f>
        <v>0</v>
      </c>
      <c r="W24" s="376">
        <f>COUNTIFS('KIDS&amp;ADULTS'!$V$3:$V$492,T24,'KIDS&amp;ADULTS'!$B$3:$B$492,$W$3,'KIDS&amp;ADULTS'!$N$3:$N$492,"Đã đóng học phí")</f>
        <v>0</v>
      </c>
      <c r="X24" s="376">
        <f>COUNTIFS('KIDS&amp;ADULTS'!$V$3:$V$492,T24,'KIDS&amp;ADULTS'!$B$3:$B$492,$X$3,'KIDS&amp;ADULTS'!$N$3:$N$492,"Đã đóng học phí")</f>
        <v>2</v>
      </c>
      <c r="Y24" s="376">
        <f>COUNTIFS('KIDS&amp;ADULTS'!$V$3:$V$492,T24,'KIDS&amp;ADULTS'!$B$3:$B$492,$Y$3,'KIDS&amp;ADULTS'!$N$3:$N$492,"Đã đóng học phí")</f>
        <v>1</v>
      </c>
      <c r="Z24" s="376">
        <f>COUNTIFS('KIDS&amp;ADULTS'!$V$3:$V$492,T24,'KIDS&amp;ADULTS'!$B$3:$B$492,$Z$3,'KIDS&amp;ADULTS'!$N$3:$N$492,"Đã đóng học phí")</f>
        <v>0</v>
      </c>
      <c r="AA24" s="376">
        <f>COUNTIFS('KIDS&amp;ADULTS'!$V$3:$V$492,T24,'KIDS&amp;ADULTS'!$B$3:$B$492,$AA$3,'KIDS&amp;ADULTS'!$N$3:$N$492,"Đã đóng học phí")</f>
        <v>0</v>
      </c>
    </row>
    <row r="25" ht="15.75" customHeight="1">
      <c r="A25" s="420">
        <v>45099.0</v>
      </c>
      <c r="B25" s="373">
        <f>sumifs('KIDS&amp;ADULTS'!$Z$3:$Z$1015,'KIDS&amp;ADULTS'!$V$3:$V$1015,A25,'KIDS&amp;ADULTS'!$M$3:$M$1015,$B$3)</f>
        <v>0</v>
      </c>
      <c r="C25" s="373">
        <f>sumifs('KIDS&amp;ADULTS'!$Z$3:$Z$1015,'KIDS&amp;ADULTS'!$V$3:$V$1015,A25,'KIDS&amp;ADULTS'!$M$3:$M$1015,"phương")</f>
        <v>0</v>
      </c>
      <c r="D25" s="373">
        <f>sumifs('KIDS&amp;ADULTS'!$Z$3:$Z$1015,'KIDS&amp;ADULTS'!$V$3:$V$1015,A25,'KIDS&amp;ADULTS'!$M$3:$M$1015,$D$3)</f>
        <v>0</v>
      </c>
      <c r="E25" s="373">
        <f>sumifs('KIDS&amp;ADULTS'!$Z$3:$Z$1015,'KIDS&amp;ADULTS'!$V$3:$V$1015,A25,'KIDS&amp;ADULTS'!$M$3:$M$1015,"Ánh")</f>
        <v>15551800</v>
      </c>
      <c r="F25" s="373">
        <f>sumifs('KIDS&amp;ADULTS'!$Z$3:$Z$1015,'KIDS&amp;ADULTS'!$V$3:$V$1015,A25,'KIDS&amp;ADULTS'!$M$3:$M$1015,"Loan")</f>
        <v>0</v>
      </c>
      <c r="G25" s="373">
        <f t="shared" si="1"/>
        <v>15551800</v>
      </c>
      <c r="J25" s="420">
        <v>45099.0</v>
      </c>
      <c r="K25" s="374">
        <f>COUNTIFS('KIDS&amp;ADULTS'!$A$3:$A$492,J25,'KIDS&amp;ADULTS'!$B$3:$B$492,$K$3)</f>
        <v>0</v>
      </c>
      <c r="L25" s="374">
        <f>COUNTIFS('KIDS&amp;ADULTS'!$A$3:$A$94,J25,'KIDS&amp;ADULTS'!$B$3:$B$94,$L$3)</f>
        <v>0</v>
      </c>
      <c r="M25" s="375">
        <f>COUNTIFS('KIDS&amp;ADULTS'!$A$3:$A$573,J25,'KIDS&amp;ADULTS'!$B$3:$B$573,$M$3)</f>
        <v>0</v>
      </c>
      <c r="N25" s="375">
        <f>COUNTIFS('KIDS&amp;ADULTS'!$A$3:$A$492,J25,'KIDS&amp;ADULTS'!$B$3:$B$492,$N$3)</f>
        <v>0</v>
      </c>
      <c r="O25" s="375">
        <f>COUNTIFS('KIDS&amp;ADULTS'!$A$3:$A$280,J25,'KIDS&amp;ADULTS'!$B$3:$B$280,$O$3)</f>
        <v>3</v>
      </c>
      <c r="P25" s="375">
        <f>COUNTIFS('KIDS&amp;ADULTS'!$A$3:$A$1015,J25,'KIDS&amp;ADULTS'!$B$3:$B$1015,$P$3)</f>
        <v>0</v>
      </c>
      <c r="Q25" s="375">
        <f>COUNTIFS('KIDS&amp;ADULTS'!$A$3:$A$1015,J25,'KIDS&amp;ADULTS'!$B$3:$B$1015,$Q$3)</f>
        <v>1</v>
      </c>
      <c r="T25" s="420">
        <v>45099.0</v>
      </c>
      <c r="U25" s="376">
        <f>COUNTIFS('KIDS&amp;ADULTS'!$V$3:$V$492,T25,'KIDS&amp;ADULTS'!$B$3:$B$492,$K$3,'KIDS&amp;ADULTS'!$N$3:$N$492,"Đã đóng học phí")</f>
        <v>0</v>
      </c>
      <c r="V25" s="376">
        <f>COUNTIFS('KIDS&amp;ADULTS'!$V$3:$V$492,T25,'KIDS&amp;ADULTS'!$B$3:$B$492,$W$3,'KIDS&amp;ADULTS'!$N$3:$N$492,"Đã đóng học phí")</f>
        <v>0</v>
      </c>
      <c r="W25" s="376">
        <f>COUNTIFS('KIDS&amp;ADULTS'!$V$3:$V$492,T25,'KIDS&amp;ADULTS'!$B$3:$B$492,$W$3,'KIDS&amp;ADULTS'!$N$3:$N$492,"Đã đóng học phí")</f>
        <v>0</v>
      </c>
      <c r="X25" s="376">
        <f>COUNTIFS('KIDS&amp;ADULTS'!$V$3:$V$492,T25,'KIDS&amp;ADULTS'!$B$3:$B$492,$X$3,'KIDS&amp;ADULTS'!$N$3:$N$492,"Đã đóng học phí")</f>
        <v>1</v>
      </c>
      <c r="Y25" s="376">
        <f>COUNTIFS('KIDS&amp;ADULTS'!$V$3:$V$492,T25,'KIDS&amp;ADULTS'!$B$3:$B$492,$Y$3,'KIDS&amp;ADULTS'!$N$3:$N$492,"Đã đóng học phí")</f>
        <v>0</v>
      </c>
      <c r="Z25" s="376">
        <f>COUNTIFS('KIDS&amp;ADULTS'!$V$3:$V$492,T25,'KIDS&amp;ADULTS'!$B$3:$B$492,$Z$3,'KIDS&amp;ADULTS'!$N$3:$N$492,"Đã đóng học phí")</f>
        <v>0</v>
      </c>
      <c r="AA25" s="376">
        <f>COUNTIFS('KIDS&amp;ADULTS'!$V$3:$V$492,T25,'KIDS&amp;ADULTS'!$B$3:$B$492,$AA$3,'KIDS&amp;ADULTS'!$N$3:$N$492,"Đã đóng học phí")</f>
        <v>0</v>
      </c>
    </row>
    <row r="26" ht="15.75" customHeight="1">
      <c r="A26" s="420">
        <v>45100.0</v>
      </c>
      <c r="B26" s="373">
        <f>sumifs('KIDS&amp;ADULTS'!$Z$3:$Z$1015,'KIDS&amp;ADULTS'!$V$3:$V$1015,A26,'KIDS&amp;ADULTS'!$M$3:$M$1015,$B$3)</f>
        <v>0</v>
      </c>
      <c r="C26" s="373">
        <f>sumifs('KIDS&amp;ADULTS'!$Z$3:$Z$1015,'KIDS&amp;ADULTS'!$V$3:$V$1015,A26,'KIDS&amp;ADULTS'!$M$3:$M$1015,"phương")</f>
        <v>0</v>
      </c>
      <c r="D26" s="373">
        <f>sumifs('KIDS&amp;ADULTS'!$Z$3:$Z$1015,'KIDS&amp;ADULTS'!$V$3:$V$1015,A26,'KIDS&amp;ADULTS'!$M$3:$M$1015,$D$3)</f>
        <v>0</v>
      </c>
      <c r="E26" s="373">
        <f>sumifs('KIDS&amp;ADULTS'!$Z$3:$Z$1015,'KIDS&amp;ADULTS'!$V$3:$V$1015,A26,'KIDS&amp;ADULTS'!$M$3:$M$1015,"Ánh")</f>
        <v>4156250</v>
      </c>
      <c r="F26" s="373">
        <f>sumifs('KIDS&amp;ADULTS'!$Z$3:$Z$1015,'KIDS&amp;ADULTS'!$V$3:$V$1015,A26,'KIDS&amp;ADULTS'!$M$3:$M$1015,"Loan")</f>
        <v>0</v>
      </c>
      <c r="G26" s="373">
        <f t="shared" si="1"/>
        <v>4156250</v>
      </c>
      <c r="J26" s="420">
        <v>45100.0</v>
      </c>
      <c r="K26" s="374">
        <f>COUNTIFS('KIDS&amp;ADULTS'!$A$3:$A$492,J26,'KIDS&amp;ADULTS'!$B$3:$B$492,$K$3)</f>
        <v>0</v>
      </c>
      <c r="L26" s="374">
        <f>COUNTIFS('KIDS&amp;ADULTS'!$A$3:$A$54,J26,'KIDS&amp;ADULTS'!$B$3:$B$54,$L$3)</f>
        <v>0</v>
      </c>
      <c r="M26" s="375">
        <f>COUNTIFS('KIDS&amp;ADULTS'!$A$3:$A$573,J26,'KIDS&amp;ADULTS'!$B$3:$B$573,$M$3)</f>
        <v>0</v>
      </c>
      <c r="N26" s="375">
        <f>COUNTIFS('KIDS&amp;ADULTS'!$A$3:$A$492,J26,'KIDS&amp;ADULTS'!$B$3:$B$492,$N$3)</f>
        <v>0</v>
      </c>
      <c r="O26" s="375">
        <f>COUNTIFS('KIDS&amp;ADULTS'!$A$3:$A$280,J26,'KIDS&amp;ADULTS'!$B$3:$B$280,$O$3)</f>
        <v>2</v>
      </c>
      <c r="P26" s="375">
        <f>COUNTIFS('KIDS&amp;ADULTS'!$A$3:$A$1015,J26,'KIDS&amp;ADULTS'!$B$3:$B$1015,$P$3)</f>
        <v>0</v>
      </c>
      <c r="Q26" s="375">
        <f>COUNTIFS('KIDS&amp;ADULTS'!$A$3:$A$1015,J26,'KIDS&amp;ADULTS'!$B$3:$B$1015,$Q$3)</f>
        <v>0</v>
      </c>
      <c r="T26" s="420">
        <v>45100.0</v>
      </c>
      <c r="U26" s="376">
        <f>COUNTIFS('KIDS&amp;ADULTS'!$V$3:$V$492,T26,'KIDS&amp;ADULTS'!$B$3:$B$492,$K$3,'KIDS&amp;ADULTS'!$N$3:$N$492,"Đã đóng học phí")</f>
        <v>0</v>
      </c>
      <c r="V26" s="376">
        <f>COUNTIFS('KIDS&amp;ADULTS'!$V$3:$V$492,T26,'KIDS&amp;ADULTS'!$B$3:$B$492,$W$3,'KIDS&amp;ADULTS'!$N$3:$N$492,"Đã đóng học phí")</f>
        <v>0</v>
      </c>
      <c r="W26" s="376">
        <f>COUNTIFS('KIDS&amp;ADULTS'!$V$3:$V$492,T26,'KIDS&amp;ADULTS'!$B$3:$B$492,$W$3,'KIDS&amp;ADULTS'!$N$3:$N$492,"Đã đóng học phí")</f>
        <v>0</v>
      </c>
      <c r="X26" s="376">
        <f>COUNTIFS('KIDS&amp;ADULTS'!$V$3:$V$492,T26,'KIDS&amp;ADULTS'!$B$3:$B$492,$X$3,'KIDS&amp;ADULTS'!$N$3:$N$492,"Đã đóng học phí")</f>
        <v>0</v>
      </c>
      <c r="Y26" s="376">
        <f>COUNTIFS('KIDS&amp;ADULTS'!$V$3:$V$492,T26,'KIDS&amp;ADULTS'!$B$3:$B$492,$Y$3,'KIDS&amp;ADULTS'!$N$3:$N$492,"Đã đóng học phí")</f>
        <v>0</v>
      </c>
      <c r="Z26" s="376">
        <f>COUNTIFS('KIDS&amp;ADULTS'!$V$3:$V$492,T26,'KIDS&amp;ADULTS'!$B$3:$B$492,$Z$3,'KIDS&amp;ADULTS'!$N$3:$N$492,"Đã đóng học phí")</f>
        <v>0</v>
      </c>
      <c r="AA26" s="376">
        <f>COUNTIFS('KIDS&amp;ADULTS'!$V$3:$V$492,T26,'KIDS&amp;ADULTS'!$B$3:$B$492,$AA$3,'KIDS&amp;ADULTS'!$N$3:$N$492,"Đã đóng học phí")</f>
        <v>0</v>
      </c>
    </row>
    <row r="27" ht="15.75" customHeight="1">
      <c r="A27" s="420">
        <v>45101.0</v>
      </c>
      <c r="B27" s="373">
        <f>sumifs('KIDS&amp;ADULTS'!$Z$3:$Z$1015,'KIDS&amp;ADULTS'!$V$3:$V$1015,A27,'KIDS&amp;ADULTS'!$M$3:$M$1015,$B$3)</f>
        <v>0</v>
      </c>
      <c r="C27" s="373">
        <f>sumifs('KIDS&amp;ADULTS'!$Z$3:$Z$1015,'KIDS&amp;ADULTS'!$V$3:$V$1015,A27,'KIDS&amp;ADULTS'!$M$3:$M$1015,"phương")</f>
        <v>0</v>
      </c>
      <c r="D27" s="373">
        <f>sumifs('KIDS&amp;ADULTS'!$Z$3:$Z$1015,'KIDS&amp;ADULTS'!$V$3:$V$1015,A27,'KIDS&amp;ADULTS'!$M$3:$M$1015,$D$3)</f>
        <v>16632900</v>
      </c>
      <c r="E27" s="373">
        <f>sumifs('KIDS&amp;ADULTS'!$Z$3:$Z$1015,'KIDS&amp;ADULTS'!$V$3:$V$1015,A27,'KIDS&amp;ADULTS'!$M$3:$M$1015,"Ánh")</f>
        <v>0</v>
      </c>
      <c r="F27" s="373">
        <f>sumifs('KIDS&amp;ADULTS'!$Z$3:$Z$1015,'KIDS&amp;ADULTS'!$V$3:$V$1015,A27,'KIDS&amp;ADULTS'!$M$3:$M$1015,"Loan")</f>
        <v>0</v>
      </c>
      <c r="G27" s="373">
        <f t="shared" si="1"/>
        <v>16632900</v>
      </c>
      <c r="J27" s="420">
        <v>45101.0</v>
      </c>
      <c r="K27" s="374">
        <f>COUNTIFS('KIDS&amp;ADULTS'!$A$3:$A$492,J27,'KIDS&amp;ADULTS'!$B$3:$B$492,$K$3)</f>
        <v>0</v>
      </c>
      <c r="L27" s="374">
        <f>COUNTIFS('KIDS&amp;ADULTS'!$A$3:$A$54,J27,'KIDS&amp;ADULTS'!$B$3:$B$54,$L$3)</f>
        <v>0</v>
      </c>
      <c r="M27" s="375">
        <f>COUNTIFS('KIDS&amp;ADULTS'!$A$3:$A$573,J27,'KIDS&amp;ADULTS'!$B$3:$B$573,$M$3)</f>
        <v>0</v>
      </c>
      <c r="N27" s="375">
        <f>COUNTIFS('KIDS&amp;ADULTS'!$A$3:$A$492,J27,'KIDS&amp;ADULTS'!$B$3:$B$492,$N$3)</f>
        <v>0</v>
      </c>
      <c r="O27" s="375">
        <f>COUNTIFS('KIDS&amp;ADULTS'!$A$3:$A$280,J27,'KIDS&amp;ADULTS'!$B$3:$B$280,$O$3)</f>
        <v>1</v>
      </c>
      <c r="P27" s="375">
        <f>COUNTIFS('KIDS&amp;ADULTS'!$A$3:$A$1015,J27,'KIDS&amp;ADULTS'!$B$3:$B$1015,$P$3)</f>
        <v>0</v>
      </c>
      <c r="Q27" s="375">
        <f>COUNTIFS('KIDS&amp;ADULTS'!$A$3:$A$1015,J27,'KIDS&amp;ADULTS'!$B$3:$B$1015,$Q$3)</f>
        <v>1</v>
      </c>
      <c r="T27" s="420">
        <v>45101.0</v>
      </c>
      <c r="U27" s="376">
        <f>COUNTIFS('KIDS&amp;ADULTS'!$V$3:$V$492,T27,'KIDS&amp;ADULTS'!$B$3:$B$492,$K$3,'KIDS&amp;ADULTS'!$N$3:$N$492,"Đã đóng học phí")</f>
        <v>0</v>
      </c>
      <c r="V27" s="376">
        <f>COUNTIFS('KIDS&amp;ADULTS'!$V$3:$V$492,T27,'KIDS&amp;ADULTS'!$B$3:$B$492,$W$3,'KIDS&amp;ADULTS'!$N$3:$N$492,"Đã đóng học phí")</f>
        <v>0</v>
      </c>
      <c r="W27" s="376">
        <f>COUNTIFS('KIDS&amp;ADULTS'!$V$3:$V$492,T27,'KIDS&amp;ADULTS'!$B$3:$B$492,$W$3,'KIDS&amp;ADULTS'!$N$3:$N$492,"Đã đóng học phí")</f>
        <v>0</v>
      </c>
      <c r="X27" s="376">
        <f>COUNTIFS('KIDS&amp;ADULTS'!$V$3:$V$492,T27,'KIDS&amp;ADULTS'!$B$3:$B$492,$X$3,'KIDS&amp;ADULTS'!$N$3:$N$492,"Đã đóng học phí")</f>
        <v>0</v>
      </c>
      <c r="Y27" s="376">
        <f>COUNTIFS('KIDS&amp;ADULTS'!$V$3:$V$492,T27,'KIDS&amp;ADULTS'!$B$3:$B$492,$Y$3,'KIDS&amp;ADULTS'!$N$3:$N$492,"Đã đóng học phí")</f>
        <v>0</v>
      </c>
      <c r="Z27" s="376">
        <f>COUNTIFS('KIDS&amp;ADULTS'!$V$3:$V$492,T27,'KIDS&amp;ADULTS'!$B$3:$B$492,$Z$3,'KIDS&amp;ADULTS'!$N$3:$N$492,"Đã đóng học phí")</f>
        <v>0</v>
      </c>
      <c r="AA27" s="376">
        <f>COUNTIFS('KIDS&amp;ADULTS'!$V$3:$V$492,T27,'KIDS&amp;ADULTS'!$B$3:$B$492,$AA$3,'KIDS&amp;ADULTS'!$N$3:$N$492,"Đã đóng học phí")</f>
        <v>0</v>
      </c>
    </row>
    <row r="28" ht="15.75" customHeight="1">
      <c r="A28" s="420">
        <v>45102.0</v>
      </c>
      <c r="B28" s="373">
        <f>sumifs('KIDS&amp;ADULTS'!$Z$3:$Z$1015,'KIDS&amp;ADULTS'!$V$3:$V$1015,A28,'KIDS&amp;ADULTS'!$M$3:$M$1015,$B$3)</f>
        <v>0</v>
      </c>
      <c r="C28" s="373">
        <f>sumifs('KIDS&amp;ADULTS'!$Z$3:$Z$1015,'KIDS&amp;ADULTS'!$V$3:$V$1015,A28,'KIDS&amp;ADULTS'!$M$3:$M$1015,"phương")</f>
        <v>0</v>
      </c>
      <c r="D28" s="373">
        <f>sumifs('KIDS&amp;ADULTS'!$Z$3:$Z$1015,'KIDS&amp;ADULTS'!$V$3:$V$1015,A28,'KIDS&amp;ADULTS'!$M$3:$M$1015,$D$3)</f>
        <v>0</v>
      </c>
      <c r="E28" s="373">
        <f>sumifs('KIDS&amp;ADULTS'!$Z$3:$Z$1015,'KIDS&amp;ADULTS'!$V$3:$V$1015,A28,'KIDS&amp;ADULTS'!$M$3:$M$1015,"Ánh")</f>
        <v>3325400</v>
      </c>
      <c r="F28" s="373">
        <f>sumifs('KIDS&amp;ADULTS'!$Z$3:$Z$1015,'KIDS&amp;ADULTS'!$V$3:$V$1015,A28,'KIDS&amp;ADULTS'!$M$3:$M$1015,"Loan")</f>
        <v>0</v>
      </c>
      <c r="G28" s="373">
        <f t="shared" si="1"/>
        <v>3325400</v>
      </c>
      <c r="J28" s="420">
        <v>45102.0</v>
      </c>
      <c r="K28" s="374">
        <f>COUNTIFS('KIDS&amp;ADULTS'!$A$3:$A$492,J28,'KIDS&amp;ADULTS'!$B$3:$B$492,$K$3)</f>
        <v>0</v>
      </c>
      <c r="L28" s="374">
        <f>COUNTIFS('KIDS&amp;ADULTS'!$A$3:$A$280,J28,'KIDS&amp;ADULTS'!$B$3:$B$280,$L$3)</f>
        <v>0</v>
      </c>
      <c r="M28" s="375">
        <f>COUNTIFS('KIDS&amp;ADULTS'!$A$3:$A$573,J28,'KIDS&amp;ADULTS'!$B$3:$B$573,$M$3)</f>
        <v>0</v>
      </c>
      <c r="N28" s="375">
        <f>COUNTIFS('KIDS&amp;ADULTS'!$A$3:$A$492,J28,'KIDS&amp;ADULTS'!$B$3:$B$492,$N$3)</f>
        <v>0</v>
      </c>
      <c r="O28" s="375">
        <f>COUNTIFS('KIDS&amp;ADULTS'!$A$3:$A$280,J28,'KIDS&amp;ADULTS'!$B$3:$B$280,$O$3)</f>
        <v>0</v>
      </c>
      <c r="P28" s="375">
        <f>COUNTIFS('KIDS&amp;ADULTS'!$A$3:$A$1015,J28,'KIDS&amp;ADULTS'!$B$3:$B$1015,$P$3)</f>
        <v>0</v>
      </c>
      <c r="Q28" s="375">
        <f>COUNTIFS('KIDS&amp;ADULTS'!$A$3:$A$1015,J28,'KIDS&amp;ADULTS'!$B$3:$B$1015,$Q$3)</f>
        <v>0</v>
      </c>
      <c r="T28" s="420">
        <v>45102.0</v>
      </c>
      <c r="U28" s="376">
        <f>COUNTIFS('KIDS&amp;ADULTS'!$V$3:$V$492,T28,'KIDS&amp;ADULTS'!$B$3:$B$492,$K$3,'KIDS&amp;ADULTS'!$N$3:$N$492,"Đã đóng học phí")</f>
        <v>0</v>
      </c>
      <c r="V28" s="376">
        <f>COUNTIFS('KIDS&amp;ADULTS'!$V$3:$V$492,T28,'KIDS&amp;ADULTS'!$B$3:$B$492,$W$3,'KIDS&amp;ADULTS'!$N$3:$N$492,"Đã đóng học phí")</f>
        <v>0</v>
      </c>
      <c r="W28" s="376">
        <f>COUNTIFS('KIDS&amp;ADULTS'!$V$3:$V$492,T28,'KIDS&amp;ADULTS'!$B$3:$B$492,$W$3,'KIDS&amp;ADULTS'!$N$3:$N$492,"Đã đóng học phí")</f>
        <v>0</v>
      </c>
      <c r="X28" s="376">
        <f>COUNTIFS('KIDS&amp;ADULTS'!$V$3:$V$492,T28,'KIDS&amp;ADULTS'!$B$3:$B$492,$X$3,'KIDS&amp;ADULTS'!$N$3:$N$492,"Đã đóng học phí")</f>
        <v>0</v>
      </c>
      <c r="Y28" s="376">
        <f>COUNTIFS('KIDS&amp;ADULTS'!$V$3:$V$492,T28,'KIDS&amp;ADULTS'!$B$3:$B$492,$Y$3,'KIDS&amp;ADULTS'!$N$3:$N$492,"Đã đóng học phí")</f>
        <v>1</v>
      </c>
      <c r="Z28" s="376">
        <f>COUNTIFS('KIDS&amp;ADULTS'!$V$3:$V$492,T28,'KIDS&amp;ADULTS'!$B$3:$B$492,$Z$3,'KIDS&amp;ADULTS'!$N$3:$N$492,"Đã đóng học phí")</f>
        <v>0</v>
      </c>
      <c r="AA28" s="376">
        <f>COUNTIFS('KIDS&amp;ADULTS'!$V$3:$V$492,T28,'KIDS&amp;ADULTS'!$B$3:$B$492,$AA$3,'KIDS&amp;ADULTS'!$N$3:$N$492,"Đã đóng học phí")</f>
        <v>0</v>
      </c>
    </row>
    <row r="29" ht="15.75" customHeight="1">
      <c r="A29" s="420">
        <v>45103.0</v>
      </c>
      <c r="B29" s="373">
        <f>sumifs('KIDS&amp;ADULTS'!$Z$3:$Z$1015,'KIDS&amp;ADULTS'!$V$3:$V$1015,A29,'KIDS&amp;ADULTS'!$M$3:$M$1015,$B$3)</f>
        <v>0</v>
      </c>
      <c r="C29" s="373">
        <f>sumifs('KIDS&amp;ADULTS'!$Z$3:$Z$1015,'KIDS&amp;ADULTS'!$V$3:$V$1015,A29,'KIDS&amp;ADULTS'!$M$3:$M$1015,"phương")</f>
        <v>0</v>
      </c>
      <c r="D29" s="373">
        <f>sumifs('KIDS&amp;ADULTS'!$Z$3:$Z$1015,'KIDS&amp;ADULTS'!$V$3:$V$1015,A29,'KIDS&amp;ADULTS'!$M$3:$M$1015,$D$3)</f>
        <v>7457500</v>
      </c>
      <c r="E29" s="373">
        <f>sumifs('KIDS&amp;ADULTS'!$Z$3:$Z$1015,'KIDS&amp;ADULTS'!$V$3:$V$1015,A29,'KIDS&amp;ADULTS'!$M$3:$M$1015,"Ánh")</f>
        <v>5205400</v>
      </c>
      <c r="F29" s="373">
        <f>sumifs('KIDS&amp;ADULTS'!$Z$3:$Z$1015,'KIDS&amp;ADULTS'!$V$3:$V$1015,A29,'KIDS&amp;ADULTS'!$M$3:$M$1015,"Loan")</f>
        <v>10254638</v>
      </c>
      <c r="G29" s="373">
        <f t="shared" si="1"/>
        <v>22917538</v>
      </c>
      <c r="J29" s="420">
        <v>45103.0</v>
      </c>
      <c r="K29" s="374">
        <f>COUNTIFS('KIDS&amp;ADULTS'!$A$3:$A$492,J29,'KIDS&amp;ADULTS'!$B$3:$B$492,$K$3)</f>
        <v>0</v>
      </c>
      <c r="L29" s="374">
        <f>COUNTIFS('KIDS&amp;ADULTS'!$A$3:$A$280,J29,'KIDS&amp;ADULTS'!$B$3:$B$280,$L$3)</f>
        <v>0</v>
      </c>
      <c r="M29" s="375">
        <f>COUNTIFS('KIDS&amp;ADULTS'!$A$3:$A$573,J29,'KIDS&amp;ADULTS'!$B$3:$B$573,$M$3)</f>
        <v>0</v>
      </c>
      <c r="N29" s="375">
        <f>COUNTIFS('KIDS&amp;ADULTS'!$A$3:$A$492,J29,'KIDS&amp;ADULTS'!$B$3:$B$492,$N$3)</f>
        <v>0</v>
      </c>
      <c r="O29" s="375">
        <f>COUNTIFS('KIDS&amp;ADULTS'!$A$3:$A$280,J29,'KIDS&amp;ADULTS'!$B$3:$B$280,$O$3)</f>
        <v>0</v>
      </c>
      <c r="P29" s="375">
        <f>COUNTIFS('KIDS&amp;ADULTS'!$A$3:$A$1015,J29,'KIDS&amp;ADULTS'!$B$3:$B$1015,$P$3)</f>
        <v>1</v>
      </c>
      <c r="Q29" s="375">
        <f>COUNTIFS('KIDS&amp;ADULTS'!$A$3:$A$1015,J29,'KIDS&amp;ADULTS'!$B$3:$B$1015,$Q$3)</f>
        <v>0</v>
      </c>
      <c r="T29" s="420">
        <v>45103.0</v>
      </c>
      <c r="U29" s="376">
        <f>COUNTIFS('KIDS&amp;ADULTS'!$V$3:$V$492,T29,'KIDS&amp;ADULTS'!$B$3:$B$492,$K$3,'KIDS&amp;ADULTS'!$N$3:$N$492,"Đã đóng học phí")</f>
        <v>0</v>
      </c>
      <c r="V29" s="376">
        <f>COUNTIFS('KIDS&amp;ADULTS'!$V$3:$V$492,T29,'KIDS&amp;ADULTS'!$B$3:$B$492,$W$3,'KIDS&amp;ADULTS'!$N$3:$N$492,"Đã đóng học phí")</f>
        <v>0</v>
      </c>
      <c r="W29" s="376">
        <f>COUNTIFS('KIDS&amp;ADULTS'!$V$3:$V$492,T29,'KIDS&amp;ADULTS'!$B$3:$B$492,$W$3,'KIDS&amp;ADULTS'!$N$3:$N$492,"Đã đóng học phí")</f>
        <v>0</v>
      </c>
      <c r="X29" s="376">
        <f>COUNTIFS('KIDS&amp;ADULTS'!$V$3:$V$492,T29,'KIDS&amp;ADULTS'!$B$3:$B$492,$X$3,'KIDS&amp;ADULTS'!$N$3:$N$492,"Đã đóng học phí")</f>
        <v>3</v>
      </c>
      <c r="Y29" s="376">
        <f>COUNTIFS('KIDS&amp;ADULTS'!$V$3:$V$492,T29,'KIDS&amp;ADULTS'!$B$3:$B$492,$Y$3,'KIDS&amp;ADULTS'!$N$3:$N$492,"Đã đóng học phí")</f>
        <v>0</v>
      </c>
      <c r="Z29" s="376">
        <f>COUNTIFS('KIDS&amp;ADULTS'!$V$3:$V$492,T29,'KIDS&amp;ADULTS'!$B$3:$B$492,$Z$3,'KIDS&amp;ADULTS'!$N$3:$N$492,"Đã đóng học phí")</f>
        <v>0</v>
      </c>
      <c r="AA29" s="376">
        <f>COUNTIFS('KIDS&amp;ADULTS'!$V$3:$V$492,T29,'KIDS&amp;ADULTS'!$B$3:$B$492,$AA$3,'KIDS&amp;ADULTS'!$N$3:$N$492,"Đã đóng học phí")</f>
        <v>0</v>
      </c>
    </row>
    <row r="30" ht="15.75" customHeight="1">
      <c r="A30" s="420">
        <v>45104.0</v>
      </c>
      <c r="B30" s="373">
        <f>sumifs('KIDS&amp;ADULTS'!$Z$3:$Z$1015,'KIDS&amp;ADULTS'!$V$3:$V$1015,A30,'KIDS&amp;ADULTS'!$M$3:$M$1015,$B$3)</f>
        <v>0</v>
      </c>
      <c r="C30" s="373">
        <f>sumifs('KIDS&amp;ADULTS'!$Z$3:$Z$1015,'KIDS&amp;ADULTS'!$V$3:$V$1015,A30,'KIDS&amp;ADULTS'!$M$3:$M$1015,"phương")</f>
        <v>0</v>
      </c>
      <c r="D30" s="373">
        <f>sumifs('KIDS&amp;ADULTS'!$Z$3:$Z$1015,'KIDS&amp;ADULTS'!$V$3:$V$1015,A30,'KIDS&amp;ADULTS'!$M$3:$M$1015,$D$3)</f>
        <v>0</v>
      </c>
      <c r="E30" s="373">
        <f>sumifs('KIDS&amp;ADULTS'!$Z$3:$Z$1015,'KIDS&amp;ADULTS'!$V$3:$V$1015,A30,'KIDS&amp;ADULTS'!$M$3:$M$1015,"Ánh")</f>
        <v>0</v>
      </c>
      <c r="F30" s="373">
        <f>sumifs('KIDS&amp;ADULTS'!$Z$3:$Z$1015,'KIDS&amp;ADULTS'!$V$3:$V$1015,A30,'KIDS&amp;ADULTS'!$M$3:$M$1015,"Loan")</f>
        <v>5205400</v>
      </c>
      <c r="G30" s="373">
        <f t="shared" si="1"/>
        <v>5205400</v>
      </c>
      <c r="J30" s="420">
        <v>45104.0</v>
      </c>
      <c r="K30" s="374">
        <f>COUNTIFS('KIDS&amp;ADULTS'!$A$3:$A$492,J30,'KIDS&amp;ADULTS'!$B$3:$B$492,$K$3)</f>
        <v>0</v>
      </c>
      <c r="L30" s="374">
        <f>COUNTIFS('KIDS&amp;ADULTS'!$A$3:$A$280,J30,'KIDS&amp;ADULTS'!$B$3:$B$280,$L$3)</f>
        <v>0</v>
      </c>
      <c r="M30" s="375">
        <f>COUNTIFS('KIDS&amp;ADULTS'!$A$3:$A$573,J30,'KIDS&amp;ADULTS'!$B$3:$B$573,$M$3)</f>
        <v>1</v>
      </c>
      <c r="N30" s="375">
        <f>COUNTIFS('KIDS&amp;ADULTS'!$A$3:$A$492,J30,'KIDS&amp;ADULTS'!$B$3:$B$492,$N$3)</f>
        <v>0</v>
      </c>
      <c r="O30" s="375">
        <f>COUNTIFS('KIDS&amp;ADULTS'!$A$3:$A$280,J30,'KIDS&amp;ADULTS'!$B$3:$B$280,$O$3)</f>
        <v>0</v>
      </c>
      <c r="P30" s="375">
        <f>COUNTIFS('KIDS&amp;ADULTS'!$A$3:$A$1015,J30,'KIDS&amp;ADULTS'!$B$3:$B$1015,$P$3)</f>
        <v>4</v>
      </c>
      <c r="Q30" s="375">
        <f>COUNTIFS('KIDS&amp;ADULTS'!$A$3:$A$1015,J30,'KIDS&amp;ADULTS'!$B$3:$B$1015,$Q$3)</f>
        <v>2</v>
      </c>
      <c r="T30" s="420">
        <v>45104.0</v>
      </c>
      <c r="U30" s="376">
        <f>COUNTIFS('KIDS&amp;ADULTS'!$V$3:$V$492,T30,'KIDS&amp;ADULTS'!$B$3:$B$492,$K$3,'KIDS&amp;ADULTS'!$N$3:$N$492,"Đã đóng học phí")</f>
        <v>0</v>
      </c>
      <c r="V30" s="376">
        <f>COUNTIFS('KIDS&amp;ADULTS'!$V$3:$V$492,T30,'KIDS&amp;ADULTS'!$B$3:$B$492,$W$3,'KIDS&amp;ADULTS'!$N$3:$N$492,"Đã đóng học phí")</f>
        <v>0</v>
      </c>
      <c r="W30" s="376">
        <f>COUNTIFS('KIDS&amp;ADULTS'!$V$3:$V$492,T30,'KIDS&amp;ADULTS'!$B$3:$B$492,$W$3,'KIDS&amp;ADULTS'!$N$3:$N$492,"Đã đóng học phí")</f>
        <v>0</v>
      </c>
      <c r="X30" s="376">
        <f>COUNTIFS('KIDS&amp;ADULTS'!$V$3:$V$492,T30,'KIDS&amp;ADULTS'!$B$3:$B$492,$X$3,'KIDS&amp;ADULTS'!$N$3:$N$492,"Đã đóng học phí")</f>
        <v>1</v>
      </c>
      <c r="Y30" s="376">
        <f>COUNTIFS('KIDS&amp;ADULTS'!$V$3:$V$492,T30,'KIDS&amp;ADULTS'!$B$3:$B$492,$Y$3,'KIDS&amp;ADULTS'!$N$3:$N$492,"Đã đóng học phí")</f>
        <v>0</v>
      </c>
      <c r="Z30" s="376">
        <f>COUNTIFS('KIDS&amp;ADULTS'!$V$3:$V$492,T30,'KIDS&amp;ADULTS'!$B$3:$B$492,$Z$3,'KIDS&amp;ADULTS'!$N$3:$N$492,"Đã đóng học phí")</f>
        <v>0</v>
      </c>
      <c r="AA30" s="376">
        <f>COUNTIFS('KIDS&amp;ADULTS'!$V$3:$V$492,T30,'KIDS&amp;ADULTS'!$B$3:$B$492,$AA$3,'KIDS&amp;ADULTS'!$N$3:$N$492,"Đã đóng học phí")</f>
        <v>0</v>
      </c>
    </row>
    <row r="31" ht="15.75" customHeight="1">
      <c r="A31" s="420">
        <v>45105.0</v>
      </c>
      <c r="B31" s="373">
        <f>sumifs('KIDS&amp;ADULTS'!$Z$3:$Z$1015,'KIDS&amp;ADULTS'!$V$3:$V$1015,A31,'KIDS&amp;ADULTS'!$M$3:$M$1015,$B$3)</f>
        <v>0</v>
      </c>
      <c r="C31" s="373">
        <f>sumifs('KIDS&amp;ADULTS'!$Z$3:$Z$1015,'KIDS&amp;ADULTS'!$V$3:$V$1015,A31,'KIDS&amp;ADULTS'!$M$3:$M$1015,"phương")</f>
        <v>0</v>
      </c>
      <c r="D31" s="373">
        <f>sumifs('KIDS&amp;ADULTS'!$Z$3:$Z$1015,'KIDS&amp;ADULTS'!$V$3:$V$1015,A31,'KIDS&amp;ADULTS'!$M$3:$M$1015,$D$3)</f>
        <v>4348600</v>
      </c>
      <c r="E31" s="373">
        <f>sumifs('KIDS&amp;ADULTS'!$Z$3:$Z$1015,'KIDS&amp;ADULTS'!$V$3:$V$1015,A31,'KIDS&amp;ADULTS'!$M$3:$M$1015,"Ánh")</f>
        <v>8312500</v>
      </c>
      <c r="F31" s="373">
        <f>sumifs('KIDS&amp;ADULTS'!$Z$3:$Z$1015,'KIDS&amp;ADULTS'!$V$3:$V$1015,A31,'KIDS&amp;ADULTS'!$M$3:$M$1015,"Loan")</f>
        <v>0</v>
      </c>
      <c r="G31" s="373">
        <f t="shared" si="1"/>
        <v>12661100</v>
      </c>
      <c r="J31" s="420">
        <v>45105.0</v>
      </c>
      <c r="K31" s="374">
        <f>COUNTIFS('KIDS&amp;ADULTS'!$A$3:$A$492,J31,'KIDS&amp;ADULTS'!$B$3:$B$492,$K$3)</f>
        <v>0</v>
      </c>
      <c r="L31" s="374">
        <f>COUNTIFS('KIDS&amp;ADULTS'!$A$3:$A$280,J31,'KIDS&amp;ADULTS'!$B$3:$B$280,$L$3)</f>
        <v>0</v>
      </c>
      <c r="M31" s="375">
        <f>COUNTIFS('KIDS&amp;ADULTS'!$A$3:$A$573,J31,'KIDS&amp;ADULTS'!$B$3:$B$573,$M$3)</f>
        <v>0</v>
      </c>
      <c r="N31" s="375">
        <f>COUNTIFS('KIDS&amp;ADULTS'!$A$3:$A$492,J31,'KIDS&amp;ADULTS'!$B$3:$B$492,$N$3)</f>
        <v>0</v>
      </c>
      <c r="O31" s="375">
        <f>COUNTIFS('KIDS&amp;ADULTS'!$A$3:$A$280,J31,'KIDS&amp;ADULTS'!$B$3:$B$280,$O$3)</f>
        <v>0</v>
      </c>
      <c r="P31" s="375">
        <f>COUNTIFS('KIDS&amp;ADULTS'!$A$3:$A$1015,J31,'KIDS&amp;ADULTS'!$B$3:$B$1015,$P$3)</f>
        <v>2</v>
      </c>
      <c r="Q31" s="375">
        <f>COUNTIFS('KIDS&amp;ADULTS'!$A$3:$A$1015,J31,'KIDS&amp;ADULTS'!$B$3:$B$1015,$Q$3)</f>
        <v>9</v>
      </c>
      <c r="T31" s="420">
        <v>45105.0</v>
      </c>
      <c r="U31" s="376">
        <f>COUNTIFS('KIDS&amp;ADULTS'!$V$3:$V$492,T31,'KIDS&amp;ADULTS'!$B$3:$B$492,$K$3,'KIDS&amp;ADULTS'!$N$3:$N$492,"Đã đóng học phí")</f>
        <v>0</v>
      </c>
      <c r="V31" s="376">
        <f>COUNTIFS('KIDS&amp;ADULTS'!$V$3:$V$492,T31,'KIDS&amp;ADULTS'!$B$3:$B$492,$W$3,'KIDS&amp;ADULTS'!$N$3:$N$492,"Đã đóng học phí")</f>
        <v>0</v>
      </c>
      <c r="W31" s="376">
        <f>COUNTIFS('KIDS&amp;ADULTS'!$V$3:$V$492,T31,'KIDS&amp;ADULTS'!$B$3:$B$492,$W$3,'KIDS&amp;ADULTS'!$N$3:$N$492,"Đã đóng học phí")</f>
        <v>0</v>
      </c>
      <c r="X31" s="376">
        <f>COUNTIFS('KIDS&amp;ADULTS'!$V$3:$V$492,T31,'KIDS&amp;ADULTS'!$B$3:$B$492,$X$3,'KIDS&amp;ADULTS'!$N$3:$N$492,"Đã đóng học phí")</f>
        <v>0</v>
      </c>
      <c r="Y31" s="376">
        <f>COUNTIFS('KIDS&amp;ADULTS'!$V$3:$V$492,T31,'KIDS&amp;ADULTS'!$B$3:$B$492,$Y$3,'KIDS&amp;ADULTS'!$N$3:$N$492,"Đã đóng học phí")</f>
        <v>1</v>
      </c>
      <c r="Z31" s="376">
        <f>COUNTIFS('KIDS&amp;ADULTS'!$V$3:$V$492,T31,'KIDS&amp;ADULTS'!$B$3:$B$492,$Z$3,'KIDS&amp;ADULTS'!$N$3:$N$492,"Đã đóng học phí")</f>
        <v>0</v>
      </c>
      <c r="AA31" s="376">
        <f>COUNTIFS('KIDS&amp;ADULTS'!$V$3:$V$492,T31,'KIDS&amp;ADULTS'!$B$3:$B$492,$AA$3,'KIDS&amp;ADULTS'!$N$3:$N$492,"Đã đóng học phí")</f>
        <v>0</v>
      </c>
    </row>
    <row r="32" ht="15.75" customHeight="1">
      <c r="A32" s="420">
        <v>45106.0</v>
      </c>
      <c r="B32" s="373">
        <f>sumifs('KIDS&amp;ADULTS'!$Z$3:$Z$1015,'KIDS&amp;ADULTS'!$V$3:$V$1015,A32,'KIDS&amp;ADULTS'!$M$3:$M$1015,$B$3)</f>
        <v>0</v>
      </c>
      <c r="C32" s="373">
        <f>sumifs('KIDS&amp;ADULTS'!$Z$3:$Z$1015,'KIDS&amp;ADULTS'!$V$3:$V$1015,A32,'KIDS&amp;ADULTS'!$M$3:$M$1015,"phương")</f>
        <v>9897200</v>
      </c>
      <c r="D32" s="373">
        <f>sumifs('KIDS&amp;ADULTS'!$Z$3:$Z$1015,'KIDS&amp;ADULTS'!$V$3:$V$1015,A32,'KIDS&amp;ADULTS'!$M$3:$M$1015,$D$3)</f>
        <v>2910000</v>
      </c>
      <c r="E32" s="373">
        <f>sumifs('KIDS&amp;ADULTS'!$Z$3:$Z$1015,'KIDS&amp;ADULTS'!$V$3:$V$1015,A32,'KIDS&amp;ADULTS'!$M$3:$M$1015,"Ánh")</f>
        <v>5205400</v>
      </c>
      <c r="F32" s="373">
        <f>sumifs('KIDS&amp;ADULTS'!$Z$3:$Z$1015,'KIDS&amp;ADULTS'!$V$3:$V$1015,A32,'KIDS&amp;ADULTS'!$M$3:$M$1015,"Loan")</f>
        <v>0</v>
      </c>
      <c r="G32" s="373">
        <f t="shared" si="1"/>
        <v>18012600</v>
      </c>
      <c r="J32" s="420">
        <v>45106.0</v>
      </c>
      <c r="K32" s="374">
        <f>COUNTIFS('KIDS&amp;ADULTS'!$A$3:$A$492,J32,'KIDS&amp;ADULTS'!$B$3:$B$492,$K$3)</f>
        <v>0</v>
      </c>
      <c r="L32" s="374">
        <f>COUNTIFS('KIDS&amp;ADULTS'!$A$3:$A$280,J32,'KIDS&amp;ADULTS'!$B$3:$B$280,$L$3)</f>
        <v>0</v>
      </c>
      <c r="M32" s="375">
        <f>COUNTIFS('KIDS&amp;ADULTS'!$A$3:$A$573,J32,'KIDS&amp;ADULTS'!$B$3:$B$573,$M$3)</f>
        <v>2</v>
      </c>
      <c r="N32" s="375">
        <f>COUNTIFS('KIDS&amp;ADULTS'!$A$3:$A$492,J32,'KIDS&amp;ADULTS'!$B$3:$B$492,$N$3)</f>
        <v>0</v>
      </c>
      <c r="O32" s="375">
        <f>COUNTIFS('KIDS&amp;ADULTS'!$A$3:$A$280,J32,'KIDS&amp;ADULTS'!$B$3:$B$280,$O$3)</f>
        <v>0</v>
      </c>
      <c r="P32" s="375">
        <f>COUNTIFS('KIDS&amp;ADULTS'!$A$3:$A$1015,J32,'KIDS&amp;ADULTS'!$B$3:$B$1015,$P$3)</f>
        <v>3</v>
      </c>
      <c r="Q32" s="375">
        <f>COUNTIFS('KIDS&amp;ADULTS'!$A$3:$A$1015,J32,'KIDS&amp;ADULTS'!$B$3:$B$1015,$Q$3)</f>
        <v>0</v>
      </c>
      <c r="T32" s="420">
        <v>45106.0</v>
      </c>
      <c r="U32" s="376">
        <f>COUNTIFS('KIDS&amp;ADULTS'!$V$3:$V$492,T32,'KIDS&amp;ADULTS'!$B$3:$B$492,$K$3,'KIDS&amp;ADULTS'!$N$3:$N$492,"Đã đóng học phí")</f>
        <v>0</v>
      </c>
      <c r="V32" s="376">
        <f>COUNTIFS('KIDS&amp;ADULTS'!$V$3:$V$492,T32,'KIDS&amp;ADULTS'!$B$3:$B$492,$W$3,'KIDS&amp;ADULTS'!$N$3:$N$492,"Đã đóng học phí")</f>
        <v>0</v>
      </c>
      <c r="W32" s="376">
        <f>COUNTIFS('KIDS&amp;ADULTS'!$V$3:$V$492,T32,'KIDS&amp;ADULTS'!$B$3:$B$492,$W$3,'KIDS&amp;ADULTS'!$N$3:$N$492,"Đã đóng học phí")</f>
        <v>0</v>
      </c>
      <c r="X32" s="376">
        <f>COUNTIFS('KIDS&amp;ADULTS'!$V$3:$V$492,T32,'KIDS&amp;ADULTS'!$B$3:$B$492,$X$3,'KIDS&amp;ADULTS'!$N$3:$N$492,"Đã đóng học phí")</f>
        <v>1</v>
      </c>
      <c r="Y32" s="376">
        <f>COUNTIFS('KIDS&amp;ADULTS'!$V$3:$V$492,T32,'KIDS&amp;ADULTS'!$B$3:$B$492,$Y$3,'KIDS&amp;ADULTS'!$N$3:$N$492,"Đã đóng học phí")</f>
        <v>0</v>
      </c>
      <c r="Z32" s="376">
        <f>COUNTIFS('KIDS&amp;ADULTS'!$V$3:$V$492,T32,'KIDS&amp;ADULTS'!$B$3:$B$492,$Z$3,'KIDS&amp;ADULTS'!$N$3:$N$492,"Đã đóng học phí")</f>
        <v>0</v>
      </c>
      <c r="AA32" s="376">
        <f>COUNTIFS('KIDS&amp;ADULTS'!$V$3:$V$492,T32,'KIDS&amp;ADULTS'!$B$3:$B$492,$AA$3,'KIDS&amp;ADULTS'!$N$3:$N$492,"Đã đóng học phí")</f>
        <v>0</v>
      </c>
    </row>
    <row r="33" ht="15.75" customHeight="1">
      <c r="A33" s="420">
        <v>45107.0</v>
      </c>
      <c r="B33" s="373">
        <f>sumifs('KIDS&amp;ADULTS'!$Z$3:$Z$1015,'KIDS&amp;ADULTS'!$V$3:$V$1015,A33,'KIDS&amp;ADULTS'!$M$3:$M$1015,$B$3)</f>
        <v>0</v>
      </c>
      <c r="C33" s="373">
        <f>sumifs('KIDS&amp;ADULTS'!$Z$3:$Z$1015,'KIDS&amp;ADULTS'!$V$3:$V$1015,A33,'KIDS&amp;ADULTS'!$M$3:$M$1015,"phương")</f>
        <v>0</v>
      </c>
      <c r="D33" s="373">
        <f>sumifs('KIDS&amp;ADULTS'!$Z$3:$Z$1015,'KIDS&amp;ADULTS'!$V$3:$V$1015,A33,'KIDS&amp;ADULTS'!$M$3:$M$1015,$D$3)</f>
        <v>18473300</v>
      </c>
      <c r="E33" s="373">
        <f>sumifs('KIDS&amp;ADULTS'!$Z$3:$Z$1015,'KIDS&amp;ADULTS'!$V$3:$V$1015,A33,'KIDS&amp;ADULTS'!$M$3:$M$1015,"Ánh")</f>
        <v>4783460</v>
      </c>
      <c r="F33" s="373">
        <f>sumifs('KIDS&amp;ADULTS'!$Z$3:$Z$1015,'KIDS&amp;ADULTS'!$V$3:$V$1015,A33,'KIDS&amp;ADULTS'!$M$3:$M$1015,"Loan")</f>
        <v>0</v>
      </c>
      <c r="G33" s="373">
        <f t="shared" si="1"/>
        <v>23256760</v>
      </c>
      <c r="J33" s="420">
        <v>45107.0</v>
      </c>
      <c r="K33" s="374">
        <f>COUNTIFS('KIDS&amp;ADULTS'!$A$3:$A$492,J33,'KIDS&amp;ADULTS'!$B$3:$B$492,$K$3)</f>
        <v>0</v>
      </c>
      <c r="L33" s="374">
        <f>COUNTIFS('KIDS&amp;ADULTS'!$A$3:$A$280,J33,'KIDS&amp;ADULTS'!$B$3:$B$280,$L$3)</f>
        <v>0</v>
      </c>
      <c r="M33" s="375">
        <f>COUNTIFS('KIDS&amp;ADULTS'!$A$3:$A$573,J33,'KIDS&amp;ADULTS'!$B$3:$B$573,$M$3)</f>
        <v>0</v>
      </c>
      <c r="N33" s="375">
        <f>COUNTIFS('KIDS&amp;ADULTS'!$A$3:$A$492,J33,'KIDS&amp;ADULTS'!$B$3:$B$492,$N$3)</f>
        <v>1</v>
      </c>
      <c r="O33" s="375">
        <f>COUNTIFS('KIDS&amp;ADULTS'!$A$3:$A$280,J33,'KIDS&amp;ADULTS'!$B$3:$B$280,$O$3)</f>
        <v>0</v>
      </c>
      <c r="P33" s="375">
        <f>COUNTIFS('KIDS&amp;ADULTS'!$A$3:$A$1015,J33,'KIDS&amp;ADULTS'!$B$3:$B$1015,$P$3)</f>
        <v>0</v>
      </c>
      <c r="Q33" s="375">
        <f>COUNTIFS('KIDS&amp;ADULTS'!$A$3:$A$1015,J33,'KIDS&amp;ADULTS'!$B$3:$B$1015,$Q$3)</f>
        <v>10</v>
      </c>
      <c r="T33" s="420">
        <v>45107.0</v>
      </c>
      <c r="U33" s="376">
        <f>COUNTIFS('KIDS&amp;ADULTS'!$V$3:$V$492,T33,'KIDS&amp;ADULTS'!$B$3:$B$492,$K$3,'KIDS&amp;ADULTS'!$N$3:$N$492,"Đã đóng học phí")</f>
        <v>0</v>
      </c>
      <c r="V33" s="376">
        <f>COUNTIFS('KIDS&amp;ADULTS'!$V$3:$V$492,T33,'KIDS&amp;ADULTS'!$B$3:$B$492,$W$3,'KIDS&amp;ADULTS'!$N$3:$N$492,"Đã đóng học phí")</f>
        <v>0</v>
      </c>
      <c r="W33" s="376">
        <f>COUNTIFS('KIDS&amp;ADULTS'!$V$3:$V$492,T33,'KIDS&amp;ADULTS'!$B$3:$B$492,$W$3,'KIDS&amp;ADULTS'!$N$3:$N$492,"Đã đóng học phí")</f>
        <v>0</v>
      </c>
      <c r="X33" s="376">
        <f>COUNTIFS('KIDS&amp;ADULTS'!$V$3:$V$492,T33,'KIDS&amp;ADULTS'!$B$3:$B$492,$X$3,'KIDS&amp;ADULTS'!$N$3:$N$492,"Đã đóng học phí")</f>
        <v>2</v>
      </c>
      <c r="Y33" s="376">
        <f>COUNTIFS('KIDS&amp;ADULTS'!$V$3:$V$492,T33,'KIDS&amp;ADULTS'!$B$3:$B$492,$Y$3,'KIDS&amp;ADULTS'!$N$3:$N$492,"Đã đóng học phí")</f>
        <v>2</v>
      </c>
      <c r="Z33" s="376">
        <f>COUNTIFS('KIDS&amp;ADULTS'!$V$3:$V$492,T33,'KIDS&amp;ADULTS'!$B$3:$B$492,$Z$3,'KIDS&amp;ADULTS'!$N$3:$N$492,"Đã đóng học phí")</f>
        <v>0</v>
      </c>
      <c r="AA33" s="376">
        <f>COUNTIFS('KIDS&amp;ADULTS'!$V$3:$V$492,T33,'KIDS&amp;ADULTS'!$B$3:$B$492,$AA$3,'KIDS&amp;ADULTS'!$N$3:$N$492,"Đã đóng học phí")</f>
        <v>0</v>
      </c>
    </row>
    <row r="34" ht="15.75" customHeight="1">
      <c r="B34" s="386">
        <f t="shared" ref="B34:C34" si="4">sum(B4:B33)</f>
        <v>17514600</v>
      </c>
      <c r="C34" s="386">
        <f t="shared" si="4"/>
        <v>35028980</v>
      </c>
      <c r="D34" s="386">
        <f>SUM(D2:D33)</f>
        <v>55027700</v>
      </c>
      <c r="E34" s="386">
        <f t="shared" ref="E34:F34" si="5">sum(E4:E33)</f>
        <v>65613310</v>
      </c>
      <c r="F34" s="386">
        <f t="shared" si="5"/>
        <v>37476238</v>
      </c>
      <c r="H34" s="386">
        <f>sum(G4:G33)</f>
        <v>210660828</v>
      </c>
      <c r="J34" s="388" t="s">
        <v>4622</v>
      </c>
      <c r="K34" s="417">
        <f t="shared" ref="K34:O34" si="6">SUM(K4:K33)</f>
        <v>0</v>
      </c>
      <c r="L34" s="418">
        <f t="shared" si="6"/>
        <v>0</v>
      </c>
      <c r="M34" s="377">
        <f t="shared" si="6"/>
        <v>5</v>
      </c>
      <c r="N34" s="377">
        <f t="shared" si="6"/>
        <v>21</v>
      </c>
      <c r="O34" s="379">
        <f t="shared" si="6"/>
        <v>40</v>
      </c>
      <c r="P34" s="380">
        <f>SUM(P2:P33)</f>
        <v>13</v>
      </c>
      <c r="Q34" s="380">
        <f>SUM(Q4:Q33)</f>
        <v>24</v>
      </c>
      <c r="R34" s="390">
        <f>SUM(K34:Q34)</f>
        <v>103</v>
      </c>
      <c r="T34" s="388" t="s">
        <v>4622</v>
      </c>
      <c r="U34" s="366">
        <f t="shared" ref="U34:Y34" si="7">SUM(U4:U33)</f>
        <v>0</v>
      </c>
      <c r="V34" s="367">
        <f t="shared" si="7"/>
        <v>0</v>
      </c>
      <c r="W34" s="377">
        <f t="shared" si="7"/>
        <v>0</v>
      </c>
      <c r="X34" s="377">
        <f t="shared" si="7"/>
        <v>12</v>
      </c>
      <c r="Y34" s="379">
        <f t="shared" si="7"/>
        <v>15</v>
      </c>
      <c r="Z34" s="380">
        <f>SUM(Z2:Z33)</f>
        <v>1</v>
      </c>
      <c r="AA34" s="380">
        <f>SUM(AA4:AA33)</f>
        <v>1</v>
      </c>
      <c r="AB34" s="391">
        <f>SUM(U34:AA34)</f>
        <v>29</v>
      </c>
    </row>
    <row r="35" ht="15.75" customHeight="1">
      <c r="F35" s="392"/>
      <c r="U35" s="422"/>
    </row>
    <row r="36" ht="15.75" customHeight="1"/>
    <row r="37" ht="15.75" customHeight="1">
      <c r="I37" s="383" t="s">
        <v>3683</v>
      </c>
      <c r="J37" s="396" t="s">
        <v>4726</v>
      </c>
      <c r="K37" s="397">
        <f>COUNTIFS('KIDS&amp;ADULTS'!V:V,"&gt;"&amp;"31-5-2023",'KIDS&amp;ADULTS'!V:V,"&lt;"&amp;"1-7-2023")</f>
        <v>46</v>
      </c>
      <c r="M37" s="383">
        <f>K37/R34</f>
        <v>0.4466019417</v>
      </c>
      <c r="T37" s="358" t="s">
        <v>4626</v>
      </c>
    </row>
    <row r="38" ht="15.75" customHeight="1">
      <c r="T38" s="361" t="s">
        <v>4613</v>
      </c>
      <c r="U38" s="363" t="s">
        <v>4616</v>
      </c>
      <c r="V38" s="235"/>
      <c r="W38" s="235"/>
      <c r="X38" s="235"/>
      <c r="Y38" s="235"/>
      <c r="Z38" s="235"/>
      <c r="AA38" s="236"/>
    </row>
    <row r="39" ht="15.75" customHeight="1">
      <c r="T39" s="11"/>
      <c r="U39" s="366" t="s">
        <v>4620</v>
      </c>
      <c r="V39" s="367" t="s">
        <v>4621</v>
      </c>
      <c r="W39" s="368" t="s">
        <v>73</v>
      </c>
      <c r="X39" s="369" t="s">
        <v>201</v>
      </c>
      <c r="Y39" s="370" t="s">
        <v>84</v>
      </c>
      <c r="Z39" s="371" t="s">
        <v>60</v>
      </c>
      <c r="AA39" s="371" t="s">
        <v>703</v>
      </c>
      <c r="AB39" s="381" t="s">
        <v>4622</v>
      </c>
    </row>
    <row r="40" ht="15.75" customHeight="1">
      <c r="T40" s="420">
        <v>45078.0</v>
      </c>
      <c r="U40" s="398">
        <f>SUMIFS('KIDS&amp;ADULTS'!$Z$3:$Z$492,'KIDS&amp;ADULTS'!V$3:V$492,T40,'KIDS&amp;ADULTS'!$B$3:$B$492,$K$3,'KIDS&amp;ADULTS'!$N$3:$N$492,"Đã đóng học phí")</f>
        <v>0</v>
      </c>
      <c r="V40" s="398">
        <f>SUMIFS('KIDS&amp;ADULTS'!$Z$3:$Z$492,'KIDS&amp;ADULTS'!$V$3:$V$492,T40,'KIDS&amp;ADULTS'!$B$3:$B$492,$W$3,'KIDS&amp;ADULTS'!$N$3:$N$492,"Đã đóng học phí")</f>
        <v>0</v>
      </c>
      <c r="W40" s="398">
        <f>SUMIFS('KIDS&amp;ADULTS'!$Z$3:$Z$492,'KIDS&amp;ADULTS'!$V$3:$V$492,T40,'KIDS&amp;ADULTS'!$B$3:$B$492,$W$3,'KIDS&amp;ADULTS'!$N$3:$N$492,"Đã đóng học phí")</f>
        <v>0</v>
      </c>
      <c r="X40" s="398">
        <f>SUMIFS('KIDS&amp;ADULTS'!$Z$3:$Z$492,'KIDS&amp;ADULTS'!$V$3:$V$492,T40,'KIDS&amp;ADULTS'!$B$3:$B$492,$X$3,'KIDS&amp;ADULTS'!$N$3:$N$492,"Đã đóng học phí")</f>
        <v>0</v>
      </c>
      <c r="Y40" s="398">
        <f>SUMIFS('KIDS&amp;ADULTS'!$Z$3:$Z$492,'KIDS&amp;ADULTS'!$V$3:$V$492,T40,'KIDS&amp;ADULTS'!$B$3:$B$492,$Y$3,'KIDS&amp;ADULTS'!$N$3:$N$492,"Đã đóng học phí")</f>
        <v>5205000</v>
      </c>
      <c r="Z40" s="398">
        <f>SUMIFS('KIDS&amp;ADULTS'!$Z$3:$Z$492,'KIDS&amp;ADULTS'!$V$3:$V$492,T40,'KIDS&amp;ADULTS'!$B$3:$B$492,$Z$3,'KIDS&amp;ADULTS'!$N$3:$N$492,"Đã đóng học phí")</f>
        <v>0</v>
      </c>
      <c r="AA40" s="398">
        <f>SUMIFS('KIDS&amp;ADULTS'!$Z$3:$Z$492,'KIDS&amp;ADULTS'!$V$3:$V$492,T40,'KIDS&amp;ADULTS'!$B$3:$B$492,$AA$3,'KIDS&amp;ADULTS'!$N$3:$N$492,"Đã đóng học phí")</f>
        <v>0</v>
      </c>
      <c r="AB40" s="398">
        <f t="shared" ref="AB40:AB70" si="8">SUM(U40:AA40)</f>
        <v>5205000</v>
      </c>
      <c r="AC40" s="386"/>
    </row>
    <row r="41" ht="15.75" customHeight="1">
      <c r="T41" s="420">
        <v>45079.0</v>
      </c>
      <c r="U41" s="398">
        <f>SUMIFS('KIDS&amp;ADULTS'!$Z$3:$Z$492,'KIDS&amp;ADULTS'!V$3:V$492,T41,'KIDS&amp;ADULTS'!$B$3:$B$492,$K$3,'KIDS&amp;ADULTS'!$N$3:$N$492,"Đã đóng học phí")</f>
        <v>0</v>
      </c>
      <c r="V41" s="398">
        <f>SUMIFS('KIDS&amp;ADULTS'!$Z$3:$Z$492,'KIDS&amp;ADULTS'!$V$3:$V$492,T41,'KIDS&amp;ADULTS'!$B$3:$B$492,$W$3,'KIDS&amp;ADULTS'!$N$3:$N$492,"Đã đóng học phí")</f>
        <v>0</v>
      </c>
      <c r="W41" s="398">
        <f>SUMIFS('KIDS&amp;ADULTS'!$Z$3:$Z$492,'KIDS&amp;ADULTS'!$V$3:$V$492,T41,'KIDS&amp;ADULTS'!$B$3:$B$492,$W$3,'KIDS&amp;ADULTS'!$N$3:$N$492,"Đã đóng học phí")</f>
        <v>0</v>
      </c>
      <c r="X41" s="398">
        <f>SUMIFS('KIDS&amp;ADULTS'!$Z$3:$Z$492,'KIDS&amp;ADULTS'!$V$3:$V$492,T41,'KIDS&amp;ADULTS'!$B$3:$B$492,$X$3,'KIDS&amp;ADULTS'!$N$3:$N$492,"Đã đóng học phí")</f>
        <v>0</v>
      </c>
      <c r="Y41" s="398">
        <f>SUMIFS('KIDS&amp;ADULTS'!$Z$3:$Z$492,'KIDS&amp;ADULTS'!$V$3:$V$492,T41,'KIDS&amp;ADULTS'!$B$3:$B$492,$Y$3,'KIDS&amp;ADULTS'!$N$3:$N$492,"Đã đóng học phí")</f>
        <v>0</v>
      </c>
      <c r="Z41" s="398">
        <f>SUMIFS('KIDS&amp;ADULTS'!$Z$3:$Z$492,'KIDS&amp;ADULTS'!$V$3:$V$492,T41,'KIDS&amp;ADULTS'!$B$3:$B$492,$Z$3,'KIDS&amp;ADULTS'!$N$3:$N$492,"Đã đóng học phí")</f>
        <v>0</v>
      </c>
      <c r="AA41" s="398">
        <f>SUMIFS('KIDS&amp;ADULTS'!$Z$3:$Z$492,'KIDS&amp;ADULTS'!$V$3:$V$492,T41,'KIDS&amp;ADULTS'!$B$3:$B$492,$AA$3,'KIDS&amp;ADULTS'!$N$3:$N$492,"Đã đóng học phí")</f>
        <v>0</v>
      </c>
      <c r="AB41" s="398">
        <f t="shared" si="8"/>
        <v>0</v>
      </c>
      <c r="AC41" s="386"/>
    </row>
    <row r="42" ht="15.75" customHeight="1">
      <c r="L42" s="422"/>
      <c r="T42" s="420">
        <v>45080.0</v>
      </c>
      <c r="U42" s="398">
        <f>SUMIFS('KIDS&amp;ADULTS'!$Z$3:$Z$492,'KIDS&amp;ADULTS'!V$3:V$492,T42,'KIDS&amp;ADULTS'!$B$3:$B$492,$K$3,'KIDS&amp;ADULTS'!$N$3:$N$492,"Đã đóng học phí")</f>
        <v>0</v>
      </c>
      <c r="V42" s="398">
        <f>SUMIFS('KIDS&amp;ADULTS'!$Z$3:$Z$492,'KIDS&amp;ADULTS'!$V$3:$V$492,T42,'KIDS&amp;ADULTS'!$B$3:$B$492,$W$3,'KIDS&amp;ADULTS'!$N$3:$N$492,"Đã đóng học phí")</f>
        <v>0</v>
      </c>
      <c r="W42" s="398">
        <f>SUMIFS('KIDS&amp;ADULTS'!$Z$3:$Z$492,'KIDS&amp;ADULTS'!$V$3:$V$492,T42,'KIDS&amp;ADULTS'!$B$3:$B$492,$W$3,'KIDS&amp;ADULTS'!$N$3:$N$492,"Đã đóng học phí")</f>
        <v>0</v>
      </c>
      <c r="X42" s="398">
        <f>SUMIFS('KIDS&amp;ADULTS'!$Z$3:$Z$492,'KIDS&amp;ADULTS'!$V$3:$V$492,T42,'KIDS&amp;ADULTS'!$B$3:$B$492,$X$3,'KIDS&amp;ADULTS'!$N$3:$N$492,"Đã đóng học phí")</f>
        <v>2756000</v>
      </c>
      <c r="Y42" s="398">
        <f>SUMIFS('KIDS&amp;ADULTS'!$Z$3:$Z$492,'KIDS&amp;ADULTS'!$V$3:$V$492,T42,'KIDS&amp;ADULTS'!$B$3:$B$492,$Y$3,'KIDS&amp;ADULTS'!$N$3:$N$492,"Đã đóng học phí")</f>
        <v>7437500</v>
      </c>
      <c r="Z42" s="398">
        <f>SUMIFS('KIDS&amp;ADULTS'!$Z$3:$Z$492,'KIDS&amp;ADULTS'!$V$3:$V$492,T42,'KIDS&amp;ADULTS'!$B$3:$B$492,$Z$3,'KIDS&amp;ADULTS'!$N$3:$N$492,"Đã đóng học phí")</f>
        <v>0</v>
      </c>
      <c r="AA42" s="398">
        <f>SUMIFS('KIDS&amp;ADULTS'!$Z$3:$Z$492,'KIDS&amp;ADULTS'!$V$3:$V$492,T42,'KIDS&amp;ADULTS'!$B$3:$B$492,$AA$3,'KIDS&amp;ADULTS'!$N$3:$N$492,"Đã đóng học phí")</f>
        <v>0</v>
      </c>
      <c r="AB42" s="398">
        <f t="shared" si="8"/>
        <v>10193500</v>
      </c>
      <c r="AC42" s="386"/>
    </row>
    <row r="43" ht="15.75" customHeight="1">
      <c r="T43" s="420">
        <v>45081.0</v>
      </c>
      <c r="U43" s="398">
        <f>SUMIFS('KIDS&amp;ADULTS'!$Z$3:$Z$492,'KIDS&amp;ADULTS'!V$3:V$492,T43,'KIDS&amp;ADULTS'!$B$3:$B$492,$K$3,'KIDS&amp;ADULTS'!$N$3:$N$492,"Đã đóng học phí")</f>
        <v>0</v>
      </c>
      <c r="V43" s="398">
        <f>SUMIFS('KIDS&amp;ADULTS'!$Z$3:$Z$492,'KIDS&amp;ADULTS'!$V$3:$V$492,T43,'KIDS&amp;ADULTS'!$B$3:$B$492,$W$3,'KIDS&amp;ADULTS'!$N$3:$N$492,"Đã đóng học phí")</f>
        <v>0</v>
      </c>
      <c r="W43" s="398">
        <f>SUMIFS('KIDS&amp;ADULTS'!$Z$3:$Z$492,'KIDS&amp;ADULTS'!$V$3:$V$492,T43,'KIDS&amp;ADULTS'!$B$3:$B$492,$W$3,'KIDS&amp;ADULTS'!$N$3:$N$492,"Đã đóng học phí")</f>
        <v>0</v>
      </c>
      <c r="X43" s="398">
        <f>SUMIFS('KIDS&amp;ADULTS'!$Z$3:$Z$492,'KIDS&amp;ADULTS'!$V$3:$V$492,T43,'KIDS&amp;ADULTS'!$B$3:$B$492,$X$3,'KIDS&amp;ADULTS'!$N$3:$N$492,"Đã đóng học phí")</f>
        <v>0</v>
      </c>
      <c r="Y43" s="398">
        <f>SUMIFS('KIDS&amp;ADULTS'!$Z$3:$Z$492,'KIDS&amp;ADULTS'!$V$3:$V$492,T43,'KIDS&amp;ADULTS'!$B$3:$B$492,$Y$3,'KIDS&amp;ADULTS'!$N$3:$N$492,"Đã đóng học phí")</f>
        <v>0</v>
      </c>
      <c r="Z43" s="398">
        <f>SUMIFS('KIDS&amp;ADULTS'!$Z$3:$Z$492,'KIDS&amp;ADULTS'!$V$3:$V$492,T43,'KIDS&amp;ADULTS'!$B$3:$B$492,$Z$3,'KIDS&amp;ADULTS'!$N$3:$N$492,"Đã đóng học phí")</f>
        <v>0</v>
      </c>
      <c r="AA43" s="398">
        <f>SUMIFS('KIDS&amp;ADULTS'!$Z$3:$Z$492,'KIDS&amp;ADULTS'!$V$3:$V$492,T43,'KIDS&amp;ADULTS'!$B$3:$B$492,$AA$3,'KIDS&amp;ADULTS'!$N$3:$N$492,"Đã đóng học phí")</f>
        <v>0</v>
      </c>
      <c r="AB43" s="398">
        <f t="shared" si="8"/>
        <v>0</v>
      </c>
      <c r="AC43" s="386"/>
    </row>
    <row r="44" ht="15.75" customHeight="1">
      <c r="T44" s="420">
        <v>45082.0</v>
      </c>
      <c r="U44" s="398">
        <f>SUMIFS('KIDS&amp;ADULTS'!$Z$3:$Z$492,'KIDS&amp;ADULTS'!V$3:V$492,T44,'KIDS&amp;ADULTS'!$B$3:$B$492,$K$3,'KIDS&amp;ADULTS'!$N$3:$N$492,"Đã đóng học phí")</f>
        <v>0</v>
      </c>
      <c r="V44" s="398">
        <f>SUMIFS('KIDS&amp;ADULTS'!$Z$3:$Z$492,'KIDS&amp;ADULTS'!$V$3:$V$492,T44,'KIDS&amp;ADULTS'!$B$3:$B$492,$W$3,'KIDS&amp;ADULTS'!$N$3:$N$492,"Đã đóng học phí")</f>
        <v>0</v>
      </c>
      <c r="W44" s="398">
        <f>SUMIFS('KIDS&amp;ADULTS'!$Z$3:$Z$492,'KIDS&amp;ADULTS'!$V$3:$V$492,T44,'KIDS&amp;ADULTS'!$B$3:$B$492,$W$3,'KIDS&amp;ADULTS'!$N$3:$N$492,"Đã đóng học phí")</f>
        <v>0</v>
      </c>
      <c r="X44" s="398">
        <f>SUMIFS('KIDS&amp;ADULTS'!$Z$3:$Z$492,'KIDS&amp;ADULTS'!$V$3:$V$492,T44,'KIDS&amp;ADULTS'!$B$3:$B$492,$X$3,'KIDS&amp;ADULTS'!$N$3:$N$492,"Đã đóng học phí")</f>
        <v>0</v>
      </c>
      <c r="Y44" s="398">
        <f>SUMIFS('KIDS&amp;ADULTS'!$Z$3:$Z$492,'KIDS&amp;ADULTS'!$V$3:$V$492,T44,'KIDS&amp;ADULTS'!$B$3:$B$492,$Y$3,'KIDS&amp;ADULTS'!$N$3:$N$492,"Đã đóng học phí")</f>
        <v>0</v>
      </c>
      <c r="Z44" s="398">
        <f>SUMIFS('KIDS&amp;ADULTS'!$Z$3:$Z$492,'KIDS&amp;ADULTS'!$V$3:$V$492,T44,'KIDS&amp;ADULTS'!$B$3:$B$492,$Z$3,'KIDS&amp;ADULTS'!$N$3:$N$492,"Đã đóng học phí")</f>
        <v>0</v>
      </c>
      <c r="AA44" s="398">
        <f>SUMIFS('KIDS&amp;ADULTS'!$Z$3:$Z$492,'KIDS&amp;ADULTS'!$V$3:$V$492,T44,'KIDS&amp;ADULTS'!$B$3:$B$492,$AA$3,'KIDS&amp;ADULTS'!$N$3:$N$492,"Đã đóng học phí")</f>
        <v>0</v>
      </c>
      <c r="AB44" s="398">
        <f t="shared" si="8"/>
        <v>0</v>
      </c>
      <c r="AC44" s="386"/>
    </row>
    <row r="45" ht="15.75" customHeight="1">
      <c r="T45" s="420">
        <v>45083.0</v>
      </c>
      <c r="U45" s="398">
        <f>SUMIFS('KIDS&amp;ADULTS'!$Z$3:$Z$492,'KIDS&amp;ADULTS'!V$3:V$492,T45,'KIDS&amp;ADULTS'!$B$3:$B$492,$K$3,'KIDS&amp;ADULTS'!$N$3:$N$492,"Đã đóng học phí")</f>
        <v>0</v>
      </c>
      <c r="V45" s="398">
        <f>SUMIFS('KIDS&amp;ADULTS'!$Z$3:$Z$492,'KIDS&amp;ADULTS'!$V$3:$V$492,T45,'KIDS&amp;ADULTS'!$B$3:$B$492,$W$3,'KIDS&amp;ADULTS'!$N$3:$N$492,"Đã đóng học phí")</f>
        <v>0</v>
      </c>
      <c r="W45" s="398">
        <f>SUMIFS('KIDS&amp;ADULTS'!$Z$3:$Z$492,'KIDS&amp;ADULTS'!$V$3:$V$492,T45,'KIDS&amp;ADULTS'!$B$3:$B$492,$W$3,'KIDS&amp;ADULTS'!$N$3:$N$492,"Đã đóng học phí")</f>
        <v>0</v>
      </c>
      <c r="X45" s="398">
        <f>SUMIFS('KIDS&amp;ADULTS'!$Z$3:$Z$492,'KIDS&amp;ADULTS'!$V$3:$V$492,T45,'KIDS&amp;ADULTS'!$B$3:$B$492,$X$3,'KIDS&amp;ADULTS'!$N$3:$N$492,"Đã đóng học phí")</f>
        <v>0</v>
      </c>
      <c r="Y45" s="398">
        <f>SUMIFS('KIDS&amp;ADULTS'!$Z$3:$Z$492,'KIDS&amp;ADULTS'!$V$3:$V$492,T45,'KIDS&amp;ADULTS'!$B$3:$B$492,$Y$3,'KIDS&amp;ADULTS'!$N$3:$N$492,"Đã đóng học phí")</f>
        <v>0</v>
      </c>
      <c r="Z45" s="398">
        <f>SUMIFS('KIDS&amp;ADULTS'!$Z$3:$Z$492,'KIDS&amp;ADULTS'!$V$3:$V$492,T45,'KIDS&amp;ADULTS'!$B$3:$B$492,$Z$3,'KIDS&amp;ADULTS'!$N$3:$N$492,"Đã đóng học phí")</f>
        <v>2302200</v>
      </c>
      <c r="AA45" s="398">
        <f>SUMIFS('KIDS&amp;ADULTS'!$Z$3:$Z$492,'KIDS&amp;ADULTS'!$V$3:$V$492,T45,'KIDS&amp;ADULTS'!$B$3:$B$492,$AA$3,'KIDS&amp;ADULTS'!$N$3:$N$492,"Đã đóng học phí")</f>
        <v>0</v>
      </c>
      <c r="AB45" s="398">
        <f t="shared" si="8"/>
        <v>2302200</v>
      </c>
      <c r="AC45" s="386"/>
    </row>
    <row r="46" ht="15.75" customHeight="1">
      <c r="T46" s="420">
        <v>45084.0</v>
      </c>
      <c r="U46" s="398">
        <f>SUMIFS('KIDS&amp;ADULTS'!$Z$3:$Z$492,'KIDS&amp;ADULTS'!V$3:V$492,T46,'KIDS&amp;ADULTS'!$B$3:$B$492,$K$3,'KIDS&amp;ADULTS'!$N$3:$N$492,"Đã đóng học phí")</f>
        <v>0</v>
      </c>
      <c r="V46" s="398">
        <f>SUMIFS('KIDS&amp;ADULTS'!$Z$3:$Z$492,'KIDS&amp;ADULTS'!$V$3:$V$492,T46,'KIDS&amp;ADULTS'!$B$3:$B$492,$W$3,'KIDS&amp;ADULTS'!$N$3:$N$492,"Đã đóng học phí")</f>
        <v>0</v>
      </c>
      <c r="W46" s="398">
        <f>SUMIFS('KIDS&amp;ADULTS'!$Z$3:$Z$492,'KIDS&amp;ADULTS'!$V$3:$V$492,T46,'KIDS&amp;ADULTS'!$B$3:$B$492,$W$3,'KIDS&amp;ADULTS'!$N$3:$N$492,"Đã đóng học phí")</f>
        <v>0</v>
      </c>
      <c r="X46" s="398">
        <f>SUMIFS('KIDS&amp;ADULTS'!$Z$3:$Z$492,'KIDS&amp;ADULTS'!$V$3:$V$492,T46,'KIDS&amp;ADULTS'!$B$3:$B$492,$X$3,'KIDS&amp;ADULTS'!$N$3:$N$492,"Đã đóng học phí")</f>
        <v>0</v>
      </c>
      <c r="Y46" s="398">
        <f>SUMIFS('KIDS&amp;ADULTS'!$Z$3:$Z$492,'KIDS&amp;ADULTS'!$V$3:$V$492,T46,'KIDS&amp;ADULTS'!$B$3:$B$492,$Y$3,'KIDS&amp;ADULTS'!$N$3:$N$492,"Đã đóng học phí")</f>
        <v>6400000</v>
      </c>
      <c r="Z46" s="398">
        <f>SUMIFS('KIDS&amp;ADULTS'!$Z$3:$Z$492,'KIDS&amp;ADULTS'!$V$3:$V$492,T46,'KIDS&amp;ADULTS'!$B$3:$B$492,$Z$3,'KIDS&amp;ADULTS'!$N$3:$N$492,"Đã đóng học phí")</f>
        <v>0</v>
      </c>
      <c r="AA46" s="398">
        <f>SUMIFS('KIDS&amp;ADULTS'!$Z$3:$Z$492,'KIDS&amp;ADULTS'!$V$3:$V$492,T46,'KIDS&amp;ADULTS'!$B$3:$B$492,$AA$3,'KIDS&amp;ADULTS'!$N$3:$N$492,"Đã đóng học phí")</f>
        <v>0</v>
      </c>
      <c r="AB46" s="398">
        <f t="shared" si="8"/>
        <v>6400000</v>
      </c>
      <c r="AC46" s="386"/>
    </row>
    <row r="47" ht="15.75" customHeight="1">
      <c r="T47" s="420">
        <v>45085.0</v>
      </c>
      <c r="U47" s="398">
        <f>SUMIFS('KIDS&amp;ADULTS'!$Z$3:$Z$492,'KIDS&amp;ADULTS'!V$3:V$492,T47,'KIDS&amp;ADULTS'!$B$3:$B$492,$K$3,'KIDS&amp;ADULTS'!$N$3:$N$492,"Đã đóng học phí")</f>
        <v>0</v>
      </c>
      <c r="V47" s="398">
        <f>SUMIFS('KIDS&amp;ADULTS'!$Z$3:$Z$492,'KIDS&amp;ADULTS'!$V$3:$V$492,T47,'KIDS&amp;ADULTS'!$B$3:$B$492,$W$3,'KIDS&amp;ADULTS'!$N$3:$N$492,"Đã đóng học phí")</f>
        <v>0</v>
      </c>
      <c r="W47" s="398">
        <f>SUMIFS('KIDS&amp;ADULTS'!$Z$3:$Z$492,'KIDS&amp;ADULTS'!$V$3:$V$492,T47,'KIDS&amp;ADULTS'!$B$3:$B$492,$W$3,'KIDS&amp;ADULTS'!$N$3:$N$492,"Đã đóng học phí")</f>
        <v>0</v>
      </c>
      <c r="X47" s="398">
        <f>SUMIFS('KIDS&amp;ADULTS'!$Z$3:$Z$492,'KIDS&amp;ADULTS'!$V$3:$V$492,T47,'KIDS&amp;ADULTS'!$B$3:$B$492,$X$3,'KIDS&amp;ADULTS'!$N$3:$N$492,"Đã đóng học phí")</f>
        <v>5205400</v>
      </c>
      <c r="Y47" s="398">
        <f>SUMIFS('KIDS&amp;ADULTS'!$Z$3:$Z$492,'KIDS&amp;ADULTS'!$V$3:$V$492,T47,'KIDS&amp;ADULTS'!$B$3:$B$492,$Y$3,'KIDS&amp;ADULTS'!$N$3:$N$492,"Đã đóng học phí")</f>
        <v>0</v>
      </c>
      <c r="Z47" s="398">
        <f>SUMIFS('KIDS&amp;ADULTS'!$Z$3:$Z$492,'KIDS&amp;ADULTS'!$V$3:$V$492,T47,'KIDS&amp;ADULTS'!$B$3:$B$492,$Z$3,'KIDS&amp;ADULTS'!$N$3:$N$492,"Đã đóng học phí")</f>
        <v>0</v>
      </c>
      <c r="AA47" s="398">
        <f>SUMIFS('KIDS&amp;ADULTS'!$Z$3:$Z$492,'KIDS&amp;ADULTS'!$V$3:$V$492,T47,'KIDS&amp;ADULTS'!$B$3:$B$492,$AA$3,'KIDS&amp;ADULTS'!$N$3:$N$492,"Đã đóng học phí")</f>
        <v>0</v>
      </c>
      <c r="AB47" s="398">
        <f t="shared" si="8"/>
        <v>5205400</v>
      </c>
      <c r="AC47" s="386"/>
    </row>
    <row r="48" ht="15.75" customHeight="1">
      <c r="T48" s="420">
        <v>45086.0</v>
      </c>
      <c r="U48" s="398">
        <f>SUMIFS('KIDS&amp;ADULTS'!$Z$3:$Z$492,'KIDS&amp;ADULTS'!V$3:V$492,T48,'KIDS&amp;ADULTS'!$B$3:$B$492,$K$3,'KIDS&amp;ADULTS'!$N$3:$N$492,"Đã đóng học phí")</f>
        <v>0</v>
      </c>
      <c r="V48" s="398">
        <f>SUMIFS('KIDS&amp;ADULTS'!$Z$3:$Z$492,'KIDS&amp;ADULTS'!$V$3:$V$492,T48,'KIDS&amp;ADULTS'!$B$3:$B$492,$W$3,'KIDS&amp;ADULTS'!$N$3:$N$492,"Đã đóng học phí")</f>
        <v>0</v>
      </c>
      <c r="W48" s="398">
        <f>SUMIFS('KIDS&amp;ADULTS'!$Z$3:$Z$492,'KIDS&amp;ADULTS'!$V$3:$V$492,T48,'KIDS&amp;ADULTS'!$B$3:$B$492,$W$3,'KIDS&amp;ADULTS'!$N$3:$N$492,"Đã đóng học phí")</f>
        <v>0</v>
      </c>
      <c r="X48" s="398">
        <f>SUMIFS('KIDS&amp;ADULTS'!$Z$3:$Z$492,'KIDS&amp;ADULTS'!$V$3:$V$492,T48,'KIDS&amp;ADULTS'!$B$3:$B$492,$X$3,'KIDS&amp;ADULTS'!$N$3:$N$492,"Đã đóng học phí")</f>
        <v>0</v>
      </c>
      <c r="Y48" s="398">
        <f>SUMIFS('KIDS&amp;ADULTS'!$Z$3:$Z$492,'KIDS&amp;ADULTS'!$V$3:$V$492,T48,'KIDS&amp;ADULTS'!$B$3:$B$492,$Y$3,'KIDS&amp;ADULTS'!$N$3:$N$492,"Đã đóng học phí")</f>
        <v>0</v>
      </c>
      <c r="Z48" s="398">
        <f>SUMIFS('KIDS&amp;ADULTS'!$Z$3:$Z$492,'KIDS&amp;ADULTS'!$V$3:$V$492,T48,'KIDS&amp;ADULTS'!$B$3:$B$492,$Z$3,'KIDS&amp;ADULTS'!$N$3:$N$492,"Đã đóng học phí")</f>
        <v>0</v>
      </c>
      <c r="AA48" s="398">
        <f>SUMIFS('KIDS&amp;ADULTS'!$Z$3:$Z$492,'KIDS&amp;ADULTS'!$V$3:$V$492,T48,'KIDS&amp;ADULTS'!$B$3:$B$492,$AA$3,'KIDS&amp;ADULTS'!$N$3:$N$492,"Đã đóng học phí")</f>
        <v>0</v>
      </c>
      <c r="AB48" s="398">
        <f t="shared" si="8"/>
        <v>0</v>
      </c>
      <c r="AC48" s="386"/>
    </row>
    <row r="49" ht="15.75" customHeight="1">
      <c r="T49" s="420">
        <v>45087.0</v>
      </c>
      <c r="U49" s="398">
        <f>SUMIFS('KIDS&amp;ADULTS'!$Z$3:$Z$492,'KIDS&amp;ADULTS'!V$3:V$492,T49,'KIDS&amp;ADULTS'!$B$3:$B$492,$K$3,'KIDS&amp;ADULTS'!$N$3:$N$492,"Đã đóng học phí")</f>
        <v>0</v>
      </c>
      <c r="V49" s="398">
        <f>SUMIFS('KIDS&amp;ADULTS'!$Z$3:$Z$492,'KIDS&amp;ADULTS'!$V$3:$V$492,T49,'KIDS&amp;ADULTS'!$B$3:$B$492,$W$3,'KIDS&amp;ADULTS'!$N$3:$N$492,"Đã đóng học phí")</f>
        <v>0</v>
      </c>
      <c r="W49" s="398">
        <f>SUMIFS('KIDS&amp;ADULTS'!$Z$3:$Z$492,'KIDS&amp;ADULTS'!$V$3:$V$492,T49,'KIDS&amp;ADULTS'!$B$3:$B$492,$W$3,'KIDS&amp;ADULTS'!$N$3:$N$492,"Đã đóng học phí")</f>
        <v>0</v>
      </c>
      <c r="X49" s="398">
        <f>SUMIFS('KIDS&amp;ADULTS'!$Z$3:$Z$492,'KIDS&amp;ADULTS'!$V$3:$V$492,T49,'KIDS&amp;ADULTS'!$B$3:$B$492,$X$3,'KIDS&amp;ADULTS'!$N$3:$N$492,"Đã đóng học phí")</f>
        <v>0</v>
      </c>
      <c r="Y49" s="398">
        <f>SUMIFS('KIDS&amp;ADULTS'!$Z$3:$Z$492,'KIDS&amp;ADULTS'!$V$3:$V$492,T49,'KIDS&amp;ADULTS'!$B$3:$B$492,$Y$3,'KIDS&amp;ADULTS'!$N$3:$N$492,"Đã đóng học phí")</f>
        <v>0</v>
      </c>
      <c r="Z49" s="398">
        <f>SUMIFS('KIDS&amp;ADULTS'!$Z$3:$Z$492,'KIDS&amp;ADULTS'!$V$3:$V$492,T49,'KIDS&amp;ADULTS'!$B$3:$B$492,$Z$3,'KIDS&amp;ADULTS'!$N$3:$N$492,"Đã đóng học phí")</f>
        <v>0</v>
      </c>
      <c r="AA49" s="398">
        <f>SUMIFS('KIDS&amp;ADULTS'!$Z$3:$Z$492,'KIDS&amp;ADULTS'!$V$3:$V$492,T49,'KIDS&amp;ADULTS'!$B$3:$B$492,$AA$3,'KIDS&amp;ADULTS'!$N$3:$N$492,"Đã đóng học phí")</f>
        <v>0</v>
      </c>
      <c r="AB49" s="398">
        <f t="shared" si="8"/>
        <v>0</v>
      </c>
      <c r="AC49" s="386"/>
    </row>
    <row r="50" ht="15.75" customHeight="1">
      <c r="T50" s="420">
        <v>45088.0</v>
      </c>
      <c r="U50" s="398">
        <f>SUMIFS('KIDS&amp;ADULTS'!$Z$3:$Z$492,'KIDS&amp;ADULTS'!V$3:V$492,T50,'KIDS&amp;ADULTS'!$B$3:$B$492,$K$3,'KIDS&amp;ADULTS'!$N$3:$N$492,"Đã đóng học phí")</f>
        <v>0</v>
      </c>
      <c r="V50" s="398">
        <f>SUMIFS('KIDS&amp;ADULTS'!$Z$3:$Z$492,'KIDS&amp;ADULTS'!$V$3:$V$492,T50,'KIDS&amp;ADULTS'!$B$3:$B$492,$W$3,'KIDS&amp;ADULTS'!$N$3:$N$492,"Đã đóng học phí")</f>
        <v>0</v>
      </c>
      <c r="W50" s="398">
        <f>SUMIFS('KIDS&amp;ADULTS'!$Z$3:$Z$492,'KIDS&amp;ADULTS'!$V$3:$V$492,T50,'KIDS&amp;ADULTS'!$B$3:$B$492,$W$3,'KIDS&amp;ADULTS'!$N$3:$N$492,"Đã đóng học phí")</f>
        <v>0</v>
      </c>
      <c r="X50" s="398">
        <f>SUMIFS('KIDS&amp;ADULTS'!$Z$3:$Z$492,'KIDS&amp;ADULTS'!$V$3:$V$492,T50,'KIDS&amp;ADULTS'!$B$3:$B$492,$X$3,'KIDS&amp;ADULTS'!$N$3:$N$492,"Đã đóng học phí")</f>
        <v>0</v>
      </c>
      <c r="Y50" s="398">
        <f>SUMIFS('KIDS&amp;ADULTS'!$Z$3:$Z$492,'KIDS&amp;ADULTS'!$V$3:$V$492,T50,'KIDS&amp;ADULTS'!$B$3:$B$492,$Y$3,'KIDS&amp;ADULTS'!$N$3:$N$492,"Đã đóng học phí")</f>
        <v>0</v>
      </c>
      <c r="Z50" s="398">
        <f>SUMIFS('KIDS&amp;ADULTS'!$Z$3:$Z$492,'KIDS&amp;ADULTS'!$V$3:$V$492,T50,'KIDS&amp;ADULTS'!$B$3:$B$492,$Z$3,'KIDS&amp;ADULTS'!$N$3:$N$492,"Đã đóng học phí")</f>
        <v>0</v>
      </c>
      <c r="AA50" s="398">
        <f>SUMIFS('KIDS&amp;ADULTS'!$Z$3:$Z$492,'KIDS&amp;ADULTS'!$V$3:$V$492,T50,'KIDS&amp;ADULTS'!$B$3:$B$492,$AA$3,'KIDS&amp;ADULTS'!$N$3:$N$492,"Đã đóng học phí")</f>
        <v>0</v>
      </c>
      <c r="AB50" s="398">
        <f t="shared" si="8"/>
        <v>0</v>
      </c>
      <c r="AC50" s="386"/>
    </row>
    <row r="51" ht="15.75" customHeight="1">
      <c r="T51" s="420">
        <v>45089.0</v>
      </c>
      <c r="U51" s="398">
        <f>SUMIFS('KIDS&amp;ADULTS'!$Z$3:$Z$492,'KIDS&amp;ADULTS'!V$3:V$492,T51,'KIDS&amp;ADULTS'!$B$3:$B$492,$K$3,'KIDS&amp;ADULTS'!$N$3:$N$492,"Đã đóng học phí")</f>
        <v>0</v>
      </c>
      <c r="V51" s="398">
        <f>SUMIFS('KIDS&amp;ADULTS'!$Z$3:$Z$492,'KIDS&amp;ADULTS'!$V$3:$V$492,T51,'KIDS&amp;ADULTS'!$B$3:$B$492,$W$3,'KIDS&amp;ADULTS'!$N$3:$N$492,"Đã đóng học phí")</f>
        <v>0</v>
      </c>
      <c r="W51" s="398">
        <f>SUMIFS('KIDS&amp;ADULTS'!$Z$3:$Z$492,'KIDS&amp;ADULTS'!$V$3:$V$492,T51,'KIDS&amp;ADULTS'!$B$3:$B$492,$W$3,'KIDS&amp;ADULTS'!$N$3:$N$492,"Đã đóng học phí")</f>
        <v>0</v>
      </c>
      <c r="X51" s="398">
        <f>SUMIFS('KIDS&amp;ADULTS'!$Z$3:$Z$492,'KIDS&amp;ADULTS'!$V$3:$V$492,T51,'KIDS&amp;ADULTS'!$B$3:$B$492,$X$3,'KIDS&amp;ADULTS'!$N$3:$N$492,"Đã đóng học phí")</f>
        <v>0</v>
      </c>
      <c r="Y51" s="398">
        <f>SUMIFS('KIDS&amp;ADULTS'!$Z$3:$Z$492,'KIDS&amp;ADULTS'!$V$3:$V$492,T51,'KIDS&amp;ADULTS'!$B$3:$B$492,$Y$3,'KIDS&amp;ADULTS'!$N$3:$N$492,"Đã đóng học phí")</f>
        <v>0</v>
      </c>
      <c r="Z51" s="398">
        <f>SUMIFS('KIDS&amp;ADULTS'!$Z$3:$Z$492,'KIDS&amp;ADULTS'!$V$3:$V$492,T51,'KIDS&amp;ADULTS'!$B$3:$B$492,$Z$3,'KIDS&amp;ADULTS'!$N$3:$N$492,"Đã đóng học phí")</f>
        <v>0</v>
      </c>
      <c r="AA51" s="398">
        <f>SUMIFS('KIDS&amp;ADULTS'!$Z$3:$Z$492,'KIDS&amp;ADULTS'!$V$3:$V$492,T51,'KIDS&amp;ADULTS'!$B$3:$B$492,$AA$3,'KIDS&amp;ADULTS'!$N$3:$N$492,"Đã đóng học phí")</f>
        <v>0</v>
      </c>
      <c r="AB51" s="398">
        <f t="shared" si="8"/>
        <v>0</v>
      </c>
      <c r="AC51" s="386"/>
    </row>
    <row r="52" ht="15.75" customHeight="1">
      <c r="T52" s="420">
        <v>45090.0</v>
      </c>
      <c r="U52" s="398">
        <f>SUMIFS('KIDS&amp;ADULTS'!$Z$3:$Z$492,'KIDS&amp;ADULTS'!V$3:V$492,T52,'KIDS&amp;ADULTS'!$B$3:$B$492,$K$3,'KIDS&amp;ADULTS'!$N$3:$N$492,"Đã đóng học phí")</f>
        <v>0</v>
      </c>
      <c r="V52" s="398">
        <f>SUMIFS('KIDS&amp;ADULTS'!$Z$3:$Z$492,'KIDS&amp;ADULTS'!$V$3:$V$492,T52,'KIDS&amp;ADULTS'!$B$3:$B$492,$W$3,'KIDS&amp;ADULTS'!$N$3:$N$492,"Đã đóng học phí")</f>
        <v>0</v>
      </c>
      <c r="W52" s="398">
        <f>SUMIFS('KIDS&amp;ADULTS'!$Z$3:$Z$492,'KIDS&amp;ADULTS'!$V$3:$V$492,T52,'KIDS&amp;ADULTS'!$B$3:$B$492,$W$3,'KIDS&amp;ADULTS'!$N$3:$N$492,"Đã đóng học phí")</f>
        <v>0</v>
      </c>
      <c r="X52" s="398">
        <f>SUMIFS('KIDS&amp;ADULTS'!$Z$3:$Z$492,'KIDS&amp;ADULTS'!$V$3:$V$492,T52,'KIDS&amp;ADULTS'!$B$3:$B$492,$X$3,'KIDS&amp;ADULTS'!$N$3:$N$492,"Đã đóng học phí")</f>
        <v>0</v>
      </c>
      <c r="Y52" s="398">
        <f>SUMIFS('KIDS&amp;ADULTS'!$Z$3:$Z$492,'KIDS&amp;ADULTS'!$V$3:$V$492,T52,'KIDS&amp;ADULTS'!$B$3:$B$492,$Y$3,'KIDS&amp;ADULTS'!$N$3:$N$492,"Đã đóng học phí")</f>
        <v>10410800</v>
      </c>
      <c r="Z52" s="398">
        <f>SUMIFS('KIDS&amp;ADULTS'!$Z$3:$Z$492,'KIDS&amp;ADULTS'!$V$3:$V$492,T52,'KIDS&amp;ADULTS'!$B$3:$B$492,$Z$3,'KIDS&amp;ADULTS'!$N$3:$N$492,"Đã đóng học phí")</f>
        <v>0</v>
      </c>
      <c r="AA52" s="398">
        <f>SUMIFS('KIDS&amp;ADULTS'!$Z$3:$Z$492,'KIDS&amp;ADULTS'!$V$3:$V$492,T52,'KIDS&amp;ADULTS'!$B$3:$B$492,$AA$3,'KIDS&amp;ADULTS'!$N$3:$N$492,"Đã đóng học phí")</f>
        <v>0</v>
      </c>
      <c r="AB52" s="398">
        <f t="shared" si="8"/>
        <v>10410800</v>
      </c>
      <c r="AC52" s="386"/>
    </row>
    <row r="53" ht="15.75" customHeight="1">
      <c r="T53" s="420">
        <v>45091.0</v>
      </c>
      <c r="U53" s="398">
        <f>SUMIFS('KIDS&amp;ADULTS'!$Z$3:$Z$492,'KIDS&amp;ADULTS'!V$3:V$492,T53,'KIDS&amp;ADULTS'!$B$3:$B$492,$K$3,'KIDS&amp;ADULTS'!$N$3:$N$492,"Đã đóng học phí")</f>
        <v>0</v>
      </c>
      <c r="V53" s="398">
        <f>SUMIFS('KIDS&amp;ADULTS'!$Z$3:$Z$492,'KIDS&amp;ADULTS'!$V$3:$V$492,T53,'KIDS&amp;ADULTS'!$B$3:$B$492,$W$3,'KIDS&amp;ADULTS'!$N$3:$N$492,"Đã đóng học phí")</f>
        <v>0</v>
      </c>
      <c r="W53" s="398">
        <f>SUMIFS('KIDS&amp;ADULTS'!$Z$3:$Z$492,'KIDS&amp;ADULTS'!$V$3:$V$492,T53,'KIDS&amp;ADULTS'!$B$3:$B$492,$W$3,'KIDS&amp;ADULTS'!$N$3:$N$492,"Đã đóng học phí")</f>
        <v>0</v>
      </c>
      <c r="X53" s="398">
        <f>SUMIFS('KIDS&amp;ADULTS'!$Z$3:$Z$492,'KIDS&amp;ADULTS'!$V$3:$V$492,T53,'KIDS&amp;ADULTS'!$B$3:$B$492,$X$3,'KIDS&amp;ADULTS'!$N$3:$N$492,"Đã đóng học phí")</f>
        <v>0</v>
      </c>
      <c r="Y53" s="398">
        <f>SUMIFS('KIDS&amp;ADULTS'!$Z$3:$Z$492,'KIDS&amp;ADULTS'!$V$3:$V$492,T53,'KIDS&amp;ADULTS'!$B$3:$B$492,$Y$3,'KIDS&amp;ADULTS'!$N$3:$N$492,"Đã đóng học phí")</f>
        <v>0</v>
      </c>
      <c r="Z53" s="398">
        <f>SUMIFS('KIDS&amp;ADULTS'!$Z$3:$Z$492,'KIDS&amp;ADULTS'!$V$3:$V$492,T53,'KIDS&amp;ADULTS'!$B$3:$B$492,$Z$3,'KIDS&amp;ADULTS'!$N$3:$N$492,"Đã đóng học phí")</f>
        <v>0</v>
      </c>
      <c r="AA53" s="398">
        <f>SUMIFS('KIDS&amp;ADULTS'!$Z$3:$Z$492,'KIDS&amp;ADULTS'!$V$3:$V$492,T53,'KIDS&amp;ADULTS'!$B$3:$B$492,$AA$3,'KIDS&amp;ADULTS'!$N$3:$N$492,"Đã đóng học phí")</f>
        <v>0</v>
      </c>
      <c r="AB53" s="398">
        <f t="shared" si="8"/>
        <v>0</v>
      </c>
      <c r="AC53" s="386"/>
    </row>
    <row r="54" ht="15.75" customHeight="1">
      <c r="T54" s="420">
        <v>45092.0</v>
      </c>
      <c r="U54" s="398">
        <f>SUMIFS('KIDS&amp;ADULTS'!$Z$3:$Z$492,'KIDS&amp;ADULTS'!V$3:V$492,T54,'KIDS&amp;ADULTS'!$B$3:$B$492,$K$3,'KIDS&amp;ADULTS'!$N$3:$N$492,"Đã đóng học phí")</f>
        <v>0</v>
      </c>
      <c r="V54" s="398">
        <f>SUMIFS('KIDS&amp;ADULTS'!$Z$3:$Z$492,'KIDS&amp;ADULTS'!$V$3:$V$492,T54,'KIDS&amp;ADULTS'!$B$3:$B$492,$W$3,'KIDS&amp;ADULTS'!$N$3:$N$492,"Đã đóng học phí")</f>
        <v>0</v>
      </c>
      <c r="W54" s="398">
        <f>SUMIFS('KIDS&amp;ADULTS'!$Z$3:$Z$492,'KIDS&amp;ADULTS'!$V$3:$V$492,T54,'KIDS&amp;ADULTS'!$B$3:$B$492,$W$3,'KIDS&amp;ADULTS'!$N$3:$N$492,"Đã đóng học phí")</f>
        <v>0</v>
      </c>
      <c r="X54" s="398">
        <f>SUMIFS('KIDS&amp;ADULTS'!$Z$3:$Z$492,'KIDS&amp;ADULTS'!$V$3:$V$492,T54,'KIDS&amp;ADULTS'!$B$3:$B$492,$X$3,'KIDS&amp;ADULTS'!$N$3:$N$492,"Đã đóng học phí")</f>
        <v>0</v>
      </c>
      <c r="Y54" s="398">
        <f>SUMIFS('KIDS&amp;ADULTS'!$Z$3:$Z$492,'KIDS&amp;ADULTS'!$V$3:$V$492,T54,'KIDS&amp;ADULTS'!$B$3:$B$492,$Y$3,'KIDS&amp;ADULTS'!$N$3:$N$492,"Đã đóng học phí")</f>
        <v>5205400</v>
      </c>
      <c r="Z54" s="398">
        <f>SUMIFS('KIDS&amp;ADULTS'!$Z$3:$Z$492,'KIDS&amp;ADULTS'!$V$3:$V$492,T54,'KIDS&amp;ADULTS'!$B$3:$B$492,$Z$3,'KIDS&amp;ADULTS'!$N$3:$N$492,"Đã đóng học phí")</f>
        <v>0</v>
      </c>
      <c r="AA54" s="398">
        <f>SUMIFS('KIDS&amp;ADULTS'!$Z$3:$Z$492,'KIDS&amp;ADULTS'!$V$3:$V$492,T54,'KIDS&amp;ADULTS'!$B$3:$B$492,$AA$3,'KIDS&amp;ADULTS'!$N$3:$N$492,"Đã đóng học phí")</f>
        <v>0</v>
      </c>
      <c r="AB54" s="398">
        <f t="shared" si="8"/>
        <v>5205400</v>
      </c>
      <c r="AC54" s="386"/>
    </row>
    <row r="55" ht="15.75" customHeight="1">
      <c r="T55" s="420">
        <v>45093.0</v>
      </c>
      <c r="U55" s="398">
        <f>SUMIFS('KIDS&amp;ADULTS'!$Z$3:$Z$492,'KIDS&amp;ADULTS'!V$3:V$492,T55,'KIDS&amp;ADULTS'!$B$3:$B$492,$K$3,'KIDS&amp;ADULTS'!$N$3:$N$492,"Đã đóng học phí")</f>
        <v>0</v>
      </c>
      <c r="V55" s="398">
        <f>SUMIFS('KIDS&amp;ADULTS'!$Z$3:$Z$492,'KIDS&amp;ADULTS'!$V$3:$V$492,T55,'KIDS&amp;ADULTS'!$B$3:$B$492,$W$3,'KIDS&amp;ADULTS'!$N$3:$N$492,"Đã đóng học phí")</f>
        <v>0</v>
      </c>
      <c r="W55" s="398">
        <f>SUMIFS('KIDS&amp;ADULTS'!$Z$3:$Z$492,'KIDS&amp;ADULTS'!$V$3:$V$492,T55,'KIDS&amp;ADULTS'!$B$3:$B$492,$W$3,'KIDS&amp;ADULTS'!$N$3:$N$492,"Đã đóng học phí")</f>
        <v>0</v>
      </c>
      <c r="X55" s="398">
        <f>SUMIFS('KIDS&amp;ADULTS'!$Z$3:$Z$492,'KIDS&amp;ADULTS'!$V$3:$V$492,T55,'KIDS&amp;ADULTS'!$B$3:$B$492,$X$3,'KIDS&amp;ADULTS'!$N$3:$N$492,"Đã đóng học phí")</f>
        <v>0</v>
      </c>
      <c r="Y55" s="398">
        <f>SUMIFS('KIDS&amp;ADULTS'!$Z$3:$Z$492,'KIDS&amp;ADULTS'!$V$3:$V$492,T55,'KIDS&amp;ADULTS'!$B$3:$B$492,$Y$3,'KIDS&amp;ADULTS'!$N$3:$N$492,"Đã đóng học phí")</f>
        <v>0</v>
      </c>
      <c r="Z55" s="398">
        <f>SUMIFS('KIDS&amp;ADULTS'!$Z$3:$Z$492,'KIDS&amp;ADULTS'!$V$3:$V$492,T55,'KIDS&amp;ADULTS'!$B$3:$B$492,$Z$3,'KIDS&amp;ADULTS'!$N$3:$N$492,"Đã đóng học phí")</f>
        <v>0</v>
      </c>
      <c r="AA55" s="398">
        <f>SUMIFS('KIDS&amp;ADULTS'!$Z$3:$Z$492,'KIDS&amp;ADULTS'!$V$3:$V$492,T55,'KIDS&amp;ADULTS'!$B$3:$B$492,$AA$3,'KIDS&amp;ADULTS'!$N$3:$N$492,"Đã đóng học phí")</f>
        <v>0</v>
      </c>
      <c r="AB55" s="398">
        <f t="shared" si="8"/>
        <v>0</v>
      </c>
      <c r="AC55" s="386"/>
    </row>
    <row r="56" ht="15.75" customHeight="1">
      <c r="T56" s="420">
        <v>45094.0</v>
      </c>
      <c r="U56" s="398">
        <f>SUMIFS('KIDS&amp;ADULTS'!$Z$3:$Z$492,'KIDS&amp;ADULTS'!V$3:V$492,T56,'KIDS&amp;ADULTS'!$B$3:$B$492,$K$3,'KIDS&amp;ADULTS'!$N$3:$N$492,"Đã đóng học phí")</f>
        <v>0</v>
      </c>
      <c r="V56" s="398">
        <f>SUMIFS('KIDS&amp;ADULTS'!$Z$3:$Z$492,'KIDS&amp;ADULTS'!$V$3:$V$492,T56,'KIDS&amp;ADULTS'!$B$3:$B$492,$W$3,'KIDS&amp;ADULTS'!$N$3:$N$492,"Đã đóng học phí")</f>
        <v>0</v>
      </c>
      <c r="W56" s="398">
        <f>SUMIFS('KIDS&amp;ADULTS'!$Z$3:$Z$492,'KIDS&amp;ADULTS'!$V$3:$V$492,T56,'KIDS&amp;ADULTS'!$B$3:$B$492,$W$3,'KIDS&amp;ADULTS'!$N$3:$N$492,"Đã đóng học phí")</f>
        <v>0</v>
      </c>
      <c r="X56" s="398">
        <f>SUMIFS('KIDS&amp;ADULTS'!$Z$3:$Z$492,'KIDS&amp;ADULTS'!$V$3:$V$492,T56,'KIDS&amp;ADULTS'!$B$3:$B$492,$X$3,'KIDS&amp;ADULTS'!$N$3:$N$492,"Đã đóng học phí")</f>
        <v>0</v>
      </c>
      <c r="Y56" s="398">
        <f>SUMIFS('KIDS&amp;ADULTS'!$Z$3:$Z$492,'KIDS&amp;ADULTS'!$V$3:$V$492,T56,'KIDS&amp;ADULTS'!$B$3:$B$492,$Y$3,'KIDS&amp;ADULTS'!$N$3:$N$492,"Đã đóng học phí")</f>
        <v>2908900</v>
      </c>
      <c r="Z56" s="398">
        <f>SUMIFS('KIDS&amp;ADULTS'!$Z$3:$Z$492,'KIDS&amp;ADULTS'!$V$3:$V$492,T56,'KIDS&amp;ADULTS'!$B$3:$B$492,$Z$3,'KIDS&amp;ADULTS'!$N$3:$N$492,"Đã đóng học phí")</f>
        <v>0</v>
      </c>
      <c r="AA56" s="398">
        <f>SUMIFS('KIDS&amp;ADULTS'!$Z$3:$Z$492,'KIDS&amp;ADULTS'!$V$3:$V$492,T56,'KIDS&amp;ADULTS'!$B$3:$B$492,$AA$3,'KIDS&amp;ADULTS'!$N$3:$N$492,"Đã đóng học phí")</f>
        <v>0</v>
      </c>
      <c r="AB56" s="398">
        <f t="shared" si="8"/>
        <v>2908900</v>
      </c>
      <c r="AC56" s="386"/>
    </row>
    <row r="57" ht="15.75" customHeight="1">
      <c r="T57" s="420">
        <v>45095.0</v>
      </c>
      <c r="U57" s="398">
        <f>SUMIFS('KIDS&amp;ADULTS'!$Z$3:$Z$492,'KIDS&amp;ADULTS'!V$3:V$492,T57,'KIDS&amp;ADULTS'!$B$3:$B$492,$K$3,'KIDS&amp;ADULTS'!$N$3:$N$492,"Đã đóng học phí")</f>
        <v>0</v>
      </c>
      <c r="V57" s="398">
        <f>SUMIFS('KIDS&amp;ADULTS'!$Z$3:$Z$492,'KIDS&amp;ADULTS'!$V$3:$V$492,T57,'KIDS&amp;ADULTS'!$B$3:$B$492,$W$3,'KIDS&amp;ADULTS'!$N$3:$N$492,"Đã đóng học phí")</f>
        <v>0</v>
      </c>
      <c r="W57" s="398">
        <f>SUMIFS('KIDS&amp;ADULTS'!$Z$3:$Z$492,'KIDS&amp;ADULTS'!$V$3:$V$492,T57,'KIDS&amp;ADULTS'!$B$3:$B$492,$W$3,'KIDS&amp;ADULTS'!$N$3:$N$492,"Đã đóng học phí")</f>
        <v>0</v>
      </c>
      <c r="X57" s="398">
        <f>SUMIFS('KIDS&amp;ADULTS'!$Z$3:$Z$492,'KIDS&amp;ADULTS'!$V$3:$V$492,T57,'KIDS&amp;ADULTS'!$B$3:$B$492,$X$3,'KIDS&amp;ADULTS'!$N$3:$N$492,"Đã đóng học phí")</f>
        <v>0</v>
      </c>
      <c r="Y57" s="398">
        <f>SUMIFS('KIDS&amp;ADULTS'!$Z$3:$Z$492,'KIDS&amp;ADULTS'!$V$3:$V$492,T57,'KIDS&amp;ADULTS'!$B$3:$B$492,$Y$3,'KIDS&amp;ADULTS'!$N$3:$N$492,"Đã đóng học phí")</f>
        <v>4165000</v>
      </c>
      <c r="Z57" s="398">
        <f>SUMIFS('KIDS&amp;ADULTS'!$Z$3:$Z$492,'KIDS&amp;ADULTS'!$V$3:$V$492,T57,'KIDS&amp;ADULTS'!$B$3:$B$492,$Z$3,'KIDS&amp;ADULTS'!$N$3:$N$492,"Đã đóng học phí")</f>
        <v>0</v>
      </c>
      <c r="AA57" s="398">
        <f>SUMIFS('KIDS&amp;ADULTS'!$Z$3:$Z$492,'KIDS&amp;ADULTS'!$V$3:$V$492,T57,'KIDS&amp;ADULTS'!$B$3:$B$492,$AA$3,'KIDS&amp;ADULTS'!$N$3:$N$492,"Đã đóng học phí")</f>
        <v>0</v>
      </c>
      <c r="AB57" s="398">
        <f t="shared" si="8"/>
        <v>4165000</v>
      </c>
      <c r="AC57" s="386"/>
    </row>
    <row r="58" ht="15.75" customHeight="1">
      <c r="T58" s="420">
        <v>45096.0</v>
      </c>
      <c r="U58" s="398">
        <f>SUMIFS('KIDS&amp;ADULTS'!$Z$3:$Z$492,'KIDS&amp;ADULTS'!V$3:V$492,T58,'KIDS&amp;ADULTS'!$B$3:$B$492,$K$3,'KIDS&amp;ADULTS'!$N$3:$N$492,"Đã đóng học phí")</f>
        <v>0</v>
      </c>
      <c r="V58" s="398">
        <f>SUMIFS('KIDS&amp;ADULTS'!$Z$3:$Z$492,'KIDS&amp;ADULTS'!$V$3:$V$492,T58,'KIDS&amp;ADULTS'!$B$3:$B$492,$W$3,'KIDS&amp;ADULTS'!$N$3:$N$492,"Đã đóng học phí")</f>
        <v>0</v>
      </c>
      <c r="W58" s="398">
        <f>SUMIFS('KIDS&amp;ADULTS'!$Z$3:$Z$492,'KIDS&amp;ADULTS'!$V$3:$V$492,T58,'KIDS&amp;ADULTS'!$B$3:$B$492,$W$3,'KIDS&amp;ADULTS'!$N$3:$N$492,"Đã đóng học phí")</f>
        <v>0</v>
      </c>
      <c r="X58" s="398">
        <f>SUMIFS('KIDS&amp;ADULTS'!$Z$3:$Z$492,'KIDS&amp;ADULTS'!$V$3:$V$492,T58,'KIDS&amp;ADULTS'!$B$3:$B$492,$X$3,'KIDS&amp;ADULTS'!$N$3:$N$492,"Đã đóng học phí")</f>
        <v>0</v>
      </c>
      <c r="Y58" s="398">
        <f>SUMIFS('KIDS&amp;ADULTS'!$Z$3:$Z$492,'KIDS&amp;ADULTS'!$V$3:$V$492,T58,'KIDS&amp;ADULTS'!$B$3:$B$492,$Y$3,'KIDS&amp;ADULTS'!$N$3:$N$492,"Đã đóng học phí")</f>
        <v>0</v>
      </c>
      <c r="Z58" s="398">
        <f>SUMIFS('KIDS&amp;ADULTS'!$Z$3:$Z$492,'KIDS&amp;ADULTS'!$V$3:$V$492,T58,'KIDS&amp;ADULTS'!$B$3:$B$492,$Z$3,'KIDS&amp;ADULTS'!$N$3:$N$492,"Đã đóng học phí")</f>
        <v>0</v>
      </c>
      <c r="AA58" s="398">
        <f>SUMIFS('KIDS&amp;ADULTS'!$Z$3:$Z$492,'KIDS&amp;ADULTS'!$V$3:$V$492,T58,'KIDS&amp;ADULTS'!$B$3:$B$492,$AA$3,'KIDS&amp;ADULTS'!$N$3:$N$492,"Đã đóng học phí")</f>
        <v>4348600</v>
      </c>
      <c r="AB58" s="398">
        <f t="shared" si="8"/>
        <v>4348600</v>
      </c>
      <c r="AC58" s="386"/>
    </row>
    <row r="59" ht="15.75" customHeight="1">
      <c r="T59" s="420">
        <v>45097.0</v>
      </c>
      <c r="U59" s="398">
        <f>SUMIFS('KIDS&amp;ADULTS'!$Z$3:$Z$492,'KIDS&amp;ADULTS'!V$3:V$492,T59,'KIDS&amp;ADULTS'!$B$3:$B$492,$K$3,'KIDS&amp;ADULTS'!$N$3:$N$492,"Đã đóng học phí")</f>
        <v>0</v>
      </c>
      <c r="V59" s="398">
        <f>SUMIFS('KIDS&amp;ADULTS'!$Z$3:$Z$492,'KIDS&amp;ADULTS'!$V$3:$V$492,T59,'KIDS&amp;ADULTS'!$B$3:$B$492,$W$3,'KIDS&amp;ADULTS'!$N$3:$N$492,"Đã đóng học phí")</f>
        <v>0</v>
      </c>
      <c r="W59" s="398">
        <f>SUMIFS('KIDS&amp;ADULTS'!$Z$3:$Z$492,'KIDS&amp;ADULTS'!$V$3:$V$492,T59,'KIDS&amp;ADULTS'!$B$3:$B$492,$W$3,'KIDS&amp;ADULTS'!$N$3:$N$492,"Đã đóng học phí")</f>
        <v>0</v>
      </c>
      <c r="X59" s="398">
        <f>SUMIFS('KIDS&amp;ADULTS'!$Z$3:$Z$492,'KIDS&amp;ADULTS'!$V$3:$V$492,T59,'KIDS&amp;ADULTS'!$B$3:$B$492,$X$3,'KIDS&amp;ADULTS'!$N$3:$N$492,"Đã đóng học phí")</f>
        <v>0</v>
      </c>
      <c r="Y59" s="398">
        <f>SUMIFS('KIDS&amp;ADULTS'!$Z$3:$Z$492,'KIDS&amp;ADULTS'!$V$3:$V$492,T59,'KIDS&amp;ADULTS'!$B$3:$B$492,$Y$3,'KIDS&amp;ADULTS'!$N$3:$N$492,"Đã đóng học phí")</f>
        <v>5021680</v>
      </c>
      <c r="Z59" s="398">
        <f>SUMIFS('KIDS&amp;ADULTS'!$Z$3:$Z$492,'KIDS&amp;ADULTS'!$V$3:$V$492,T59,'KIDS&amp;ADULTS'!$B$3:$B$492,$Z$3,'KIDS&amp;ADULTS'!$N$3:$N$492,"Đã đóng học phí")</f>
        <v>0</v>
      </c>
      <c r="AA59" s="398">
        <f>SUMIFS('KIDS&amp;ADULTS'!$Z$3:$Z$492,'KIDS&amp;ADULTS'!$V$3:$V$492,T59,'KIDS&amp;ADULTS'!$B$3:$B$492,$AA$3,'KIDS&amp;ADULTS'!$N$3:$N$492,"Đã đóng học phí")</f>
        <v>0</v>
      </c>
      <c r="AB59" s="398">
        <f t="shared" si="8"/>
        <v>5021680</v>
      </c>
      <c r="AC59" s="386"/>
    </row>
    <row r="60" ht="15.75" customHeight="1">
      <c r="T60" s="420">
        <v>45098.0</v>
      </c>
      <c r="U60" s="398">
        <f>SUMIFS('KIDS&amp;ADULTS'!$Z$3:$Z$492,'KIDS&amp;ADULTS'!V$3:V$492,T60,'KIDS&amp;ADULTS'!$B$3:$B$492,$K$3,'KIDS&amp;ADULTS'!$N$3:$N$492,"Đã đóng học phí")</f>
        <v>0</v>
      </c>
      <c r="V60" s="398">
        <f>SUMIFS('KIDS&amp;ADULTS'!$Z$3:$Z$492,'KIDS&amp;ADULTS'!$V$3:$V$492,T60,'KIDS&amp;ADULTS'!$B$3:$B$492,$W$3,'KIDS&amp;ADULTS'!$N$3:$N$492,"Đã đóng học phí")</f>
        <v>0</v>
      </c>
      <c r="W60" s="398">
        <f>SUMIFS('KIDS&amp;ADULTS'!$Z$3:$Z$492,'KIDS&amp;ADULTS'!$V$3:$V$492,T60,'KIDS&amp;ADULTS'!$B$3:$B$492,$W$3,'KIDS&amp;ADULTS'!$N$3:$N$492,"Đã đóng học phí")</f>
        <v>0</v>
      </c>
      <c r="X60" s="398">
        <f>SUMIFS('KIDS&amp;ADULTS'!$Z$3:$Z$492,'KIDS&amp;ADULTS'!$V$3:$V$492,T60,'KIDS&amp;ADULTS'!$B$3:$B$492,$X$3,'KIDS&amp;ADULTS'!$N$3:$N$492,"Đã đóng học phí")</f>
        <v>8114300</v>
      </c>
      <c r="Y60" s="398">
        <f>SUMIFS('KIDS&amp;ADULTS'!$Z$3:$Z$492,'KIDS&amp;ADULTS'!$V$3:$V$492,T60,'KIDS&amp;ADULTS'!$B$3:$B$492,$Y$3,'KIDS&amp;ADULTS'!$N$3:$N$492,"Đã đóng học phí")</f>
        <v>2908900</v>
      </c>
      <c r="Z60" s="398">
        <f>SUMIFS('KIDS&amp;ADULTS'!$Z$3:$Z$492,'KIDS&amp;ADULTS'!$V$3:$V$492,T60,'KIDS&amp;ADULTS'!$B$3:$B$492,$Z$3,'KIDS&amp;ADULTS'!$N$3:$N$492,"Đã đóng học phí")</f>
        <v>0</v>
      </c>
      <c r="AA60" s="398">
        <f>SUMIFS('KIDS&amp;ADULTS'!$Z$3:$Z$492,'KIDS&amp;ADULTS'!$V$3:$V$492,T60,'KIDS&amp;ADULTS'!$B$3:$B$492,$AA$3,'KIDS&amp;ADULTS'!$N$3:$N$492,"Đã đóng học phí")</f>
        <v>0</v>
      </c>
      <c r="AB60" s="398">
        <f t="shared" si="8"/>
        <v>11023200</v>
      </c>
      <c r="AC60" s="386"/>
    </row>
    <row r="61" ht="15.75" customHeight="1">
      <c r="T61" s="420">
        <v>45099.0</v>
      </c>
      <c r="U61" s="398">
        <f>SUMIFS('KIDS&amp;ADULTS'!$Z$3:$Z$492,'KIDS&amp;ADULTS'!V$3:V$492,T61,'KIDS&amp;ADULTS'!$B$3:$B$492,$K$3,'KIDS&amp;ADULTS'!$N$3:$N$492,"Đã đóng học phí")</f>
        <v>0</v>
      </c>
      <c r="V61" s="398">
        <f>SUMIFS('KIDS&amp;ADULTS'!$Z$3:$Z$492,'KIDS&amp;ADULTS'!$V$3:$V$492,T61,'KIDS&amp;ADULTS'!$B$3:$B$492,$W$3,'KIDS&amp;ADULTS'!$N$3:$N$492,"Đã đóng học phí")</f>
        <v>0</v>
      </c>
      <c r="W61" s="398">
        <f>SUMIFS('KIDS&amp;ADULTS'!$Z$3:$Z$492,'KIDS&amp;ADULTS'!$V$3:$V$492,T61,'KIDS&amp;ADULTS'!$B$3:$B$492,$W$3,'KIDS&amp;ADULTS'!$N$3:$N$492,"Đã đóng học phí")</f>
        <v>0</v>
      </c>
      <c r="X61" s="398">
        <f>SUMIFS('KIDS&amp;ADULTS'!$Z$3:$Z$492,'KIDS&amp;ADULTS'!$V$3:$V$492,T61,'KIDS&amp;ADULTS'!$B$3:$B$492,$X$3,'KIDS&amp;ADULTS'!$N$3:$N$492,"Đã đóng học phí")</f>
        <v>2908900</v>
      </c>
      <c r="Y61" s="398">
        <f>SUMIFS('KIDS&amp;ADULTS'!$Z$3:$Z$492,'KIDS&amp;ADULTS'!$V$3:$V$492,T61,'KIDS&amp;ADULTS'!$B$3:$B$492,$Y$3,'KIDS&amp;ADULTS'!$N$3:$N$492,"Đã đóng học phí")</f>
        <v>0</v>
      </c>
      <c r="Z61" s="398">
        <f>SUMIFS('KIDS&amp;ADULTS'!$Z$3:$Z$492,'KIDS&amp;ADULTS'!$V$3:$V$492,T61,'KIDS&amp;ADULTS'!$B$3:$B$492,$Z$3,'KIDS&amp;ADULTS'!$N$3:$N$492,"Đã đóng học phí")</f>
        <v>0</v>
      </c>
      <c r="AA61" s="398">
        <f>SUMIFS('KIDS&amp;ADULTS'!$Z$3:$Z$492,'KIDS&amp;ADULTS'!$V$3:$V$492,T61,'KIDS&amp;ADULTS'!$B$3:$B$492,$AA$3,'KIDS&amp;ADULTS'!$N$3:$N$492,"Đã đóng học phí")</f>
        <v>0</v>
      </c>
      <c r="AB61" s="398">
        <f t="shared" si="8"/>
        <v>2908900</v>
      </c>
      <c r="AC61" s="386"/>
    </row>
    <row r="62" ht="15.75" customHeight="1">
      <c r="T62" s="420">
        <v>45100.0</v>
      </c>
      <c r="U62" s="398">
        <f>SUMIFS('KIDS&amp;ADULTS'!$Z$3:$Z$492,'KIDS&amp;ADULTS'!V$3:V$492,T62,'KIDS&amp;ADULTS'!$B$3:$B$492,$K$3,'KIDS&amp;ADULTS'!$N$3:$N$492,"Đã đóng học phí")</f>
        <v>0</v>
      </c>
      <c r="V62" s="398">
        <f>SUMIFS('KIDS&amp;ADULTS'!$Z$3:$Z$492,'KIDS&amp;ADULTS'!$V$3:$V$492,T62,'KIDS&amp;ADULTS'!$B$3:$B$492,$W$3,'KIDS&amp;ADULTS'!$N$3:$N$492,"Đã đóng học phí")</f>
        <v>0</v>
      </c>
      <c r="W62" s="398">
        <f>SUMIFS('KIDS&amp;ADULTS'!$Z$3:$Z$492,'KIDS&amp;ADULTS'!$V$3:$V$492,T62,'KIDS&amp;ADULTS'!$B$3:$B$492,$W$3,'KIDS&amp;ADULTS'!$N$3:$N$492,"Đã đóng học phí")</f>
        <v>0</v>
      </c>
      <c r="X62" s="398">
        <f>SUMIFS('KIDS&amp;ADULTS'!$Z$3:$Z$492,'KIDS&amp;ADULTS'!$V$3:$V$492,T62,'KIDS&amp;ADULTS'!$B$3:$B$492,$X$3,'KIDS&amp;ADULTS'!$N$3:$N$492,"Đã đóng học phí")</f>
        <v>0</v>
      </c>
      <c r="Y62" s="398">
        <f>SUMIFS('KIDS&amp;ADULTS'!$Z$3:$Z$492,'KIDS&amp;ADULTS'!$V$3:$V$492,T62,'KIDS&amp;ADULTS'!$B$3:$B$492,$Y$3,'KIDS&amp;ADULTS'!$N$3:$N$492,"Đã đóng học phí")</f>
        <v>0</v>
      </c>
      <c r="Z62" s="398">
        <f>SUMIFS('KIDS&amp;ADULTS'!$Z$3:$Z$492,'KIDS&amp;ADULTS'!$V$3:$V$492,T62,'KIDS&amp;ADULTS'!$B$3:$B$492,$Z$3,'KIDS&amp;ADULTS'!$N$3:$N$492,"Đã đóng học phí")</f>
        <v>0</v>
      </c>
      <c r="AA62" s="398">
        <f>SUMIFS('KIDS&amp;ADULTS'!$Z$3:$Z$492,'KIDS&amp;ADULTS'!$V$3:$V$492,T62,'KIDS&amp;ADULTS'!$B$3:$B$492,$AA$3,'KIDS&amp;ADULTS'!$N$3:$N$492,"Đã đóng học phí")</f>
        <v>0</v>
      </c>
      <c r="AB62" s="398">
        <f t="shared" si="8"/>
        <v>0</v>
      </c>
      <c r="AC62" s="386"/>
    </row>
    <row r="63" ht="15.75" customHeight="1">
      <c r="T63" s="420">
        <v>45101.0</v>
      </c>
      <c r="U63" s="398">
        <f>SUMIFS('KIDS&amp;ADULTS'!$Z$3:$Z$492,'KIDS&amp;ADULTS'!V$3:V$492,T63,'KIDS&amp;ADULTS'!$B$3:$B$492,$K$3,'KIDS&amp;ADULTS'!$N$3:$N$492,"Đã đóng học phí")</f>
        <v>0</v>
      </c>
      <c r="V63" s="398">
        <f>SUMIFS('KIDS&amp;ADULTS'!$Z$3:$Z$492,'KIDS&amp;ADULTS'!$V$3:$V$492,T63,'KIDS&amp;ADULTS'!$B$3:$B$492,$W$3,'KIDS&amp;ADULTS'!$N$3:$N$492,"Đã đóng học phí")</f>
        <v>0</v>
      </c>
      <c r="W63" s="398">
        <f>SUMIFS('KIDS&amp;ADULTS'!$Z$3:$Z$492,'KIDS&amp;ADULTS'!$V$3:$V$492,T63,'KIDS&amp;ADULTS'!$B$3:$B$492,$W$3,'KIDS&amp;ADULTS'!$N$3:$N$492,"Đã đóng học phí")</f>
        <v>0</v>
      </c>
      <c r="X63" s="398">
        <f>SUMIFS('KIDS&amp;ADULTS'!$Z$3:$Z$492,'KIDS&amp;ADULTS'!$V$3:$V$492,T63,'KIDS&amp;ADULTS'!$B$3:$B$492,$X$3,'KIDS&amp;ADULTS'!$N$3:$N$492,"Đã đóng học phí")</f>
        <v>0</v>
      </c>
      <c r="Y63" s="398">
        <f>SUMIFS('KIDS&amp;ADULTS'!$Z$3:$Z$492,'KIDS&amp;ADULTS'!$V$3:$V$492,T63,'KIDS&amp;ADULTS'!$B$3:$B$492,$Y$3,'KIDS&amp;ADULTS'!$N$3:$N$492,"Đã đóng học phí")</f>
        <v>0</v>
      </c>
      <c r="Z63" s="398">
        <f>SUMIFS('KIDS&amp;ADULTS'!$Z$3:$Z$492,'KIDS&amp;ADULTS'!$V$3:$V$492,T63,'KIDS&amp;ADULTS'!$B$3:$B$492,$Z$3,'KIDS&amp;ADULTS'!$N$3:$N$492,"Đã đóng học phí")</f>
        <v>0</v>
      </c>
      <c r="AA63" s="398">
        <f>SUMIFS('KIDS&amp;ADULTS'!$Z$3:$Z$492,'KIDS&amp;ADULTS'!$V$3:$V$492,T63,'KIDS&amp;ADULTS'!$B$3:$B$492,$AA$3,'KIDS&amp;ADULTS'!$N$3:$N$492,"Đã đóng học phí")</f>
        <v>0</v>
      </c>
      <c r="AB63" s="398">
        <f t="shared" si="8"/>
        <v>0</v>
      </c>
      <c r="AC63" s="386"/>
    </row>
    <row r="64" ht="15.75" customHeight="1">
      <c r="T64" s="420">
        <v>45102.0</v>
      </c>
      <c r="U64" s="398">
        <f>SUMIFS('KIDS&amp;ADULTS'!$Z$3:$Z$492,'KIDS&amp;ADULTS'!V$3:V$492,T64,'KIDS&amp;ADULTS'!$B$3:$B$492,$K$3,'KIDS&amp;ADULTS'!$N$3:$N$492,"Đã đóng học phí")</f>
        <v>0</v>
      </c>
      <c r="V64" s="398">
        <f>SUMIFS('KIDS&amp;ADULTS'!$Z$3:$Z$492,'KIDS&amp;ADULTS'!$V$3:$V$492,T64,'KIDS&amp;ADULTS'!$B$3:$B$492,$W$3,'KIDS&amp;ADULTS'!$N$3:$N$492,"Đã đóng học phí")</f>
        <v>0</v>
      </c>
      <c r="W64" s="398">
        <f>SUMIFS('KIDS&amp;ADULTS'!$Z$3:$Z$492,'KIDS&amp;ADULTS'!$V$3:$V$492,T64,'KIDS&amp;ADULTS'!$B$3:$B$492,$W$3,'KIDS&amp;ADULTS'!$N$3:$N$492,"Đã đóng học phí")</f>
        <v>0</v>
      </c>
      <c r="X64" s="398">
        <f>SUMIFS('KIDS&amp;ADULTS'!$Z$3:$Z$492,'KIDS&amp;ADULTS'!$V$3:$V$492,T64,'KIDS&amp;ADULTS'!$B$3:$B$492,$X$3,'KIDS&amp;ADULTS'!$N$3:$N$492,"Đã đóng học phí")</f>
        <v>0</v>
      </c>
      <c r="Y64" s="398">
        <f>SUMIFS('KIDS&amp;ADULTS'!$Z$3:$Z$492,'KIDS&amp;ADULTS'!$V$3:$V$492,T64,'KIDS&amp;ADULTS'!$B$3:$B$492,$Y$3,'KIDS&amp;ADULTS'!$N$3:$N$492,"Đã đóng học phí")</f>
        <v>3325400</v>
      </c>
      <c r="Z64" s="398">
        <f>SUMIFS('KIDS&amp;ADULTS'!$Z$3:$Z$492,'KIDS&amp;ADULTS'!$V$3:$V$492,T64,'KIDS&amp;ADULTS'!$B$3:$B$492,$Z$3,'KIDS&amp;ADULTS'!$N$3:$N$492,"Đã đóng học phí")</f>
        <v>0</v>
      </c>
      <c r="AA64" s="398">
        <f>SUMIFS('KIDS&amp;ADULTS'!$Z$3:$Z$492,'KIDS&amp;ADULTS'!$V$3:$V$492,T64,'KIDS&amp;ADULTS'!$B$3:$B$492,$AA$3,'KIDS&amp;ADULTS'!$N$3:$N$492,"Đã đóng học phí")</f>
        <v>0</v>
      </c>
      <c r="AB64" s="398">
        <f t="shared" si="8"/>
        <v>3325400</v>
      </c>
      <c r="AC64" s="386"/>
    </row>
    <row r="65" ht="15.75" customHeight="1">
      <c r="T65" s="420">
        <v>45103.0</v>
      </c>
      <c r="U65" s="398">
        <f>SUMIFS('KIDS&amp;ADULTS'!$Z$3:$Z$492,'KIDS&amp;ADULTS'!V$3:V$492,T65,'KIDS&amp;ADULTS'!$B$3:$B$492,$K$3,'KIDS&amp;ADULTS'!$N$3:$N$492,"Đã đóng học phí")</f>
        <v>0</v>
      </c>
      <c r="V65" s="398">
        <f>SUMIFS('KIDS&amp;ADULTS'!$Z$3:$Z$492,'KIDS&amp;ADULTS'!$V$3:$V$492,T65,'KIDS&amp;ADULTS'!$B$3:$B$492,$W$3,'KIDS&amp;ADULTS'!$N$3:$N$492,"Đã đóng học phí")</f>
        <v>0</v>
      </c>
      <c r="W65" s="398">
        <f>SUMIFS('KIDS&amp;ADULTS'!$Z$3:$Z$492,'KIDS&amp;ADULTS'!$V$3:$V$492,T65,'KIDS&amp;ADULTS'!$B$3:$B$492,$W$3,'KIDS&amp;ADULTS'!$N$3:$N$492,"Đã đóng học phí")</f>
        <v>0</v>
      </c>
      <c r="X65" s="398">
        <f>SUMIFS('KIDS&amp;ADULTS'!$Z$3:$Z$492,'KIDS&amp;ADULTS'!$V$3:$V$492,T65,'KIDS&amp;ADULTS'!$B$3:$B$492,$X$3,'KIDS&amp;ADULTS'!$N$3:$N$492,"Đã đóng học phí")</f>
        <v>17712138</v>
      </c>
      <c r="Y65" s="398">
        <f>SUMIFS('KIDS&amp;ADULTS'!$Z$3:$Z$492,'KIDS&amp;ADULTS'!$V$3:$V$492,T65,'KIDS&amp;ADULTS'!$B$3:$B$492,$Y$3,'KIDS&amp;ADULTS'!$N$3:$N$492,"Đã đóng học phí")</f>
        <v>0</v>
      </c>
      <c r="Z65" s="398">
        <f>SUMIFS('KIDS&amp;ADULTS'!$Z$3:$Z$492,'KIDS&amp;ADULTS'!$V$3:$V$492,T65,'KIDS&amp;ADULTS'!$B$3:$B$492,$Z$3,'KIDS&amp;ADULTS'!$N$3:$N$492,"Đã đóng học phí")</f>
        <v>0</v>
      </c>
      <c r="AA65" s="398">
        <f>SUMIFS('KIDS&amp;ADULTS'!$Z$3:$Z$492,'KIDS&amp;ADULTS'!$V$3:$V$492,T65,'KIDS&amp;ADULTS'!$B$3:$B$492,$AA$3,'KIDS&amp;ADULTS'!$N$3:$N$492,"Đã đóng học phí")</f>
        <v>0</v>
      </c>
      <c r="AB65" s="398">
        <f t="shared" si="8"/>
        <v>17712138</v>
      </c>
      <c r="AC65" s="386"/>
    </row>
    <row r="66" ht="15.75" customHeight="1">
      <c r="T66" s="420">
        <v>45104.0</v>
      </c>
      <c r="U66" s="398">
        <f>SUMIFS('KIDS&amp;ADULTS'!$Z$3:$Z$492,'KIDS&amp;ADULTS'!V$3:V$492,T66,'KIDS&amp;ADULTS'!$B$3:$B$492,$K$3,'KIDS&amp;ADULTS'!$N$3:$N$492,"Đã đóng học phí")</f>
        <v>0</v>
      </c>
      <c r="V66" s="398">
        <f>SUMIFS('KIDS&amp;ADULTS'!$Z$3:$Z$492,'KIDS&amp;ADULTS'!$V$3:$V$492,T66,'KIDS&amp;ADULTS'!$B$3:$B$492,$W$3,'KIDS&amp;ADULTS'!$N$3:$N$492,"Đã đóng học phí")</f>
        <v>0</v>
      </c>
      <c r="W66" s="398">
        <f>SUMIFS('KIDS&amp;ADULTS'!$Z$3:$Z$492,'KIDS&amp;ADULTS'!$V$3:$V$492,T66,'KIDS&amp;ADULTS'!$B$3:$B$492,$W$3,'KIDS&amp;ADULTS'!$N$3:$N$492,"Đã đóng học phí")</f>
        <v>0</v>
      </c>
      <c r="X66" s="398">
        <f>SUMIFS('KIDS&amp;ADULTS'!$Z$3:$Z$492,'KIDS&amp;ADULTS'!$V$3:$V$492,T66,'KIDS&amp;ADULTS'!$B$3:$B$492,$X$3,'KIDS&amp;ADULTS'!$N$3:$N$492,"Đã đóng học phí")</f>
        <v>5205400</v>
      </c>
      <c r="Y66" s="398">
        <f>SUMIFS('KIDS&amp;ADULTS'!$Z$3:$Z$492,'KIDS&amp;ADULTS'!$V$3:$V$492,T66,'KIDS&amp;ADULTS'!$B$3:$B$492,$Y$3,'KIDS&amp;ADULTS'!$N$3:$N$492,"Đã đóng học phí")</f>
        <v>0</v>
      </c>
      <c r="Z66" s="398">
        <f>SUMIFS('KIDS&amp;ADULTS'!$Z$3:$Z$492,'KIDS&amp;ADULTS'!$V$3:$V$492,T66,'KIDS&amp;ADULTS'!$B$3:$B$492,$Z$3,'KIDS&amp;ADULTS'!$N$3:$N$492,"Đã đóng học phí")</f>
        <v>0</v>
      </c>
      <c r="AA66" s="398">
        <f>SUMIFS('KIDS&amp;ADULTS'!$Z$3:$Z$492,'KIDS&amp;ADULTS'!$V$3:$V$492,T66,'KIDS&amp;ADULTS'!$B$3:$B$492,$AA$3,'KIDS&amp;ADULTS'!$N$3:$N$492,"Đã đóng học phí")</f>
        <v>0</v>
      </c>
      <c r="AB66" s="398">
        <f t="shared" si="8"/>
        <v>5205400</v>
      </c>
      <c r="AC66" s="386"/>
    </row>
    <row r="67" ht="15.75" customHeight="1">
      <c r="T67" s="420">
        <v>45105.0</v>
      </c>
      <c r="U67" s="398">
        <f>SUMIFS('KIDS&amp;ADULTS'!$Z$3:$Z$492,'KIDS&amp;ADULTS'!V$3:V$492,T67,'KIDS&amp;ADULTS'!$B$3:$B$492,$K$3,'KIDS&amp;ADULTS'!$N$3:$N$492,"Đã đóng học phí")</f>
        <v>0</v>
      </c>
      <c r="V67" s="398">
        <f>SUMIFS('KIDS&amp;ADULTS'!$Z$3:$Z$492,'KIDS&amp;ADULTS'!$V$3:$V$492,T67,'KIDS&amp;ADULTS'!$B$3:$B$492,$W$3,'KIDS&amp;ADULTS'!$N$3:$N$492,"Đã đóng học phí")</f>
        <v>0</v>
      </c>
      <c r="W67" s="398">
        <f>SUMIFS('KIDS&amp;ADULTS'!$Z$3:$Z$492,'KIDS&amp;ADULTS'!$V$3:$V$492,T67,'KIDS&amp;ADULTS'!$B$3:$B$492,$W$3,'KIDS&amp;ADULTS'!$N$3:$N$492,"Đã đóng học phí")</f>
        <v>0</v>
      </c>
      <c r="X67" s="398">
        <f>SUMIFS('KIDS&amp;ADULTS'!$Z$3:$Z$492,'KIDS&amp;ADULTS'!$V$3:$V$492,T67,'KIDS&amp;ADULTS'!$B$3:$B$492,$X$3,'KIDS&amp;ADULTS'!$N$3:$N$492,"Đã đóng học phí")</f>
        <v>0</v>
      </c>
      <c r="Y67" s="398">
        <f>SUMIFS('KIDS&amp;ADULTS'!$Z$3:$Z$492,'KIDS&amp;ADULTS'!$V$3:$V$492,T67,'KIDS&amp;ADULTS'!$B$3:$B$492,$Y$3,'KIDS&amp;ADULTS'!$N$3:$N$492,"Đã đóng học phí")</f>
        <v>8312500</v>
      </c>
      <c r="Z67" s="398">
        <f>SUMIFS('KIDS&amp;ADULTS'!$Z$3:$Z$492,'KIDS&amp;ADULTS'!$V$3:$V$492,T67,'KIDS&amp;ADULTS'!$B$3:$B$492,$Z$3,'KIDS&amp;ADULTS'!$N$3:$N$492,"Đã đóng học phí")</f>
        <v>0</v>
      </c>
      <c r="AA67" s="398">
        <f>SUMIFS('KIDS&amp;ADULTS'!$Z$3:$Z$492,'KIDS&amp;ADULTS'!$V$3:$V$492,T67,'KIDS&amp;ADULTS'!$B$3:$B$492,$AA$3,'KIDS&amp;ADULTS'!$N$3:$N$492,"Đã đóng học phí")</f>
        <v>0</v>
      </c>
      <c r="AB67" s="398">
        <f t="shared" si="8"/>
        <v>8312500</v>
      </c>
      <c r="AC67" s="386"/>
    </row>
    <row r="68" ht="15.75" customHeight="1">
      <c r="T68" s="420">
        <v>45106.0</v>
      </c>
      <c r="U68" s="398">
        <f>SUMIFS('KIDS&amp;ADULTS'!$Z$3:$Z$492,'KIDS&amp;ADULTS'!V$3:V$492,T68,'KIDS&amp;ADULTS'!$B$3:$B$492,$K$3,'KIDS&amp;ADULTS'!$N$3:$N$492,"Đã đóng học phí")</f>
        <v>0</v>
      </c>
      <c r="V68" s="398">
        <f>SUMIFS('KIDS&amp;ADULTS'!$Z$3:$Z$492,'KIDS&amp;ADULTS'!$V$3:$V$492,T68,'KIDS&amp;ADULTS'!$B$3:$B$492,$W$3,'KIDS&amp;ADULTS'!$N$3:$N$492,"Đã đóng học phí")</f>
        <v>0</v>
      </c>
      <c r="W68" s="398">
        <f>SUMIFS('KIDS&amp;ADULTS'!$Z$3:$Z$492,'KIDS&amp;ADULTS'!$V$3:$V$492,T68,'KIDS&amp;ADULTS'!$B$3:$B$492,$W$3,'KIDS&amp;ADULTS'!$N$3:$N$492,"Đã đóng học phí")</f>
        <v>0</v>
      </c>
      <c r="X68" s="398">
        <f>SUMIFS('KIDS&amp;ADULTS'!$Z$3:$Z$492,'KIDS&amp;ADULTS'!$V$3:$V$492,T68,'KIDS&amp;ADULTS'!$B$3:$B$492,$X$3,'KIDS&amp;ADULTS'!$N$3:$N$492,"Đã đóng học phí")</f>
        <v>9897200</v>
      </c>
      <c r="Y68" s="398">
        <f>SUMIFS('KIDS&amp;ADULTS'!$Z$3:$Z$492,'KIDS&amp;ADULTS'!$V$3:$V$492,T68,'KIDS&amp;ADULTS'!$B$3:$B$492,$Y$3,'KIDS&amp;ADULTS'!$N$3:$N$492,"Đã đóng học phí")</f>
        <v>0</v>
      </c>
      <c r="Z68" s="398">
        <f>SUMIFS('KIDS&amp;ADULTS'!$Z$3:$Z$492,'KIDS&amp;ADULTS'!$V$3:$V$492,T68,'KIDS&amp;ADULTS'!$B$3:$B$492,$Z$3,'KIDS&amp;ADULTS'!$N$3:$N$492,"Đã đóng học phí")</f>
        <v>0</v>
      </c>
      <c r="AA68" s="398">
        <f>SUMIFS('KIDS&amp;ADULTS'!$Z$3:$Z$492,'KIDS&amp;ADULTS'!$V$3:$V$492,T68,'KIDS&amp;ADULTS'!$B$3:$B$492,$AA$3,'KIDS&amp;ADULTS'!$N$3:$N$492,"Đã đóng học phí")</f>
        <v>0</v>
      </c>
      <c r="AB68" s="398">
        <f t="shared" si="8"/>
        <v>9897200</v>
      </c>
      <c r="AC68" s="386"/>
    </row>
    <row r="69" ht="15.75" customHeight="1">
      <c r="T69" s="420">
        <v>45107.0</v>
      </c>
      <c r="U69" s="398">
        <f>SUMIFS('KIDS&amp;ADULTS'!$Z$3:$Z$492,'KIDS&amp;ADULTS'!V$3:V$492,T69,'KIDS&amp;ADULTS'!$B$3:$B$492,$K$3,'KIDS&amp;ADULTS'!$N$3:$N$492,"Đã đóng học phí")</f>
        <v>0</v>
      </c>
      <c r="V69" s="398">
        <f>SUMIFS('KIDS&amp;ADULTS'!$Z$3:$Z$492,'KIDS&amp;ADULTS'!$V$3:$V$492,T69,'KIDS&amp;ADULTS'!$B$3:$B$492,$W$3,'KIDS&amp;ADULTS'!$N$3:$N$492,"Đã đóng học phí")</f>
        <v>0</v>
      </c>
      <c r="W69" s="398">
        <f>SUMIFS('KIDS&amp;ADULTS'!$Z$3:$Z$492,'KIDS&amp;ADULTS'!$V$3:$V$492,T69,'KIDS&amp;ADULTS'!$B$3:$B$492,$W$3,'KIDS&amp;ADULTS'!$N$3:$N$492,"Đã đóng học phí")</f>
        <v>0</v>
      </c>
      <c r="X69" s="398">
        <f>SUMIFS('KIDS&amp;ADULTS'!$Z$3:$Z$492,'KIDS&amp;ADULTS'!$V$3:$V$492,T69,'KIDS&amp;ADULTS'!$B$3:$B$492,$X$3,'KIDS&amp;ADULTS'!$N$3:$N$492,"Đã đóng học phí")</f>
        <v>4783460</v>
      </c>
      <c r="Y69" s="398">
        <f>SUMIFS('KIDS&amp;ADULTS'!$Z$3:$Z$492,'KIDS&amp;ADULTS'!$V$3:$V$492,T69,'KIDS&amp;ADULTS'!$B$3:$B$492,$Y$3,'KIDS&amp;ADULTS'!$N$3:$N$492,"Đã đóng học phí")</f>
        <v>12655400</v>
      </c>
      <c r="Z69" s="398">
        <f>SUMIFS('KIDS&amp;ADULTS'!$Z$3:$Z$492,'KIDS&amp;ADULTS'!$V$3:$V$492,T69,'KIDS&amp;ADULTS'!$B$3:$B$492,$Z$3,'KIDS&amp;ADULTS'!$N$3:$N$492,"Đã đóng học phí")</f>
        <v>0</v>
      </c>
      <c r="AA69" s="398">
        <f>SUMIFS('KIDS&amp;ADULTS'!$Z$3:$Z$492,'KIDS&amp;ADULTS'!$V$3:$V$492,T69,'KIDS&amp;ADULTS'!$B$3:$B$492,$AA$3,'KIDS&amp;ADULTS'!$N$3:$N$492,"Đã đóng học phí")</f>
        <v>0</v>
      </c>
      <c r="AB69" s="398">
        <f t="shared" si="8"/>
        <v>17438860</v>
      </c>
      <c r="AC69" s="386"/>
    </row>
    <row r="70" ht="15.75" customHeight="1">
      <c r="T70" s="388" t="s">
        <v>4622</v>
      </c>
      <c r="U70" s="399">
        <f t="shared" ref="U70:Y70" si="9">SUM(U40:U69)</f>
        <v>0</v>
      </c>
      <c r="V70" s="411">
        <f t="shared" si="9"/>
        <v>0</v>
      </c>
      <c r="W70" s="412">
        <f t="shared" si="9"/>
        <v>0</v>
      </c>
      <c r="X70" s="412">
        <f t="shared" si="9"/>
        <v>56582798</v>
      </c>
      <c r="Y70" s="413">
        <f t="shared" si="9"/>
        <v>73956480</v>
      </c>
      <c r="Z70" s="414">
        <f>SUM(Z38:Z69)</f>
        <v>2302200</v>
      </c>
      <c r="AA70" s="414">
        <f>SUM(AA40:AA69)</f>
        <v>4348600</v>
      </c>
      <c r="AB70" s="400">
        <f t="shared" si="8"/>
        <v>137190078</v>
      </c>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J1:Q1"/>
    <mergeCell ref="K2:Q2"/>
    <mergeCell ref="A1:G1"/>
    <mergeCell ref="H1:I3"/>
    <mergeCell ref="A2:A3"/>
    <mergeCell ref="B2:F2"/>
    <mergeCell ref="G2:G3"/>
    <mergeCell ref="J2:J3"/>
    <mergeCell ref="T2:T3"/>
    <mergeCell ref="U2:AA2"/>
    <mergeCell ref="T37:AA37"/>
    <mergeCell ref="T38:T39"/>
    <mergeCell ref="U38:AA38"/>
    <mergeCell ref="T1:AA1"/>
    <mergeCell ref="AD2:AK2"/>
    <mergeCell ref="AD3:AD4"/>
    <mergeCell ref="AE3:AK3"/>
    <mergeCell ref="AD7:AK7"/>
    <mergeCell ref="AD8:AD9"/>
    <mergeCell ref="AE8:AK8"/>
  </mergeCells>
  <conditionalFormatting sqref="K4:Q33">
    <cfRule type="cellIs" dxfId="1" priority="1" operator="greaterThan">
      <formula>0</formula>
    </cfRule>
  </conditionalFormatting>
  <conditionalFormatting sqref="U4:AA33">
    <cfRule type="cellIs" dxfId="7" priority="2" operator="greaterThan">
      <formula>0</formula>
    </cfRule>
  </conditionalFormatting>
  <conditionalFormatting sqref="U40:AA69">
    <cfRule type="cellIs" dxfId="7" priority="3" operator="greaterThan">
      <formula>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5.38"/>
    <col customWidth="1" min="3" max="5" width="19.0"/>
    <col customWidth="1" min="6" max="6" width="18.25"/>
    <col customWidth="1" min="16" max="16" width="7.0"/>
  </cols>
  <sheetData>
    <row r="1" ht="15.75" customHeight="1">
      <c r="A1" s="357" t="s">
        <v>4724</v>
      </c>
      <c r="I1" s="358" t="s">
        <v>4611</v>
      </c>
      <c r="R1" s="358" t="s">
        <v>4612</v>
      </c>
    </row>
    <row r="2" ht="15.75" customHeight="1">
      <c r="A2" s="359" t="s">
        <v>4613</v>
      </c>
      <c r="B2" s="360" t="s">
        <v>4614</v>
      </c>
      <c r="C2" s="235"/>
      <c r="D2" s="235"/>
      <c r="E2" s="236"/>
      <c r="F2" s="359" t="s">
        <v>4615</v>
      </c>
      <c r="I2" s="361" t="s">
        <v>4613</v>
      </c>
      <c r="J2" s="363" t="s">
        <v>4616</v>
      </c>
      <c r="K2" s="235"/>
      <c r="L2" s="235"/>
      <c r="M2" s="235"/>
      <c r="N2" s="235"/>
      <c r="O2" s="236"/>
      <c r="R2" s="361" t="s">
        <v>4613</v>
      </c>
      <c r="S2" s="363" t="s">
        <v>4616</v>
      </c>
      <c r="T2" s="235"/>
      <c r="U2" s="235"/>
      <c r="V2" s="235"/>
      <c r="W2" s="235"/>
      <c r="X2" s="235"/>
      <c r="Y2" s="236"/>
    </row>
    <row r="3" ht="15.75" customHeight="1">
      <c r="A3" s="11"/>
      <c r="B3" s="365" t="s">
        <v>580</v>
      </c>
      <c r="C3" s="365" t="s">
        <v>66</v>
      </c>
      <c r="D3" s="365" t="s">
        <v>152</v>
      </c>
      <c r="E3" s="365" t="s">
        <v>4618</v>
      </c>
      <c r="F3" s="11"/>
      <c r="I3" s="11"/>
      <c r="J3" s="366" t="s">
        <v>4620</v>
      </c>
      <c r="K3" s="367" t="s">
        <v>4621</v>
      </c>
      <c r="L3" s="368" t="s">
        <v>73</v>
      </c>
      <c r="M3" s="369" t="s">
        <v>201</v>
      </c>
      <c r="N3" s="370" t="s">
        <v>84</v>
      </c>
      <c r="O3" s="371" t="s">
        <v>703</v>
      </c>
      <c r="R3" s="11"/>
      <c r="S3" s="366" t="s">
        <v>4620</v>
      </c>
      <c r="T3" s="367" t="s">
        <v>4621</v>
      </c>
      <c r="U3" s="368" t="s">
        <v>73</v>
      </c>
      <c r="V3" s="369" t="s">
        <v>201</v>
      </c>
      <c r="W3" s="370" t="s">
        <v>84</v>
      </c>
      <c r="X3" s="371" t="s">
        <v>60</v>
      </c>
      <c r="Y3" s="371" t="s">
        <v>703</v>
      </c>
    </row>
    <row r="4" ht="15.75" customHeight="1">
      <c r="A4" s="423">
        <v>45047.0</v>
      </c>
      <c r="B4" s="373">
        <f>sumifs('KIDS&amp;ADULTS'!$Z$3:$Z$142,'KIDS&amp;ADULTS'!$V$3:$V$142,#REF!,'KIDS&amp;ADULTS'!$M$3:$M$142,"Thu")</f>
        <v>0</v>
      </c>
      <c r="C4" s="373">
        <f>sumifs('KIDS&amp;ADULTS'!$Z$3:$Z$182,'KIDS&amp;ADULTS'!$V$3:$V$182,A4,'KIDS&amp;ADULTS'!$M$3:$M$182,"Phương")</f>
        <v>0</v>
      </c>
      <c r="D4" s="373">
        <f>sumifs('KIDS&amp;ADULTS'!$Z$3:$Z$182,'KIDS&amp;ADULTS'!$V$3:$V$182,A4,'KIDS&amp;ADULTS'!$M$3:$M$182,"Cúc")</f>
        <v>0</v>
      </c>
      <c r="E4" s="373">
        <f>sumifs('KIDS&amp;ADULTS'!$Z$3:$Z$190,'KIDS&amp;ADULTS'!$V$3:$V$190,A4,'KIDS&amp;ADULTS'!$M$3:$M$190,"Loan")</f>
        <v>0</v>
      </c>
      <c r="F4" s="373">
        <f t="shared" ref="F4:F34" si="1">sum(B4:E4)</f>
        <v>0</v>
      </c>
      <c r="I4" s="420">
        <v>45047.0</v>
      </c>
      <c r="J4" s="374">
        <f>COUNTIFS('KIDS&amp;ADULTS'!$A$3:$A$54,I4,'KIDS&amp;ADULTS'!$B$3:$B$54,$J$3)</f>
        <v>0</v>
      </c>
      <c r="K4" s="374">
        <f>COUNTIFS('KIDS&amp;ADULTS'!$A$3:$A$54,I4,'KIDS&amp;ADULTS'!$B$3:$B$54,$K$3)</f>
        <v>0</v>
      </c>
      <c r="L4" s="375">
        <f>COUNTIFS('KIDS&amp;ADULTS'!$A$3:$A$54,I4,'KIDS&amp;ADULTS'!$B$3:$B$54,$L$3)</f>
        <v>0</v>
      </c>
      <c r="M4" s="375">
        <f>COUNTIFS('KIDS&amp;ADULTS'!$A$3:$A$54,I4,'KIDS&amp;ADULTS'!$B$3:$B$54,$M$3)</f>
        <v>0</v>
      </c>
      <c r="N4" s="375">
        <f>COUNTIFS('KIDS&amp;ADULTS'!$A$3:$A$280,I4,'KIDS&amp;ADULTS'!$B$3:$B$280,$N$3)</f>
        <v>0</v>
      </c>
      <c r="O4" s="375">
        <f>COUNTIFS('KIDS&amp;ADULTS'!$A$3:$A$94,I4,'KIDS&amp;ADULTS'!$B$3:$B$94,$O$3)</f>
        <v>0</v>
      </c>
      <c r="R4" s="420">
        <v>45047.0</v>
      </c>
      <c r="S4" s="376">
        <f>COUNTIFS('KIDS&amp;ADULTS'!$V$3:$V$492,$R4,'KIDS&amp;ADULTS'!$B$3:$B$492,S$3,'KIDS&amp;ADULTS'!$N$3:$N$492,"Đã đóng học phí")</f>
        <v>0</v>
      </c>
      <c r="T4" s="376">
        <f>COUNTIFS('KIDS&amp;ADULTS'!$V$3:$V$492,$R4,'KIDS&amp;ADULTS'!$B$3:$B$492,T$3,'KIDS&amp;ADULTS'!$N$3:$N$492,"Đã đóng học phí")</f>
        <v>0</v>
      </c>
      <c r="U4" s="376">
        <f>COUNTIFS('KIDS&amp;ADULTS'!$V$3:$V$492,$R4,'KIDS&amp;ADULTS'!$B$3:$B$492,U$3,'KIDS&amp;ADULTS'!$N$3:$N$492,"Đã đóng học phí")</f>
        <v>0</v>
      </c>
      <c r="V4" s="376">
        <f>COUNTIFS('KIDS&amp;ADULTS'!$V$3:$V$492,$R4,'KIDS&amp;ADULTS'!$B$3:$B$492,V$3,'KIDS&amp;ADULTS'!$N$3:$N$492,"Đã đóng học phí")</f>
        <v>0</v>
      </c>
      <c r="W4" s="376">
        <f>COUNTIFS('KIDS&amp;ADULTS'!$V$3:$V$492,$R4,'KIDS&amp;ADULTS'!$B$3:$B$492,W$3,'KIDS&amp;ADULTS'!$N$3:$N$492,"Đã đóng học phí")</f>
        <v>0</v>
      </c>
      <c r="X4" s="376">
        <f>COUNTIFS('KIDS&amp;ADULTS'!$V$3:$V$492,$R4,'KIDS&amp;ADULTS'!$B$3:$B$492,X$3,'KIDS&amp;ADULTS'!$N$3:$N$492,"Đã đóng học phí")</f>
        <v>0</v>
      </c>
      <c r="Y4" s="376">
        <f>COUNTIFS('KIDS&amp;ADULTS'!$V$3:$V$492,$R4,'KIDS&amp;ADULTS'!$B$3:$B$492,Y$3,'KIDS&amp;ADULTS'!$N$3:$N$492,"Đã đóng học phí")</f>
        <v>0</v>
      </c>
    </row>
    <row r="5" ht="15.75" customHeight="1">
      <c r="A5" s="423">
        <v>45048.0</v>
      </c>
      <c r="B5" s="373">
        <f>sumifs('KIDS&amp;ADULTS'!$Z$3:$Z$54,'KIDS&amp;ADULTS'!$V$3:$V$54,A5,'KIDS&amp;ADULTS'!$M$3:$M$54,"Thu")</f>
        <v>0</v>
      </c>
      <c r="C5" s="373">
        <f>sumifs('KIDS&amp;ADULTS'!$Z$3:$Z$182,'KIDS&amp;ADULTS'!$V$3:$V$182,A5,'KIDS&amp;ADULTS'!$M$3:$M$182,"Phương")</f>
        <v>0</v>
      </c>
      <c r="D5" s="373">
        <f>sumifs('KIDS&amp;ADULTS'!$Z$3:$Z$182,'KIDS&amp;ADULTS'!$V$3:$V$182,A5,'KIDS&amp;ADULTS'!$M$3:$M$182,"Cúc")</f>
        <v>0</v>
      </c>
      <c r="E5" s="373">
        <f>sumifs('KIDS&amp;ADULTS'!$Z$3:$Z$190,'KIDS&amp;ADULTS'!$V$3:$V$190,A5,'KIDS&amp;ADULTS'!$M$3:$M$190,"Loan")</f>
        <v>0</v>
      </c>
      <c r="F5" s="373">
        <f t="shared" si="1"/>
        <v>0</v>
      </c>
      <c r="I5" s="420">
        <v>45048.0</v>
      </c>
      <c r="J5" s="374">
        <f>COUNTIFS('KIDS&amp;ADULTS'!$A$3:$A$54,I5,'KIDS&amp;ADULTS'!$B$3:$B$54,$J$3)</f>
        <v>0</v>
      </c>
      <c r="K5" s="374">
        <f>COUNTIFS('KIDS&amp;ADULTS'!$A$3:$A$54,I5,'KIDS&amp;ADULTS'!$B$3:$B$54,$K$3)</f>
        <v>0</v>
      </c>
      <c r="L5" s="375">
        <f>COUNTIFS('KIDS&amp;ADULTS'!$A$3:$A$54,I5,'KIDS&amp;ADULTS'!$B$3:$B$54,$L$3)</f>
        <v>0</v>
      </c>
      <c r="M5" s="375">
        <f>COUNTIFS('KIDS&amp;ADULTS'!$A$3:$A$54,I5,'KIDS&amp;ADULTS'!$B$3:$B$54,$M$3)</f>
        <v>0</v>
      </c>
      <c r="N5" s="375">
        <f>COUNTIFS('KIDS&amp;ADULTS'!$A$3:$A$280,I5,'KIDS&amp;ADULTS'!$B$3:$B$280,$N$3)</f>
        <v>0</v>
      </c>
      <c r="O5" s="375">
        <f>COUNTIFS('KIDS&amp;ADULTS'!$A$3:$A$94,I5,'KIDS&amp;ADULTS'!$B$3:$B$94,$O$3)</f>
        <v>0</v>
      </c>
      <c r="R5" s="420">
        <v>45048.0</v>
      </c>
      <c r="S5" s="376">
        <f>COUNTIFS('KIDS&amp;ADULTS'!$V$3:$V$492,$R5,'KIDS&amp;ADULTS'!$B$3:$B$492,S$3,'KIDS&amp;ADULTS'!$N$3:$N$492,"Đã đóng học phí")</f>
        <v>0</v>
      </c>
      <c r="T5" s="376">
        <f>COUNTIFS('KIDS&amp;ADULTS'!$V$3:$V$492,$R5,'KIDS&amp;ADULTS'!$B$3:$B$492,T$3,'KIDS&amp;ADULTS'!$N$3:$N$492,"Đã đóng học phí")</f>
        <v>0</v>
      </c>
      <c r="U5" s="376">
        <f>COUNTIFS('KIDS&amp;ADULTS'!$V$3:$V$492,$R5,'KIDS&amp;ADULTS'!$B$3:$B$492,U$3,'KIDS&amp;ADULTS'!$N$3:$N$492,"Đã đóng học phí")</f>
        <v>0</v>
      </c>
      <c r="V5" s="376">
        <f>COUNTIFS('KIDS&amp;ADULTS'!$V$3:$V$492,$R5,'KIDS&amp;ADULTS'!$B$3:$B$492,V$3,'KIDS&amp;ADULTS'!$N$3:$N$492,"Đã đóng học phí")</f>
        <v>0</v>
      </c>
      <c r="W5" s="376">
        <f>COUNTIFS('KIDS&amp;ADULTS'!$V$3:$V$492,$R5,'KIDS&amp;ADULTS'!$B$3:$B$492,W$3,'KIDS&amp;ADULTS'!$N$3:$N$492,"Đã đóng học phí")</f>
        <v>0</v>
      </c>
      <c r="X5" s="376">
        <f>COUNTIFS('KIDS&amp;ADULTS'!$V$3:$V$492,$R5,'KIDS&amp;ADULTS'!$B$3:$B$492,X$3,'KIDS&amp;ADULTS'!$N$3:$N$492,"Đã đóng học phí")</f>
        <v>0</v>
      </c>
      <c r="Y5" s="376">
        <f>COUNTIFS('KIDS&amp;ADULTS'!$V$3:$V$492,$R5,'KIDS&amp;ADULTS'!$B$3:$B$492,Y$3,'KIDS&amp;ADULTS'!$N$3:$N$492,"Đã đóng học phí")</f>
        <v>0</v>
      </c>
    </row>
    <row r="6" ht="15.75" customHeight="1">
      <c r="A6" s="423">
        <v>45049.0</v>
      </c>
      <c r="B6" s="373">
        <f>sumifs('KIDS&amp;ADULTS'!$Z$3:$Z$54,'KIDS&amp;ADULTS'!$V$3:$V$54,A6,'KIDS&amp;ADULTS'!$M$3:$M$54,"Thu")</f>
        <v>0</v>
      </c>
      <c r="C6" s="373">
        <f>sumifs('KIDS&amp;ADULTS'!$Z$3:$Z$182,'KIDS&amp;ADULTS'!$V$3:$V$182,A6,'KIDS&amp;ADULTS'!$M$3:$M$182,"Phương")</f>
        <v>0</v>
      </c>
      <c r="D6" s="373">
        <f>sumifs('KIDS&amp;ADULTS'!$Z$3:$Z$182,'KIDS&amp;ADULTS'!$V$3:$V$182,A6,'KIDS&amp;ADULTS'!$M$3:$M$182,"Cúc")</f>
        <v>0</v>
      </c>
      <c r="E6" s="373">
        <f>sumifs('KIDS&amp;ADULTS'!$Z$3:$Z$190,'KIDS&amp;ADULTS'!$V$3:$V$190,A6,'KIDS&amp;ADULTS'!$M$3:$M$190,"Loan")</f>
        <v>0</v>
      </c>
      <c r="F6" s="373">
        <f t="shared" si="1"/>
        <v>0</v>
      </c>
      <c r="I6" s="420">
        <v>45049.0</v>
      </c>
      <c r="J6" s="374">
        <f>COUNTIFS('KIDS&amp;ADULTS'!$A$3:$A$54,I6,'KIDS&amp;ADULTS'!$B$3:$B$54,$J$3)</f>
        <v>0</v>
      </c>
      <c r="K6" s="374">
        <f>COUNTIFS('KIDS&amp;ADULTS'!$A$3:$A$54,I6,'KIDS&amp;ADULTS'!$B$3:$B$54,$K$3)</f>
        <v>0</v>
      </c>
      <c r="L6" s="375">
        <f>COUNTIFS('KIDS&amp;ADULTS'!$A$3:$A$54,I6,'KIDS&amp;ADULTS'!$B$3:$B$54,$L$3)</f>
        <v>0</v>
      </c>
      <c r="M6" s="375">
        <f>COUNTIFS('KIDS&amp;ADULTS'!$A$3:$A$54,I6,'KIDS&amp;ADULTS'!$B$3:$B$54,$M$3)</f>
        <v>0</v>
      </c>
      <c r="N6" s="375">
        <f>COUNTIFS('KIDS&amp;ADULTS'!$A$3:$A$280,I6,'KIDS&amp;ADULTS'!$B$3:$B$280,$N$3)</f>
        <v>0</v>
      </c>
      <c r="O6" s="375">
        <f>COUNTIFS('KIDS&amp;ADULTS'!$A$3:$A$94,I6,'KIDS&amp;ADULTS'!$B$3:$B$94,$O$3)</f>
        <v>0</v>
      </c>
      <c r="R6" s="420">
        <v>45049.0</v>
      </c>
      <c r="S6" s="376">
        <f>COUNTIFS('KIDS&amp;ADULTS'!$V$3:$V$492,$R6,'KIDS&amp;ADULTS'!$B$3:$B$492,S$3,'KIDS&amp;ADULTS'!$N$3:$N$492,"Đã đóng học phí")</f>
        <v>0</v>
      </c>
      <c r="T6" s="376">
        <f>COUNTIFS('KIDS&amp;ADULTS'!$V$3:$V$492,$R6,'KIDS&amp;ADULTS'!$B$3:$B$492,T$3,'KIDS&amp;ADULTS'!$N$3:$N$492,"Đã đóng học phí")</f>
        <v>0</v>
      </c>
      <c r="U6" s="376">
        <f>COUNTIFS('KIDS&amp;ADULTS'!$V$3:$V$492,$R6,'KIDS&amp;ADULTS'!$B$3:$B$492,U$3,'KIDS&amp;ADULTS'!$N$3:$N$492,"Đã đóng học phí")</f>
        <v>0</v>
      </c>
      <c r="V6" s="376">
        <f>COUNTIFS('KIDS&amp;ADULTS'!$V$3:$V$492,$R6,'KIDS&amp;ADULTS'!$B$3:$B$492,V$3,'KIDS&amp;ADULTS'!$N$3:$N$492,"Đã đóng học phí")</f>
        <v>0</v>
      </c>
      <c r="W6" s="376">
        <f>COUNTIFS('KIDS&amp;ADULTS'!$V$3:$V$492,$R6,'KIDS&amp;ADULTS'!$B$3:$B$492,W$3,'KIDS&amp;ADULTS'!$N$3:$N$492,"Đã đóng học phí")</f>
        <v>0</v>
      </c>
      <c r="X6" s="376">
        <f>COUNTIFS('KIDS&amp;ADULTS'!$V$3:$V$492,$R6,'KIDS&amp;ADULTS'!$B$3:$B$492,X$3,'KIDS&amp;ADULTS'!$N$3:$N$492,"Đã đóng học phí")</f>
        <v>0</v>
      </c>
      <c r="Y6" s="376">
        <f>COUNTIFS('KIDS&amp;ADULTS'!$V$3:$V$492,$R6,'KIDS&amp;ADULTS'!$B$3:$B$492,Y$3,'KIDS&amp;ADULTS'!$N$3:$N$492,"Đã đóng học phí")</f>
        <v>0</v>
      </c>
    </row>
    <row r="7" ht="15.75" customHeight="1">
      <c r="A7" s="423">
        <v>45050.0</v>
      </c>
      <c r="B7" s="373">
        <f>sumifs('KIDS&amp;ADULTS'!$Z$3:$Z$54,'KIDS&amp;ADULTS'!$V$3:$V$54,A7,'KIDS&amp;ADULTS'!$M$3:$M$54,"Thu")</f>
        <v>0</v>
      </c>
      <c r="C7" s="373">
        <f>sumifs('KIDS&amp;ADULTS'!$Z$3:$Z$182,'KIDS&amp;ADULTS'!$V$3:$V$182,A7,'KIDS&amp;ADULTS'!$M$3:$M$182,"Phương")</f>
        <v>0</v>
      </c>
      <c r="D7" s="373">
        <f>sumifs('KIDS&amp;ADULTS'!$Z$3:$Z$182,'KIDS&amp;ADULTS'!$V$3:$V$182,A7,'KIDS&amp;ADULTS'!$M$3:$M$182,"Cúc")</f>
        <v>0</v>
      </c>
      <c r="E7" s="373">
        <f>sumifs('KIDS&amp;ADULTS'!$Z$3:$Z$190,'KIDS&amp;ADULTS'!$V$3:$V$190,A7,'KIDS&amp;ADULTS'!$M$3:$M$190,"Loan")</f>
        <v>0</v>
      </c>
      <c r="F7" s="373">
        <f t="shared" si="1"/>
        <v>0</v>
      </c>
      <c r="I7" s="420">
        <v>45050.0</v>
      </c>
      <c r="J7" s="374">
        <f>COUNTIFS('KIDS&amp;ADULTS'!$A$3:$A$54,I7,'KIDS&amp;ADULTS'!$B$3:$B$54,$J$3)</f>
        <v>0</v>
      </c>
      <c r="K7" s="374">
        <f>COUNTIFS('KIDS&amp;ADULTS'!$A$3:$A$54,I7,'KIDS&amp;ADULTS'!$B$3:$B$54,$K$3)</f>
        <v>0</v>
      </c>
      <c r="L7" s="375">
        <f>COUNTIFS('KIDS&amp;ADULTS'!$A$3:$A$54,I7,'KIDS&amp;ADULTS'!$B$3:$B$54,$L$3)</f>
        <v>0</v>
      </c>
      <c r="M7" s="375">
        <f>COUNTIFS('KIDS&amp;ADULTS'!$A$3:$A$54,I7,'KIDS&amp;ADULTS'!$B$3:$B$54,$M$3)</f>
        <v>0</v>
      </c>
      <c r="N7" s="375">
        <f>COUNTIFS('KIDS&amp;ADULTS'!$A$3:$A$280,I7,'KIDS&amp;ADULTS'!$B$3:$B$280,$N$3)</f>
        <v>0</v>
      </c>
      <c r="O7" s="375">
        <f>COUNTIFS('KIDS&amp;ADULTS'!$A$3:$A$94,I7,'KIDS&amp;ADULTS'!$B$3:$B$94,$O$3)</f>
        <v>0</v>
      </c>
      <c r="R7" s="420">
        <v>45050.0</v>
      </c>
      <c r="S7" s="376">
        <f>COUNTIFS('KIDS&amp;ADULTS'!$V$3:$V$492,$R7,'KIDS&amp;ADULTS'!$B$3:$B$492,S$3,'KIDS&amp;ADULTS'!$N$3:$N$492,"Đã đóng học phí")</f>
        <v>0</v>
      </c>
      <c r="T7" s="376">
        <f>COUNTIFS('KIDS&amp;ADULTS'!$V$3:$V$492,$R7,'KIDS&amp;ADULTS'!$B$3:$B$492,T$3,'KIDS&amp;ADULTS'!$N$3:$N$492,"Đã đóng học phí")</f>
        <v>0</v>
      </c>
      <c r="U7" s="376">
        <f>COUNTIFS('KIDS&amp;ADULTS'!$V$3:$V$492,$R7,'KIDS&amp;ADULTS'!$B$3:$B$492,U$3,'KIDS&amp;ADULTS'!$N$3:$N$492,"Đã đóng học phí")</f>
        <v>0</v>
      </c>
      <c r="V7" s="376">
        <f>COUNTIFS('KIDS&amp;ADULTS'!$V$3:$V$492,$R7,'KIDS&amp;ADULTS'!$B$3:$B$492,V$3,'KIDS&amp;ADULTS'!$N$3:$N$492,"Đã đóng học phí")</f>
        <v>0</v>
      </c>
      <c r="W7" s="376">
        <f>COUNTIFS('KIDS&amp;ADULTS'!$V$3:$V$492,$R7,'KIDS&amp;ADULTS'!$B$3:$B$492,W$3,'KIDS&amp;ADULTS'!$N$3:$N$492,"Đã đóng học phí")</f>
        <v>0</v>
      </c>
      <c r="X7" s="376">
        <f>COUNTIFS('KIDS&amp;ADULTS'!$V$3:$V$492,$R7,'KIDS&amp;ADULTS'!$B$3:$B$492,X$3,'KIDS&amp;ADULTS'!$N$3:$N$492,"Đã đóng học phí")</f>
        <v>0</v>
      </c>
      <c r="Y7" s="376">
        <f>COUNTIFS('KIDS&amp;ADULTS'!$V$3:$V$492,$R7,'KIDS&amp;ADULTS'!$B$3:$B$492,Y$3,'KIDS&amp;ADULTS'!$N$3:$N$492,"Đã đóng học phí")</f>
        <v>0</v>
      </c>
    </row>
    <row r="8" ht="15.75" customHeight="1">
      <c r="A8" s="423">
        <v>45051.0</v>
      </c>
      <c r="B8" s="373">
        <f>sumifs('KIDS&amp;ADULTS'!$Z$3:$Z$54,'KIDS&amp;ADULTS'!$V$3:$V$54,A8,'KIDS&amp;ADULTS'!$M$3:$M$54,"Thu")</f>
        <v>0</v>
      </c>
      <c r="C8" s="373">
        <f>sumifs('KIDS&amp;ADULTS'!$Z$3:$Z$182,'KIDS&amp;ADULTS'!$V$3:$V$182,A8,'KIDS&amp;ADULTS'!$M$3:$M$182,"Phương")</f>
        <v>0</v>
      </c>
      <c r="D8" s="373">
        <f>sumifs('KIDS&amp;ADULTS'!$Z$3:$Z$182,'KIDS&amp;ADULTS'!$V$3:$V$182,A8,'KIDS&amp;ADULTS'!$M$3:$M$182,"Cúc")</f>
        <v>0</v>
      </c>
      <c r="E8" s="373">
        <f>sumifs('KIDS&amp;ADULTS'!$Z$3:$Z$190,'KIDS&amp;ADULTS'!$V$3:$V$190,A8,'KIDS&amp;ADULTS'!$M$3:$M$190,"Loan")</f>
        <v>0</v>
      </c>
      <c r="F8" s="373">
        <f t="shared" si="1"/>
        <v>0</v>
      </c>
      <c r="I8" s="420">
        <v>45051.0</v>
      </c>
      <c r="J8" s="374">
        <f>COUNTIFS('KIDS&amp;ADULTS'!$A$3:$A$54,I8,'KIDS&amp;ADULTS'!$B$3:$B$54,$J$3)</f>
        <v>0</v>
      </c>
      <c r="K8" s="374">
        <f>COUNTIFS('KIDS&amp;ADULTS'!$A$3:$A$54,I8,'KIDS&amp;ADULTS'!$B$3:$B$54,$K$3)</f>
        <v>0</v>
      </c>
      <c r="L8" s="375">
        <f>COUNTIFS('KIDS&amp;ADULTS'!$A$3:$A$54,I8,'KIDS&amp;ADULTS'!$B$3:$B$54,$L$3)</f>
        <v>0</v>
      </c>
      <c r="M8" s="375">
        <f>COUNTIFS('KIDS&amp;ADULTS'!$A$3:$A$54,I8,'KIDS&amp;ADULTS'!$B$3:$B$54,$M$3)</f>
        <v>0</v>
      </c>
      <c r="N8" s="375">
        <f>COUNTIFS('KIDS&amp;ADULTS'!$A$3:$A$280,I8,'KIDS&amp;ADULTS'!$B$3:$B$280,$N$3)</f>
        <v>0</v>
      </c>
      <c r="O8" s="375">
        <f>COUNTIFS('KIDS&amp;ADULTS'!$A$3:$A$94,I8,'KIDS&amp;ADULTS'!$B$3:$B$94,$O$3)</f>
        <v>0</v>
      </c>
      <c r="R8" s="420">
        <v>45051.0</v>
      </c>
      <c r="S8" s="376">
        <f>COUNTIFS('KIDS&amp;ADULTS'!$V$3:$V$492,$R8,'KIDS&amp;ADULTS'!$B$3:$B$492,S$3,'KIDS&amp;ADULTS'!$N$3:$N$492,"Đã đóng học phí")</f>
        <v>0</v>
      </c>
      <c r="T8" s="376">
        <f>COUNTIFS('KIDS&amp;ADULTS'!$V$3:$V$492,$R8,'KIDS&amp;ADULTS'!$B$3:$B$492,T$3,'KIDS&amp;ADULTS'!$N$3:$N$492,"Đã đóng học phí")</f>
        <v>0</v>
      </c>
      <c r="U8" s="376">
        <f>COUNTIFS('KIDS&amp;ADULTS'!$V$3:$V$492,$R8,'KIDS&amp;ADULTS'!$B$3:$B$492,U$3,'KIDS&amp;ADULTS'!$N$3:$N$492,"Đã đóng học phí")</f>
        <v>0</v>
      </c>
      <c r="V8" s="376">
        <f>COUNTIFS('KIDS&amp;ADULTS'!$V$3:$V$492,$R8,'KIDS&amp;ADULTS'!$B$3:$B$492,V$3,'KIDS&amp;ADULTS'!$N$3:$N$492,"Đã đóng học phí")</f>
        <v>0</v>
      </c>
      <c r="W8" s="376">
        <f>COUNTIFS('KIDS&amp;ADULTS'!$V$3:$V$492,$R8,'KIDS&amp;ADULTS'!$B$3:$B$492,W$3,'KIDS&amp;ADULTS'!$N$3:$N$492,"Đã đóng học phí")</f>
        <v>0</v>
      </c>
      <c r="X8" s="376">
        <f>COUNTIFS('KIDS&amp;ADULTS'!$V$3:$V$492,$R8,'KIDS&amp;ADULTS'!$B$3:$B$492,X$3,'KIDS&amp;ADULTS'!$N$3:$N$492,"Đã đóng học phí")</f>
        <v>0</v>
      </c>
      <c r="Y8" s="376">
        <f>COUNTIFS('KIDS&amp;ADULTS'!$V$3:$V$492,$R8,'KIDS&amp;ADULTS'!$B$3:$B$492,Y$3,'KIDS&amp;ADULTS'!$N$3:$N$492,"Đã đóng học phí")</f>
        <v>0</v>
      </c>
    </row>
    <row r="9" ht="15.75" customHeight="1">
      <c r="A9" s="423">
        <v>45052.0</v>
      </c>
      <c r="B9" s="373">
        <f>sumifs('KIDS&amp;ADULTS'!$Z$3:$Z$54,'KIDS&amp;ADULTS'!$V$3:$V$54,A9,'KIDS&amp;ADULTS'!$M$3:$M$54,"Thu")</f>
        <v>0</v>
      </c>
      <c r="C9" s="373">
        <f>sumifs('KIDS&amp;ADULTS'!$Z$3:$Z$182,'KIDS&amp;ADULTS'!$V$3:$V$182,A9,'KIDS&amp;ADULTS'!$M$3:$M$182,"Phương")</f>
        <v>0</v>
      </c>
      <c r="D9" s="373">
        <f>sumifs('KIDS&amp;ADULTS'!$Z$3:$Z$182,'KIDS&amp;ADULTS'!$V$3:$V$182,A9,'KIDS&amp;ADULTS'!$M$3:$M$182,"Cúc")</f>
        <v>0</v>
      </c>
      <c r="E9" s="373">
        <f>sumifs('KIDS&amp;ADULTS'!$Z$3:$Z$190,'KIDS&amp;ADULTS'!$V$3:$V$190,A9,'KIDS&amp;ADULTS'!$M$3:$M$190,"Loan")</f>
        <v>0</v>
      </c>
      <c r="F9" s="373">
        <f t="shared" si="1"/>
        <v>0</v>
      </c>
      <c r="I9" s="420">
        <v>45052.0</v>
      </c>
      <c r="J9" s="374">
        <f>COUNTIFS('KIDS&amp;ADULTS'!$A$3:$A$54,I9,'KIDS&amp;ADULTS'!$B$3:$B$54,$J$3)</f>
        <v>0</v>
      </c>
      <c r="K9" s="374">
        <f>COUNTIFS('KIDS&amp;ADULTS'!$A$3:$A$54,I9,'KIDS&amp;ADULTS'!$B$3:$B$54,$K$3)</f>
        <v>0</v>
      </c>
      <c r="L9" s="375">
        <f>COUNTIFS('KIDS&amp;ADULTS'!$A$3:$A$54,I9,'KIDS&amp;ADULTS'!$B$3:$B$54,$L$3)</f>
        <v>0</v>
      </c>
      <c r="M9" s="375">
        <f>COUNTIFS('KIDS&amp;ADULTS'!$A$3:$A$54,I9,'KIDS&amp;ADULTS'!$B$3:$B$54,$M$3)</f>
        <v>0</v>
      </c>
      <c r="N9" s="375">
        <f>COUNTIFS('KIDS&amp;ADULTS'!$A$3:$A$280,I9,'KIDS&amp;ADULTS'!$B$3:$B$280,$N$3)</f>
        <v>0</v>
      </c>
      <c r="O9" s="375">
        <f>COUNTIFS('KIDS&amp;ADULTS'!$A$3:$A$94,I9,'KIDS&amp;ADULTS'!$B$3:$B$94,$O$3)</f>
        <v>0</v>
      </c>
      <c r="R9" s="420">
        <v>45052.0</v>
      </c>
      <c r="S9" s="376">
        <f>COUNTIFS('KIDS&amp;ADULTS'!$V$3:$V$492,$R9,'KIDS&amp;ADULTS'!$B$3:$B$492,S$3,'KIDS&amp;ADULTS'!$N$3:$N$492,"Đã đóng học phí")</f>
        <v>0</v>
      </c>
      <c r="T9" s="376">
        <f>COUNTIFS('KIDS&amp;ADULTS'!$V$3:$V$492,$R9,'KIDS&amp;ADULTS'!$B$3:$B$492,T$3,'KIDS&amp;ADULTS'!$N$3:$N$492,"Đã đóng học phí")</f>
        <v>0</v>
      </c>
      <c r="U9" s="376">
        <f>COUNTIFS('KIDS&amp;ADULTS'!$V$3:$V$492,$R9,'KIDS&amp;ADULTS'!$B$3:$B$492,U$3,'KIDS&amp;ADULTS'!$N$3:$N$492,"Đã đóng học phí")</f>
        <v>0</v>
      </c>
      <c r="V9" s="376">
        <f>COUNTIFS('KIDS&amp;ADULTS'!$V$3:$V$492,$R9,'KIDS&amp;ADULTS'!$B$3:$B$492,V$3,'KIDS&amp;ADULTS'!$N$3:$N$492,"Đã đóng học phí")</f>
        <v>0</v>
      </c>
      <c r="W9" s="376">
        <f>COUNTIFS('KIDS&amp;ADULTS'!$V$3:$V$492,$R9,'KIDS&amp;ADULTS'!$B$3:$B$492,W$3,'KIDS&amp;ADULTS'!$N$3:$N$492,"Đã đóng học phí")</f>
        <v>0</v>
      </c>
      <c r="X9" s="376">
        <f>COUNTIFS('KIDS&amp;ADULTS'!$V$3:$V$492,$R9,'KIDS&amp;ADULTS'!$B$3:$B$492,X$3,'KIDS&amp;ADULTS'!$N$3:$N$492,"Đã đóng học phí")</f>
        <v>0</v>
      </c>
      <c r="Y9" s="376">
        <f>COUNTIFS('KIDS&amp;ADULTS'!$V$3:$V$492,$R9,'KIDS&amp;ADULTS'!$B$3:$B$492,Y$3,'KIDS&amp;ADULTS'!$N$3:$N$492,"Đã đóng học phí")</f>
        <v>0</v>
      </c>
    </row>
    <row r="10" ht="15.75" customHeight="1">
      <c r="A10" s="423">
        <v>45053.0</v>
      </c>
      <c r="B10" s="373">
        <f>sumifs('KIDS&amp;ADULTS'!$Z$3:$Z$54,'KIDS&amp;ADULTS'!$V$3:$V$54,A10,'KIDS&amp;ADULTS'!$M$3:$M$54,"Thu")</f>
        <v>0</v>
      </c>
      <c r="C10" s="373">
        <f>sumifs('KIDS&amp;ADULTS'!$Z$3:$Z$182,'KIDS&amp;ADULTS'!$V$3:$V$182,A10,'KIDS&amp;ADULTS'!$M$3:$M$182,"Phương")</f>
        <v>0</v>
      </c>
      <c r="D10" s="373">
        <f>sumifs('KIDS&amp;ADULTS'!$Z$3:$Z$182,'KIDS&amp;ADULTS'!$V$3:$V$182,A10,'KIDS&amp;ADULTS'!$M$3:$M$182,"Cúc")</f>
        <v>0</v>
      </c>
      <c r="E10" s="373">
        <f>sumifs('KIDS&amp;ADULTS'!$Z$3:$Z$190,'KIDS&amp;ADULTS'!$V$3:$V$190,A10,'KIDS&amp;ADULTS'!$M$3:$M$190,"Loan")</f>
        <v>0</v>
      </c>
      <c r="F10" s="373">
        <f t="shared" si="1"/>
        <v>0</v>
      </c>
      <c r="I10" s="420">
        <v>45053.0</v>
      </c>
      <c r="J10" s="374">
        <f>COUNTIFS('KIDS&amp;ADULTS'!$A$3:$A$54,I10,'KIDS&amp;ADULTS'!$B$3:$B$54,$J$3)</f>
        <v>0</v>
      </c>
      <c r="K10" s="374">
        <f>COUNTIFS('KIDS&amp;ADULTS'!$A$3:$A$54,I10,'KIDS&amp;ADULTS'!$B$3:$B$54,$K$3)</f>
        <v>0</v>
      </c>
      <c r="L10" s="375">
        <f>COUNTIFS('KIDS&amp;ADULTS'!$A$3:$A$54,I10,'KIDS&amp;ADULTS'!$B$3:$B$54,$L$3)</f>
        <v>0</v>
      </c>
      <c r="M10" s="375">
        <f>COUNTIFS('KIDS&amp;ADULTS'!$A$3:$A$54,I10,'KIDS&amp;ADULTS'!$B$3:$B$54,$M$3)</f>
        <v>0</v>
      </c>
      <c r="N10" s="375">
        <f>COUNTIFS('KIDS&amp;ADULTS'!$A$3:$A$280,I10,'KIDS&amp;ADULTS'!$B$3:$B$280,$N$3)</f>
        <v>0</v>
      </c>
      <c r="O10" s="375">
        <f>COUNTIFS('KIDS&amp;ADULTS'!$A$3:$A$94,I10,'KIDS&amp;ADULTS'!$B$3:$B$94,$O$3)</f>
        <v>0</v>
      </c>
      <c r="R10" s="420">
        <v>45053.0</v>
      </c>
      <c r="S10" s="376">
        <f>COUNTIFS('KIDS&amp;ADULTS'!$V$3:$V$492,$R10,'KIDS&amp;ADULTS'!$B$3:$B$492,S$3,'KIDS&amp;ADULTS'!$N$3:$N$492,"Đã đóng học phí")</f>
        <v>0</v>
      </c>
      <c r="T10" s="376">
        <f>COUNTIFS('KIDS&amp;ADULTS'!$V$3:$V$492,$R10,'KIDS&amp;ADULTS'!$B$3:$B$492,T$3,'KIDS&amp;ADULTS'!$N$3:$N$492,"Đã đóng học phí")</f>
        <v>0</v>
      </c>
      <c r="U10" s="376">
        <f>COUNTIFS('KIDS&amp;ADULTS'!$V$3:$V$492,$R10,'KIDS&amp;ADULTS'!$B$3:$B$492,U$3,'KIDS&amp;ADULTS'!$N$3:$N$492,"Đã đóng học phí")</f>
        <v>0</v>
      </c>
      <c r="V10" s="376">
        <f>COUNTIFS('KIDS&amp;ADULTS'!$V$3:$V$492,$R10,'KIDS&amp;ADULTS'!$B$3:$B$492,V$3,'KIDS&amp;ADULTS'!$N$3:$N$492,"Đã đóng học phí")</f>
        <v>0</v>
      </c>
      <c r="W10" s="376">
        <f>COUNTIFS('KIDS&amp;ADULTS'!$V$3:$V$492,$R10,'KIDS&amp;ADULTS'!$B$3:$B$492,W$3,'KIDS&amp;ADULTS'!$N$3:$N$492,"Đã đóng học phí")</f>
        <v>0</v>
      </c>
      <c r="X10" s="376">
        <f>COUNTIFS('KIDS&amp;ADULTS'!$V$3:$V$492,$R10,'KIDS&amp;ADULTS'!$B$3:$B$492,X$3,'KIDS&amp;ADULTS'!$N$3:$N$492,"Đã đóng học phí")</f>
        <v>0</v>
      </c>
      <c r="Y10" s="376">
        <f>COUNTIFS('KIDS&amp;ADULTS'!$V$3:$V$492,$R10,'KIDS&amp;ADULTS'!$B$3:$B$492,Y$3,'KIDS&amp;ADULTS'!$N$3:$N$492,"Đã đóng học phí")</f>
        <v>0</v>
      </c>
    </row>
    <row r="11" ht="15.75" customHeight="1">
      <c r="A11" s="423">
        <v>45054.0</v>
      </c>
      <c r="B11" s="373">
        <f>sumifs('KIDS&amp;ADULTS'!$Z$3:$Z$54,'KIDS&amp;ADULTS'!$V$3:$V$54,A11,'KIDS&amp;ADULTS'!$M$3:$M$54,"Thu")</f>
        <v>0</v>
      </c>
      <c r="C11" s="373">
        <f>sumifs('KIDS&amp;ADULTS'!$Z$3:$Z$182,'KIDS&amp;ADULTS'!$V$3:$V$182,A11,'KIDS&amp;ADULTS'!$M$3:$M$182,"Phương")</f>
        <v>0</v>
      </c>
      <c r="D11" s="373">
        <f>sumifs('KIDS&amp;ADULTS'!$Z$3:$Z$182,'KIDS&amp;ADULTS'!$V$3:$V$182,A11,'KIDS&amp;ADULTS'!$M$3:$M$182,"Cúc")</f>
        <v>0</v>
      </c>
      <c r="E11" s="373">
        <f>sumifs('KIDS&amp;ADULTS'!$Z$3:$Z$190,'KIDS&amp;ADULTS'!$V$3:$V$190,A11,'KIDS&amp;ADULTS'!$M$3:$M$190,"Loan")</f>
        <v>0</v>
      </c>
      <c r="F11" s="373">
        <f t="shared" si="1"/>
        <v>0</v>
      </c>
      <c r="I11" s="420">
        <v>45054.0</v>
      </c>
      <c r="J11" s="374">
        <f>COUNTIFS('KIDS&amp;ADULTS'!$A$3:$A$54,I11,'KIDS&amp;ADULTS'!$B$3:$B$54,$J$3)</f>
        <v>0</v>
      </c>
      <c r="K11" s="374">
        <f>COUNTIFS('KIDS&amp;ADULTS'!$A$3:$A$54,I11,'KIDS&amp;ADULTS'!$B$3:$B$54,$K$3)</f>
        <v>0</v>
      </c>
      <c r="L11" s="375">
        <f>COUNTIFS('KIDS&amp;ADULTS'!$A$3:$A$54,I11,'KIDS&amp;ADULTS'!$B$3:$B$54,$L$3)</f>
        <v>1</v>
      </c>
      <c r="M11" s="375">
        <f>COUNTIFS('KIDS&amp;ADULTS'!$A$3:$A$54,I11,'KIDS&amp;ADULTS'!$B$3:$B$54,$M$3)</f>
        <v>0</v>
      </c>
      <c r="N11" s="375">
        <f>COUNTIFS('KIDS&amp;ADULTS'!$A$3:$A$280,I11,'KIDS&amp;ADULTS'!$B$3:$B$280,$N$3)</f>
        <v>1</v>
      </c>
      <c r="O11" s="375">
        <f>COUNTIFS('KIDS&amp;ADULTS'!$A$3:$A$94,I11,'KIDS&amp;ADULTS'!$B$3:$B$94,$O$3)</f>
        <v>0</v>
      </c>
      <c r="R11" s="420">
        <v>45054.0</v>
      </c>
      <c r="S11" s="376">
        <f>COUNTIFS('KIDS&amp;ADULTS'!$V$3:$V$492,$R11,'KIDS&amp;ADULTS'!$B$3:$B$492,S$3,'KIDS&amp;ADULTS'!$N$3:$N$492,"Đã đóng học phí")</f>
        <v>0</v>
      </c>
      <c r="T11" s="376">
        <f>COUNTIFS('KIDS&amp;ADULTS'!$V$3:$V$492,$R11,'KIDS&amp;ADULTS'!$B$3:$B$492,T$3,'KIDS&amp;ADULTS'!$N$3:$N$492,"Đã đóng học phí")</f>
        <v>0</v>
      </c>
      <c r="U11" s="376">
        <f>COUNTIFS('KIDS&amp;ADULTS'!$V$3:$V$492,$R11,'KIDS&amp;ADULTS'!$B$3:$B$492,U$3,'KIDS&amp;ADULTS'!$N$3:$N$492,"Đã đóng học phí")</f>
        <v>0</v>
      </c>
      <c r="V11" s="376">
        <f>COUNTIFS('KIDS&amp;ADULTS'!$V$3:$V$492,$R11,'KIDS&amp;ADULTS'!$B$3:$B$492,V$3,'KIDS&amp;ADULTS'!$N$3:$N$492,"Đã đóng học phí")</f>
        <v>0</v>
      </c>
      <c r="W11" s="376">
        <f>COUNTIFS('KIDS&amp;ADULTS'!$V$3:$V$492,$R11,'KIDS&amp;ADULTS'!$B$3:$B$492,W$3,'KIDS&amp;ADULTS'!$N$3:$N$492,"Đã đóng học phí")</f>
        <v>0</v>
      </c>
      <c r="X11" s="376">
        <f>COUNTIFS('KIDS&amp;ADULTS'!$V$3:$V$492,$R11,'KIDS&amp;ADULTS'!$B$3:$B$492,X$3,'KIDS&amp;ADULTS'!$N$3:$N$492,"Đã đóng học phí")</f>
        <v>0</v>
      </c>
      <c r="Y11" s="376">
        <f>COUNTIFS('KIDS&amp;ADULTS'!$V$3:$V$492,$R11,'KIDS&amp;ADULTS'!$B$3:$B$492,Y$3,'KIDS&amp;ADULTS'!$N$3:$N$492,"Đã đóng học phí")</f>
        <v>0</v>
      </c>
    </row>
    <row r="12" ht="15.75" customHeight="1">
      <c r="A12" s="423">
        <v>45055.0</v>
      </c>
      <c r="B12" s="373">
        <f>sumifs('KIDS&amp;ADULTS'!$Z$3:$Z$54,'KIDS&amp;ADULTS'!$V$3:$V$54,A12,'KIDS&amp;ADULTS'!$M$3:$M$54,"Thu")</f>
        <v>0</v>
      </c>
      <c r="C12" s="373">
        <f>sumifs('KIDS&amp;ADULTS'!$Z$3:$Z$182,'KIDS&amp;ADULTS'!$V$3:$V$182,A12,'KIDS&amp;ADULTS'!$M$3:$M$182,"Phương")</f>
        <v>0</v>
      </c>
      <c r="D12" s="373">
        <f>sumifs('KIDS&amp;ADULTS'!$Z$3:$Z$182,'KIDS&amp;ADULTS'!$V$3:$V$182,A12,'KIDS&amp;ADULTS'!$M$3:$M$182,"Cúc")</f>
        <v>0</v>
      </c>
      <c r="E12" s="373">
        <f>sumifs('KIDS&amp;ADULTS'!$Z$3:$Z$190,'KIDS&amp;ADULTS'!$V$3:$V$190,A12,'KIDS&amp;ADULTS'!$M$3:$M$190,"Loan")</f>
        <v>0</v>
      </c>
      <c r="F12" s="373">
        <f t="shared" si="1"/>
        <v>0</v>
      </c>
      <c r="I12" s="420">
        <v>45055.0</v>
      </c>
      <c r="J12" s="374">
        <f>COUNTIFS('KIDS&amp;ADULTS'!$A$3:$A$54,I12,'KIDS&amp;ADULTS'!$B$3:$B$54,$J$3)</f>
        <v>0</v>
      </c>
      <c r="K12" s="374">
        <f>COUNTIFS('KIDS&amp;ADULTS'!$A$3:$A$54,I12,'KIDS&amp;ADULTS'!$B$3:$B$54,$K$3)</f>
        <v>0</v>
      </c>
      <c r="L12" s="375">
        <f>COUNTIFS('KIDS&amp;ADULTS'!$A$3:$A$54,I12,'KIDS&amp;ADULTS'!$B$3:$B$54,$L$3)</f>
        <v>0</v>
      </c>
      <c r="M12" s="375">
        <f>COUNTIFS('KIDS&amp;ADULTS'!$A$3:$A$54,I12,'KIDS&amp;ADULTS'!$B$3:$B$54,$M$3)</f>
        <v>0</v>
      </c>
      <c r="N12" s="375">
        <f>COUNTIFS('KIDS&amp;ADULTS'!$A$3:$A$280,I12,'KIDS&amp;ADULTS'!$B$3:$B$280,$N$3)</f>
        <v>0</v>
      </c>
      <c r="O12" s="375">
        <f>COUNTIFS('KIDS&amp;ADULTS'!$A$3:$A$94,I12,'KIDS&amp;ADULTS'!$B$3:$B$94,$O$3)</f>
        <v>0</v>
      </c>
      <c r="R12" s="420">
        <v>45055.0</v>
      </c>
      <c r="S12" s="376">
        <f>COUNTIFS('KIDS&amp;ADULTS'!$V$3:$V$492,$R12,'KIDS&amp;ADULTS'!$B$3:$B$492,S$3,'KIDS&amp;ADULTS'!$N$3:$N$492,"Đã đóng học phí")</f>
        <v>0</v>
      </c>
      <c r="T12" s="376">
        <f>COUNTIFS('KIDS&amp;ADULTS'!$V$3:$V$492,$R12,'KIDS&amp;ADULTS'!$B$3:$B$492,T$3,'KIDS&amp;ADULTS'!$N$3:$N$492,"Đã đóng học phí")</f>
        <v>0</v>
      </c>
      <c r="U12" s="376">
        <f>COUNTIFS('KIDS&amp;ADULTS'!$V$3:$V$492,$R12,'KIDS&amp;ADULTS'!$B$3:$B$492,U$3,'KIDS&amp;ADULTS'!$N$3:$N$492,"Đã đóng học phí")</f>
        <v>0</v>
      </c>
      <c r="V12" s="376">
        <f>COUNTIFS('KIDS&amp;ADULTS'!$V$3:$V$492,$R12,'KIDS&amp;ADULTS'!$B$3:$B$492,V$3,'KIDS&amp;ADULTS'!$N$3:$N$492,"Đã đóng học phí")</f>
        <v>0</v>
      </c>
      <c r="W12" s="376">
        <f>COUNTIFS('KIDS&amp;ADULTS'!$V$3:$V$492,$R12,'KIDS&amp;ADULTS'!$B$3:$B$492,W$3,'KIDS&amp;ADULTS'!$N$3:$N$492,"Đã đóng học phí")</f>
        <v>0</v>
      </c>
      <c r="X12" s="376">
        <f>COUNTIFS('KIDS&amp;ADULTS'!$V$3:$V$492,$R12,'KIDS&amp;ADULTS'!$B$3:$B$492,X$3,'KIDS&amp;ADULTS'!$N$3:$N$492,"Đã đóng học phí")</f>
        <v>0</v>
      </c>
      <c r="Y12" s="376">
        <f>COUNTIFS('KIDS&amp;ADULTS'!$V$3:$V$492,$R12,'KIDS&amp;ADULTS'!$B$3:$B$492,Y$3,'KIDS&amp;ADULTS'!$N$3:$N$492,"Đã đóng học phí")</f>
        <v>0</v>
      </c>
    </row>
    <row r="13" ht="15.75" customHeight="1">
      <c r="A13" s="423">
        <v>45056.0</v>
      </c>
      <c r="B13" s="373">
        <f>sumifs('KIDS&amp;ADULTS'!$Z$3:$Z$54,'KIDS&amp;ADULTS'!$V$3:$V$54,A13,'KIDS&amp;ADULTS'!$M$3:$M$54,"Thu")</f>
        <v>7500000</v>
      </c>
      <c r="C13" s="373">
        <f>sumifs('KIDS&amp;ADULTS'!$Z$3:$Z$182,'KIDS&amp;ADULTS'!$V$3:$V$182,A13,'KIDS&amp;ADULTS'!$M$3:$M$182,"Phương")</f>
        <v>0</v>
      </c>
      <c r="D13" s="373">
        <f>sumifs('KIDS&amp;ADULTS'!$Z$3:$Z$182,'KIDS&amp;ADULTS'!$V$3:$V$182,A13,'KIDS&amp;ADULTS'!$M$3:$M$182,"Cúc")</f>
        <v>0</v>
      </c>
      <c r="E13" s="373">
        <f>sumifs('KIDS&amp;ADULTS'!$Z$3:$Z$190,'KIDS&amp;ADULTS'!$V$3:$V$190,A13,'KIDS&amp;ADULTS'!$M$3:$M$190,"Loan")</f>
        <v>0</v>
      </c>
      <c r="F13" s="373">
        <f t="shared" si="1"/>
        <v>7500000</v>
      </c>
      <c r="I13" s="420">
        <v>45056.0</v>
      </c>
      <c r="J13" s="374">
        <f>COUNTIFS('KIDS&amp;ADULTS'!$A$3:$A$54,I13,'KIDS&amp;ADULTS'!$B$3:$B$54,$J$3)</f>
        <v>0</v>
      </c>
      <c r="K13" s="374">
        <f>COUNTIFS('KIDS&amp;ADULTS'!$A$3:$A$54,I13,'KIDS&amp;ADULTS'!$B$3:$B$54,$K$3)</f>
        <v>0</v>
      </c>
      <c r="L13" s="375">
        <f>COUNTIFS('KIDS&amp;ADULTS'!$A$3:$A$54,I13,'KIDS&amp;ADULTS'!$B$3:$B$54,$L$3)</f>
        <v>0</v>
      </c>
      <c r="M13" s="375">
        <f>COUNTIFS('KIDS&amp;ADULTS'!$A$3:$A$54,I13,'KIDS&amp;ADULTS'!$B$3:$B$54,$M$3)</f>
        <v>0</v>
      </c>
      <c r="N13" s="375">
        <f>COUNTIFS('KIDS&amp;ADULTS'!$A$3:$A$280,I13,'KIDS&amp;ADULTS'!$B$3:$B$280,$N$3)</f>
        <v>0</v>
      </c>
      <c r="O13" s="375">
        <f>COUNTIFS('KIDS&amp;ADULTS'!$A$3:$A$94,I13,'KIDS&amp;ADULTS'!$B$3:$B$94,$O$3)</f>
        <v>0</v>
      </c>
      <c r="R13" s="420">
        <v>45056.0</v>
      </c>
      <c r="S13" s="376">
        <f>COUNTIFS('KIDS&amp;ADULTS'!$V$3:$V$492,$R13,'KIDS&amp;ADULTS'!$B$3:$B$492,S$3,'KIDS&amp;ADULTS'!$N$3:$N$492,"Đã đóng học phí")</f>
        <v>0</v>
      </c>
      <c r="T13" s="376">
        <f>COUNTIFS('KIDS&amp;ADULTS'!$V$3:$V$492,$R13,'KIDS&amp;ADULTS'!$B$3:$B$492,T$3,'KIDS&amp;ADULTS'!$N$3:$N$492,"Đã đóng học phí")</f>
        <v>0</v>
      </c>
      <c r="U13" s="376">
        <f>COUNTIFS('KIDS&amp;ADULTS'!$V$3:$V$492,$R13,'KIDS&amp;ADULTS'!$B$3:$B$492,U$3,'KIDS&amp;ADULTS'!$N$3:$N$492,"Đã đóng học phí")</f>
        <v>0</v>
      </c>
      <c r="V13" s="376">
        <f>COUNTIFS('KIDS&amp;ADULTS'!$V$3:$V$492,$R13,'KIDS&amp;ADULTS'!$B$3:$B$492,V$3,'KIDS&amp;ADULTS'!$N$3:$N$492,"Đã đóng học phí")</f>
        <v>0</v>
      </c>
      <c r="W13" s="376">
        <f>COUNTIFS('KIDS&amp;ADULTS'!$V$3:$V$492,$R13,'KIDS&amp;ADULTS'!$B$3:$B$492,W$3,'KIDS&amp;ADULTS'!$N$3:$N$492,"Đã đóng học phí")</f>
        <v>0</v>
      </c>
      <c r="X13" s="376">
        <f>COUNTIFS('KIDS&amp;ADULTS'!$V$3:$V$492,$R13,'KIDS&amp;ADULTS'!$B$3:$B$492,X$3,'KIDS&amp;ADULTS'!$N$3:$N$492,"Đã đóng học phí")</f>
        <v>0</v>
      </c>
      <c r="Y13" s="376">
        <f>COUNTIFS('KIDS&amp;ADULTS'!$V$3:$V$492,$R13,'KIDS&amp;ADULTS'!$B$3:$B$492,Y$3,'KIDS&amp;ADULTS'!$N$3:$N$492,"Đã đóng học phí")</f>
        <v>0</v>
      </c>
    </row>
    <row r="14" ht="15.75" customHeight="1">
      <c r="A14" s="423">
        <v>45057.0</v>
      </c>
      <c r="B14" s="373">
        <f>sumifs('KIDS&amp;ADULTS'!$Z$3:$Z$190,'KIDS&amp;ADULTS'!$V$3:$V$190,A14,'KIDS&amp;ADULTS'!$M$3:$M$190,"Thảo")</f>
        <v>0</v>
      </c>
      <c r="C14" s="373">
        <f>sumifs('KIDS&amp;ADULTS'!$Z$3:$Z$182,'KIDS&amp;ADULTS'!$V$3:$V$182,A14,'KIDS&amp;ADULTS'!$M$3:$M$182,"Phương")</f>
        <v>0</v>
      </c>
      <c r="D14" s="373">
        <f>sumifs('KIDS&amp;ADULTS'!$Z$3:$Z$182,'KIDS&amp;ADULTS'!$V$3:$V$182,A14,'KIDS&amp;ADULTS'!$M$3:$M$182,"Cúc")</f>
        <v>0</v>
      </c>
      <c r="E14" s="373">
        <f>sumifs('KIDS&amp;ADULTS'!$Z$3:$Z$190,'KIDS&amp;ADULTS'!$V$3:$V$190,A14,'KIDS&amp;ADULTS'!$M$3:$M$190,"Loan")</f>
        <v>0</v>
      </c>
      <c r="F14" s="373">
        <f t="shared" si="1"/>
        <v>0</v>
      </c>
      <c r="I14" s="420">
        <v>45057.0</v>
      </c>
      <c r="J14" s="374">
        <f>COUNTIFS('KIDS&amp;ADULTS'!$A$3:$A$54,I14,'KIDS&amp;ADULTS'!$B$3:$B$54,$J$3)</f>
        <v>0</v>
      </c>
      <c r="K14" s="374">
        <f>COUNTIFS('KIDS&amp;ADULTS'!$A$3:$A$54,I14,'KIDS&amp;ADULTS'!$B$3:$B$54,$K$3)</f>
        <v>0</v>
      </c>
      <c r="L14" s="375">
        <f>COUNTIFS('KIDS&amp;ADULTS'!$A$3:$A$54,I14,'KIDS&amp;ADULTS'!$B$3:$B$54,$L$3)</f>
        <v>0</v>
      </c>
      <c r="M14" s="375">
        <f>COUNTIFS('KIDS&amp;ADULTS'!$A$3:$A$54,I14,'KIDS&amp;ADULTS'!$B$3:$B$54,$M$3)</f>
        <v>0</v>
      </c>
      <c r="N14" s="375">
        <f>COUNTIFS('KIDS&amp;ADULTS'!$A$3:$A$280,I14,'KIDS&amp;ADULTS'!$B$3:$B$280,$N$3)</f>
        <v>0</v>
      </c>
      <c r="O14" s="375">
        <f>COUNTIFS('KIDS&amp;ADULTS'!$A$3:$A$94,I14,'KIDS&amp;ADULTS'!$B$3:$B$94,$O$3)</f>
        <v>0</v>
      </c>
      <c r="R14" s="420">
        <v>45057.0</v>
      </c>
      <c r="S14" s="376">
        <f>COUNTIFS('KIDS&amp;ADULTS'!$V$3:$V$492,$R14,'KIDS&amp;ADULTS'!$B$3:$B$492,S$3,'KIDS&amp;ADULTS'!$N$3:$N$492,"Đã đóng học phí")</f>
        <v>0</v>
      </c>
      <c r="T14" s="376">
        <f>COUNTIFS('KIDS&amp;ADULTS'!$V$3:$V$492,$R14,'KIDS&amp;ADULTS'!$B$3:$B$492,T$3,'KIDS&amp;ADULTS'!$N$3:$N$492,"Đã đóng học phí")</f>
        <v>0</v>
      </c>
      <c r="U14" s="376">
        <f>COUNTIFS('KIDS&amp;ADULTS'!$V$3:$V$492,$R14,'KIDS&amp;ADULTS'!$B$3:$B$492,U$3,'KIDS&amp;ADULTS'!$N$3:$N$492,"Đã đóng học phí")</f>
        <v>0</v>
      </c>
      <c r="V14" s="376">
        <f>COUNTIFS('KIDS&amp;ADULTS'!$V$3:$V$492,$R14,'KIDS&amp;ADULTS'!$B$3:$B$492,V$3,'KIDS&amp;ADULTS'!$N$3:$N$492,"Đã đóng học phí")</f>
        <v>0</v>
      </c>
      <c r="W14" s="376">
        <f>COUNTIFS('KIDS&amp;ADULTS'!$V$3:$V$492,$R14,'KIDS&amp;ADULTS'!$B$3:$B$492,W$3,'KIDS&amp;ADULTS'!$N$3:$N$492,"Đã đóng học phí")</f>
        <v>0</v>
      </c>
      <c r="X14" s="376">
        <f>COUNTIFS('KIDS&amp;ADULTS'!$V$3:$V$492,$R14,'KIDS&amp;ADULTS'!$B$3:$B$492,X$3,'KIDS&amp;ADULTS'!$N$3:$N$492,"Đã đóng học phí")</f>
        <v>0</v>
      </c>
      <c r="Y14" s="376">
        <f>COUNTIFS('KIDS&amp;ADULTS'!$V$3:$V$492,$R14,'KIDS&amp;ADULTS'!$B$3:$B$492,Y$3,'KIDS&amp;ADULTS'!$N$3:$N$492,"Đã đóng học phí")</f>
        <v>0</v>
      </c>
    </row>
    <row r="15" ht="15.75" customHeight="1">
      <c r="A15" s="423">
        <v>45058.0</v>
      </c>
      <c r="B15" s="373">
        <f>sumifs('KIDS&amp;ADULTS'!$Z$3:$Z$190,'KIDS&amp;ADULTS'!$V$3:$V$190,A15,'KIDS&amp;ADULTS'!$M$3:$M$190,"Thảo")</f>
        <v>0</v>
      </c>
      <c r="C15" s="373">
        <f>sumifs('KIDS&amp;ADULTS'!$Z$3:$Z$182,'KIDS&amp;ADULTS'!$V$3:$V$182,A15,'KIDS&amp;ADULTS'!$M$3:$M$182,"Phương")</f>
        <v>0</v>
      </c>
      <c r="D15" s="373">
        <f>sumifs('KIDS&amp;ADULTS'!$Z$3:$Z$182,'KIDS&amp;ADULTS'!$V$3:$V$182,A15,'KIDS&amp;ADULTS'!$M$3:$M$182,"Cúc")</f>
        <v>0</v>
      </c>
      <c r="E15" s="373">
        <f>sumifs('KIDS&amp;ADULTS'!$Z$3:$Z$190,'KIDS&amp;ADULTS'!$V$3:$V$190,A15,'KIDS&amp;ADULTS'!$M$3:$M$190,"Loan")</f>
        <v>0</v>
      </c>
      <c r="F15" s="373">
        <f t="shared" si="1"/>
        <v>0</v>
      </c>
      <c r="I15" s="420">
        <v>45058.0</v>
      </c>
      <c r="J15" s="374">
        <f>COUNTIFS('KIDS&amp;ADULTS'!$A$3:$A$54,I15,'KIDS&amp;ADULTS'!$B$3:$B$54,$J$3)</f>
        <v>0</v>
      </c>
      <c r="K15" s="374">
        <f>COUNTIFS('KIDS&amp;ADULTS'!$A$3:$A$54,I15,'KIDS&amp;ADULTS'!$B$3:$B$54,$K$3)</f>
        <v>0</v>
      </c>
      <c r="L15" s="375">
        <f>COUNTIFS('KIDS&amp;ADULTS'!$A$3:$A$54,I15,'KIDS&amp;ADULTS'!$B$3:$B$54,$L$3)</f>
        <v>0</v>
      </c>
      <c r="M15" s="375">
        <f>COUNTIFS('KIDS&amp;ADULTS'!$A$3:$A$54,I15,'KIDS&amp;ADULTS'!$B$3:$B$54,$M$3)</f>
        <v>0</v>
      </c>
      <c r="N15" s="375">
        <f>COUNTIFS('KIDS&amp;ADULTS'!$A$3:$A$280,I15,'KIDS&amp;ADULTS'!$B$3:$B$280,$N$3)</f>
        <v>0</v>
      </c>
      <c r="O15" s="375">
        <f>COUNTIFS('KIDS&amp;ADULTS'!$A$3:$A$94,I15,'KIDS&amp;ADULTS'!$B$3:$B$94,$O$3)</f>
        <v>0</v>
      </c>
      <c r="R15" s="420">
        <v>45058.0</v>
      </c>
      <c r="S15" s="376">
        <f>COUNTIFS('KIDS&amp;ADULTS'!$V$3:$V$492,$R15,'KIDS&amp;ADULTS'!$B$3:$B$492,S$3,'KIDS&amp;ADULTS'!$N$3:$N$492,"Đã đóng học phí")</f>
        <v>0</v>
      </c>
      <c r="T15" s="376">
        <f>COUNTIFS('KIDS&amp;ADULTS'!$V$3:$V$492,$R15,'KIDS&amp;ADULTS'!$B$3:$B$492,T$3,'KIDS&amp;ADULTS'!$N$3:$N$492,"Đã đóng học phí")</f>
        <v>0</v>
      </c>
      <c r="U15" s="376">
        <f>COUNTIFS('KIDS&amp;ADULTS'!$V$3:$V$492,$R15,'KIDS&amp;ADULTS'!$B$3:$B$492,U$3,'KIDS&amp;ADULTS'!$N$3:$N$492,"Đã đóng học phí")</f>
        <v>0</v>
      </c>
      <c r="V15" s="376">
        <f>COUNTIFS('KIDS&amp;ADULTS'!$V$3:$V$492,$R15,'KIDS&amp;ADULTS'!$B$3:$B$492,V$3,'KIDS&amp;ADULTS'!$N$3:$N$492,"Đã đóng học phí")</f>
        <v>0</v>
      </c>
      <c r="W15" s="376">
        <f>COUNTIFS('KIDS&amp;ADULTS'!$V$3:$V$492,$R15,'KIDS&amp;ADULTS'!$B$3:$B$492,W$3,'KIDS&amp;ADULTS'!$N$3:$N$492,"Đã đóng học phí")</f>
        <v>0</v>
      </c>
      <c r="X15" s="376">
        <f>COUNTIFS('KIDS&amp;ADULTS'!$V$3:$V$492,$R15,'KIDS&amp;ADULTS'!$B$3:$B$492,X$3,'KIDS&amp;ADULTS'!$N$3:$N$492,"Đã đóng học phí")</f>
        <v>0</v>
      </c>
      <c r="Y15" s="376">
        <f>COUNTIFS('KIDS&amp;ADULTS'!$V$3:$V$492,$R15,'KIDS&amp;ADULTS'!$B$3:$B$492,Y$3,'KIDS&amp;ADULTS'!$N$3:$N$492,"Đã đóng học phí")</f>
        <v>0</v>
      </c>
    </row>
    <row r="16" ht="15.75" customHeight="1">
      <c r="A16" s="423">
        <v>45059.0</v>
      </c>
      <c r="B16" s="373">
        <f>sumifs('KIDS&amp;ADULTS'!$Z$3:$Z$190,'KIDS&amp;ADULTS'!$V$3:$V$190,A16,'KIDS&amp;ADULTS'!$M$3:$M$190,"Thảo")</f>
        <v>0</v>
      </c>
      <c r="C16" s="373">
        <f>sumifs('KIDS&amp;ADULTS'!$Z$3:$Z$182,'KIDS&amp;ADULTS'!$V$3:$V$182,A16,'KIDS&amp;ADULTS'!$M$3:$M$182,"Phương")</f>
        <v>0</v>
      </c>
      <c r="D16" s="373">
        <f>sumifs('KIDS&amp;ADULTS'!$Z$3:$Z$182,'KIDS&amp;ADULTS'!$V$3:$V$182,A16,'KIDS&amp;ADULTS'!$M$3:$M$182,"Cúc")</f>
        <v>0</v>
      </c>
      <c r="E16" s="373">
        <f>sumifs('KIDS&amp;ADULTS'!$Z$3:$Z$190,'KIDS&amp;ADULTS'!$V$3:$V$190,A16,'KIDS&amp;ADULTS'!$M$3:$M$190,"Loan")</f>
        <v>0</v>
      </c>
      <c r="F16" s="373">
        <f t="shared" si="1"/>
        <v>0</v>
      </c>
      <c r="I16" s="420">
        <v>45059.0</v>
      </c>
      <c r="J16" s="374">
        <f>COUNTIFS('KIDS&amp;ADULTS'!$A$3:$A$54,I16,'KIDS&amp;ADULTS'!$B$3:$B$54,$J$3)</f>
        <v>0</v>
      </c>
      <c r="K16" s="374">
        <f>COUNTIFS('KIDS&amp;ADULTS'!$A$3:$A$54,I16,'KIDS&amp;ADULTS'!$B$3:$B$54,$K$3)</f>
        <v>0</v>
      </c>
      <c r="L16" s="375">
        <f>COUNTIFS('KIDS&amp;ADULTS'!$A$3:$A$54,I16,'KIDS&amp;ADULTS'!$B$3:$B$54,$L$3)</f>
        <v>0</v>
      </c>
      <c r="M16" s="375">
        <f>COUNTIFS('KIDS&amp;ADULTS'!$A$3:$A$54,I16,'KIDS&amp;ADULTS'!$B$3:$B$54,$M$3)</f>
        <v>0</v>
      </c>
      <c r="N16" s="375">
        <f>COUNTIFS('KIDS&amp;ADULTS'!$A$3:$A$280,I16,'KIDS&amp;ADULTS'!$B$3:$B$280,$N$3)</f>
        <v>0</v>
      </c>
      <c r="O16" s="375">
        <f>COUNTIFS('KIDS&amp;ADULTS'!$A$3:$A$94,I16,'KIDS&amp;ADULTS'!$B$3:$B$94,$O$3)</f>
        <v>0</v>
      </c>
      <c r="R16" s="420">
        <v>45059.0</v>
      </c>
      <c r="S16" s="376">
        <f>COUNTIFS('KIDS&amp;ADULTS'!$V$3:$V$492,$R16,'KIDS&amp;ADULTS'!$B$3:$B$492,S$3,'KIDS&amp;ADULTS'!$N$3:$N$492,"Đã đóng học phí")</f>
        <v>0</v>
      </c>
      <c r="T16" s="376">
        <f>COUNTIFS('KIDS&amp;ADULTS'!$V$3:$V$492,$R16,'KIDS&amp;ADULTS'!$B$3:$B$492,T$3,'KIDS&amp;ADULTS'!$N$3:$N$492,"Đã đóng học phí")</f>
        <v>0</v>
      </c>
      <c r="U16" s="376">
        <f>COUNTIFS('KIDS&amp;ADULTS'!$V$3:$V$492,$R16,'KIDS&amp;ADULTS'!$B$3:$B$492,U$3,'KIDS&amp;ADULTS'!$N$3:$N$492,"Đã đóng học phí")</f>
        <v>0</v>
      </c>
      <c r="V16" s="376">
        <f>COUNTIFS('KIDS&amp;ADULTS'!$V$3:$V$492,$R16,'KIDS&amp;ADULTS'!$B$3:$B$492,V$3,'KIDS&amp;ADULTS'!$N$3:$N$492,"Đã đóng học phí")</f>
        <v>0</v>
      </c>
      <c r="W16" s="376">
        <f>COUNTIFS('KIDS&amp;ADULTS'!$V$3:$V$492,$R16,'KIDS&amp;ADULTS'!$B$3:$B$492,W$3,'KIDS&amp;ADULTS'!$N$3:$N$492,"Đã đóng học phí")</f>
        <v>0</v>
      </c>
      <c r="X16" s="376">
        <f>COUNTIFS('KIDS&amp;ADULTS'!$V$3:$V$492,$R16,'KIDS&amp;ADULTS'!$B$3:$B$492,X$3,'KIDS&amp;ADULTS'!$N$3:$N$492,"Đã đóng học phí")</f>
        <v>0</v>
      </c>
      <c r="Y16" s="376">
        <f>COUNTIFS('KIDS&amp;ADULTS'!$V$3:$V$492,$R16,'KIDS&amp;ADULTS'!$B$3:$B$492,Y$3,'KIDS&amp;ADULTS'!$N$3:$N$492,"Đã đóng học phí")</f>
        <v>0</v>
      </c>
    </row>
    <row r="17" ht="15.75" customHeight="1">
      <c r="A17" s="423">
        <v>45060.0</v>
      </c>
      <c r="B17" s="373">
        <f>sumifs('KIDS&amp;ADULTS'!$Z$3:$Z$190,'KIDS&amp;ADULTS'!$V$3:$V$190,A17,'KIDS&amp;ADULTS'!$M$3:$M$190,"Thảo")</f>
        <v>0</v>
      </c>
      <c r="C17" s="373">
        <f>sumifs('KIDS&amp;ADULTS'!$Z$3:$Z$182,'KIDS&amp;ADULTS'!$V$3:$V$182,A17,'KIDS&amp;ADULTS'!$M$3:$M$182,"Phương")</f>
        <v>0</v>
      </c>
      <c r="D17" s="373">
        <f>sumifs('KIDS&amp;ADULTS'!$Z$3:$Z$182,'KIDS&amp;ADULTS'!$V$3:$V$182,A17,'KIDS&amp;ADULTS'!$M$3:$M$182,"Cúc")</f>
        <v>0</v>
      </c>
      <c r="E17" s="373">
        <f>sumifs('KIDS&amp;ADULTS'!$Z$3:$Z$190,'KIDS&amp;ADULTS'!$V$3:$V$190,A17,'KIDS&amp;ADULTS'!$M$3:$M$190,"Loan")</f>
        <v>0</v>
      </c>
      <c r="F17" s="373">
        <f t="shared" si="1"/>
        <v>0</v>
      </c>
      <c r="I17" s="420">
        <v>45060.0</v>
      </c>
      <c r="J17" s="374">
        <f>COUNTIFS('KIDS&amp;ADULTS'!$A$3:$A$54,I17,'KIDS&amp;ADULTS'!$B$3:$B$54,$J$3)</f>
        <v>0</v>
      </c>
      <c r="K17" s="374">
        <f>COUNTIFS('KIDS&amp;ADULTS'!$A$3:$A$54,I17,'KIDS&amp;ADULTS'!$B$3:$B$54,$K$3)</f>
        <v>0</v>
      </c>
      <c r="L17" s="375">
        <f>COUNTIFS('KIDS&amp;ADULTS'!$A$3:$A$54,I17,'KIDS&amp;ADULTS'!$B$3:$B$54,$L$3)</f>
        <v>0</v>
      </c>
      <c r="M17" s="375">
        <f>COUNTIFS('KIDS&amp;ADULTS'!$A$3:$A$54,I17,'KIDS&amp;ADULTS'!$B$3:$B$54,$M$3)</f>
        <v>0</v>
      </c>
      <c r="N17" s="375">
        <f>COUNTIFS('KIDS&amp;ADULTS'!$A$3:$A$280,I17,'KIDS&amp;ADULTS'!$B$3:$B$280,$N$3)</f>
        <v>0</v>
      </c>
      <c r="O17" s="375">
        <f>COUNTIFS('KIDS&amp;ADULTS'!$A$3:$A$94,I17,'KIDS&amp;ADULTS'!$B$3:$B$94,$O$3)</f>
        <v>0</v>
      </c>
      <c r="R17" s="420">
        <v>45060.0</v>
      </c>
      <c r="S17" s="376">
        <f>COUNTIFS('KIDS&amp;ADULTS'!$V$3:$V$492,$R17,'KIDS&amp;ADULTS'!$B$3:$B$492,S$3,'KIDS&amp;ADULTS'!$N$3:$N$492,"Đã đóng học phí")</f>
        <v>0</v>
      </c>
      <c r="T17" s="376">
        <f>COUNTIFS('KIDS&amp;ADULTS'!$V$3:$V$492,$R17,'KIDS&amp;ADULTS'!$B$3:$B$492,T$3,'KIDS&amp;ADULTS'!$N$3:$N$492,"Đã đóng học phí")</f>
        <v>0</v>
      </c>
      <c r="U17" s="376">
        <f>COUNTIFS('KIDS&amp;ADULTS'!$V$3:$V$492,$R17,'KIDS&amp;ADULTS'!$B$3:$B$492,U$3,'KIDS&amp;ADULTS'!$N$3:$N$492,"Đã đóng học phí")</f>
        <v>0</v>
      </c>
      <c r="V17" s="376">
        <f>COUNTIFS('KIDS&amp;ADULTS'!$V$3:$V$492,$R17,'KIDS&amp;ADULTS'!$B$3:$B$492,V$3,'KIDS&amp;ADULTS'!$N$3:$N$492,"Đã đóng học phí")</f>
        <v>0</v>
      </c>
      <c r="W17" s="376">
        <f>COUNTIFS('KIDS&amp;ADULTS'!$V$3:$V$492,$R17,'KIDS&amp;ADULTS'!$B$3:$B$492,W$3,'KIDS&amp;ADULTS'!$N$3:$N$492,"Đã đóng học phí")</f>
        <v>0</v>
      </c>
      <c r="X17" s="376">
        <f>COUNTIFS('KIDS&amp;ADULTS'!$V$3:$V$492,$R17,'KIDS&amp;ADULTS'!$B$3:$B$492,X$3,'KIDS&amp;ADULTS'!$N$3:$N$492,"Đã đóng học phí")</f>
        <v>0</v>
      </c>
      <c r="Y17" s="376">
        <f>COUNTIFS('KIDS&amp;ADULTS'!$V$3:$V$492,$R17,'KIDS&amp;ADULTS'!$B$3:$B$492,Y$3,'KIDS&amp;ADULTS'!$N$3:$N$492,"Đã đóng học phí")</f>
        <v>0</v>
      </c>
    </row>
    <row r="18" ht="15.75" customHeight="1">
      <c r="A18" s="423">
        <v>45061.0</v>
      </c>
      <c r="B18" s="373">
        <f>sumifs('KIDS&amp;ADULTS'!$Z$3:$Z$190,'KIDS&amp;ADULTS'!$V$3:$V$190,A18,'KIDS&amp;ADULTS'!$M$3:$M$190,"Thảo")</f>
        <v>0</v>
      </c>
      <c r="C18" s="373">
        <f>sumifs('KIDS&amp;ADULTS'!$Z$3:$Z$182,'KIDS&amp;ADULTS'!$V$3:$V$182,A18,'KIDS&amp;ADULTS'!$M$3:$M$182,"Phương")</f>
        <v>0</v>
      </c>
      <c r="D18" s="373">
        <f>sumifs('KIDS&amp;ADULTS'!$Z$3:$Z$182,'KIDS&amp;ADULTS'!$V$3:$V$182,A18,'KIDS&amp;ADULTS'!$M$3:$M$182,"Cúc")</f>
        <v>0</v>
      </c>
      <c r="E18" s="373">
        <f>sumifs('KIDS&amp;ADULTS'!$Z$3:$Z$190,'KIDS&amp;ADULTS'!$V$3:$V$190,A18,'KIDS&amp;ADULTS'!$M$3:$M$190,"Loan")</f>
        <v>0</v>
      </c>
      <c r="F18" s="373">
        <f t="shared" si="1"/>
        <v>0</v>
      </c>
      <c r="I18" s="420">
        <v>45061.0</v>
      </c>
      <c r="J18" s="374">
        <f>COUNTIFS('KIDS&amp;ADULTS'!$A$3:$A$54,I18,'KIDS&amp;ADULTS'!$B$3:$B$54,$J$3)</f>
        <v>0</v>
      </c>
      <c r="K18" s="374">
        <f>COUNTIFS('KIDS&amp;ADULTS'!$A$3:$A$54,I18,'KIDS&amp;ADULTS'!$B$3:$B$54,$K$3)</f>
        <v>0</v>
      </c>
      <c r="L18" s="375">
        <f>COUNTIFS('KIDS&amp;ADULTS'!$A$3:$A$54,I18,'KIDS&amp;ADULTS'!$B$3:$B$54,$L$3)</f>
        <v>0</v>
      </c>
      <c r="M18" s="375">
        <f>COUNTIFS('KIDS&amp;ADULTS'!$A$3:$A$54,I18,'KIDS&amp;ADULTS'!$B$3:$B$54,$M$3)</f>
        <v>0</v>
      </c>
      <c r="N18" s="375">
        <f>COUNTIFS('KIDS&amp;ADULTS'!$A$3:$A$280,I18,'KIDS&amp;ADULTS'!$B$3:$B$280,$N$3)</f>
        <v>1</v>
      </c>
      <c r="O18" s="375">
        <f>COUNTIFS('KIDS&amp;ADULTS'!$A$3:$A$94,I18,'KIDS&amp;ADULTS'!$B$3:$B$94,$O$3)</f>
        <v>0</v>
      </c>
      <c r="R18" s="420">
        <v>45061.0</v>
      </c>
      <c r="S18" s="376">
        <f>COUNTIFS('KIDS&amp;ADULTS'!$V$3:$V$492,$R18,'KIDS&amp;ADULTS'!$B$3:$B$492,S$3,'KIDS&amp;ADULTS'!$N$3:$N$492,"Đã đóng học phí")</f>
        <v>0</v>
      </c>
      <c r="T18" s="376">
        <f>COUNTIFS('KIDS&amp;ADULTS'!$V$3:$V$492,$R18,'KIDS&amp;ADULTS'!$B$3:$B$492,T$3,'KIDS&amp;ADULTS'!$N$3:$N$492,"Đã đóng học phí")</f>
        <v>0</v>
      </c>
      <c r="U18" s="376">
        <f>COUNTIFS('KIDS&amp;ADULTS'!$V$3:$V$492,$R18,'KIDS&amp;ADULTS'!$B$3:$B$492,U$3,'KIDS&amp;ADULTS'!$N$3:$N$492,"Đã đóng học phí")</f>
        <v>0</v>
      </c>
      <c r="V18" s="376">
        <f>COUNTIFS('KIDS&amp;ADULTS'!$V$3:$V$492,$R18,'KIDS&amp;ADULTS'!$B$3:$B$492,V$3,'KIDS&amp;ADULTS'!$N$3:$N$492,"Đã đóng học phí")</f>
        <v>0</v>
      </c>
      <c r="W18" s="376">
        <f>COUNTIFS('KIDS&amp;ADULTS'!$V$3:$V$492,$R18,'KIDS&amp;ADULTS'!$B$3:$B$492,W$3,'KIDS&amp;ADULTS'!$N$3:$N$492,"Đã đóng học phí")</f>
        <v>0</v>
      </c>
      <c r="X18" s="376">
        <f>COUNTIFS('KIDS&amp;ADULTS'!$V$3:$V$492,$R18,'KIDS&amp;ADULTS'!$B$3:$B$492,X$3,'KIDS&amp;ADULTS'!$N$3:$N$492,"Đã đóng học phí")</f>
        <v>0</v>
      </c>
      <c r="Y18" s="376">
        <f>COUNTIFS('KIDS&amp;ADULTS'!$V$3:$V$492,$R18,'KIDS&amp;ADULTS'!$B$3:$B$492,Y$3,'KIDS&amp;ADULTS'!$N$3:$N$492,"Đã đóng học phí")</f>
        <v>0</v>
      </c>
    </row>
    <row r="19" ht="15.75" customHeight="1">
      <c r="A19" s="423">
        <v>45062.0</v>
      </c>
      <c r="B19" s="373">
        <f>sumifs('KIDS&amp;ADULTS'!$Z$3:$Z$190,'KIDS&amp;ADULTS'!$V$3:$V$190,A19,'KIDS&amp;ADULTS'!$M$3:$M$190,"Thảo")</f>
        <v>0</v>
      </c>
      <c r="C19" s="373">
        <f>sumifs('KIDS&amp;ADULTS'!$Z$3:$Z$182,'KIDS&amp;ADULTS'!$V$3:$V$182,A19,'KIDS&amp;ADULTS'!$M$3:$M$182,"Phương")</f>
        <v>0</v>
      </c>
      <c r="D19" s="373">
        <f>sumifs('KIDS&amp;ADULTS'!$Z$3:$Z$182,'KIDS&amp;ADULTS'!$V$3:$V$182,A19,'KIDS&amp;ADULTS'!$M$3:$M$182,"Cúc")</f>
        <v>0</v>
      </c>
      <c r="E19" s="373">
        <f>sumifs('KIDS&amp;ADULTS'!$Z$3:$Z$190,'KIDS&amp;ADULTS'!$V$3:$V$190,A19,'KIDS&amp;ADULTS'!$M$3:$M$190,"Loan")</f>
        <v>0</v>
      </c>
      <c r="F19" s="373">
        <f t="shared" si="1"/>
        <v>0</v>
      </c>
      <c r="I19" s="420">
        <v>45062.0</v>
      </c>
      <c r="J19" s="374">
        <f>COUNTIFS('KIDS&amp;ADULTS'!$A$3:$A$54,I19,'KIDS&amp;ADULTS'!$B$3:$B$54,$J$3)</f>
        <v>0</v>
      </c>
      <c r="K19" s="374">
        <f>COUNTIFS('KIDS&amp;ADULTS'!$A$3:$A$54,I19,'KIDS&amp;ADULTS'!$B$3:$B$54,$K$3)</f>
        <v>0</v>
      </c>
      <c r="L19" s="375">
        <f>COUNTIFS('KIDS&amp;ADULTS'!$A$3:$A$54,I19,'KIDS&amp;ADULTS'!$B$3:$B$54,$L$3)</f>
        <v>0</v>
      </c>
      <c r="M19" s="375">
        <f>COUNTIFS('KIDS&amp;ADULTS'!$A$3:$A$54,I19,'KIDS&amp;ADULTS'!$B$3:$B$54,$M$3)</f>
        <v>0</v>
      </c>
      <c r="N19" s="375">
        <f>COUNTIFS('KIDS&amp;ADULTS'!$A$3:$A$280,I19,'KIDS&amp;ADULTS'!$B$3:$B$280,$N$3)</f>
        <v>0</v>
      </c>
      <c r="O19" s="375">
        <f>COUNTIFS('KIDS&amp;ADULTS'!$A$3:$A$94,I19,'KIDS&amp;ADULTS'!$B$3:$B$94,$O$3)</f>
        <v>0</v>
      </c>
      <c r="R19" s="420">
        <v>45062.0</v>
      </c>
      <c r="S19" s="376">
        <f>COUNTIFS('KIDS&amp;ADULTS'!$V$3:$V$492,$R19,'KIDS&amp;ADULTS'!$B$3:$B$492,S$3,'KIDS&amp;ADULTS'!$N$3:$N$492,"Đã đóng học phí")</f>
        <v>0</v>
      </c>
      <c r="T19" s="376">
        <f>COUNTIFS('KIDS&amp;ADULTS'!$V$3:$V$492,$R19,'KIDS&amp;ADULTS'!$B$3:$B$492,T$3,'KIDS&amp;ADULTS'!$N$3:$N$492,"Đã đóng học phí")</f>
        <v>0</v>
      </c>
      <c r="U19" s="376">
        <f>COUNTIFS('KIDS&amp;ADULTS'!$V$3:$V$492,$R19,'KIDS&amp;ADULTS'!$B$3:$B$492,U$3,'KIDS&amp;ADULTS'!$N$3:$N$492,"Đã đóng học phí")</f>
        <v>0</v>
      </c>
      <c r="V19" s="376">
        <f>COUNTIFS('KIDS&amp;ADULTS'!$V$3:$V$492,$R19,'KIDS&amp;ADULTS'!$B$3:$B$492,V$3,'KIDS&amp;ADULTS'!$N$3:$N$492,"Đã đóng học phí")</f>
        <v>0</v>
      </c>
      <c r="W19" s="376">
        <f>COUNTIFS('KIDS&amp;ADULTS'!$V$3:$V$492,$R19,'KIDS&amp;ADULTS'!$B$3:$B$492,W$3,'KIDS&amp;ADULTS'!$N$3:$N$492,"Đã đóng học phí")</f>
        <v>0</v>
      </c>
      <c r="X19" s="376">
        <f>COUNTIFS('KIDS&amp;ADULTS'!$V$3:$V$492,$R19,'KIDS&amp;ADULTS'!$B$3:$B$492,X$3,'KIDS&amp;ADULTS'!$N$3:$N$492,"Đã đóng học phí")</f>
        <v>0</v>
      </c>
      <c r="Y19" s="376">
        <f>COUNTIFS('KIDS&amp;ADULTS'!$V$3:$V$492,$R19,'KIDS&amp;ADULTS'!$B$3:$B$492,Y$3,'KIDS&amp;ADULTS'!$N$3:$N$492,"Đã đóng học phí")</f>
        <v>0</v>
      </c>
    </row>
    <row r="20" ht="15.75" customHeight="1">
      <c r="A20" s="423">
        <v>45063.0</v>
      </c>
      <c r="B20" s="373">
        <f>sumifs('KIDS&amp;ADULTS'!$Z$3:$Z$190,'KIDS&amp;ADULTS'!$V$3:$V$190,A20,'KIDS&amp;ADULTS'!$M$3:$M$190,"Thảo")</f>
        <v>0</v>
      </c>
      <c r="C20" s="373">
        <f>sumifs('KIDS&amp;ADULTS'!$Z$3:$Z$182,'KIDS&amp;ADULTS'!$V$3:$V$182,A20,'KIDS&amp;ADULTS'!$M$3:$M$182,"Phương")</f>
        <v>0</v>
      </c>
      <c r="D20" s="373">
        <f>sumifs('KIDS&amp;ADULTS'!$Z$3:$Z$182,'KIDS&amp;ADULTS'!$V$3:$V$182,A20,'KIDS&amp;ADULTS'!$M$3:$M$182,"Cúc")</f>
        <v>0</v>
      </c>
      <c r="E20" s="373">
        <f>sumifs('KIDS&amp;ADULTS'!$Z$3:$Z$190,'KIDS&amp;ADULTS'!$V$3:$V$190,A20,'KIDS&amp;ADULTS'!$M$3:$M$190,"Loan")</f>
        <v>0</v>
      </c>
      <c r="F20" s="373">
        <f t="shared" si="1"/>
        <v>0</v>
      </c>
      <c r="I20" s="420">
        <v>45063.0</v>
      </c>
      <c r="J20" s="374">
        <f>COUNTIFS('KIDS&amp;ADULTS'!$A$3:$A$54,I20,'KIDS&amp;ADULTS'!$B$3:$B$54,$J$3)</f>
        <v>0</v>
      </c>
      <c r="K20" s="374">
        <f>COUNTIFS('KIDS&amp;ADULTS'!$A$3:$A$54,I20,'KIDS&amp;ADULTS'!$B$3:$B$54,$K$3)</f>
        <v>0</v>
      </c>
      <c r="L20" s="375">
        <f>COUNTIFS('KIDS&amp;ADULTS'!$A$3:$A$54,I20,'KIDS&amp;ADULTS'!$B$3:$B$54,$L$3)</f>
        <v>0</v>
      </c>
      <c r="M20" s="375">
        <f>COUNTIFS('KIDS&amp;ADULTS'!$A$3:$A$54,I20,'KIDS&amp;ADULTS'!$B$3:$B$54,$M$3)</f>
        <v>2</v>
      </c>
      <c r="N20" s="375">
        <f>COUNTIFS('KIDS&amp;ADULTS'!$A$3:$A$280,I20,'KIDS&amp;ADULTS'!$B$3:$B$280,$N$3)</f>
        <v>0</v>
      </c>
      <c r="O20" s="375">
        <f>COUNTIFS('KIDS&amp;ADULTS'!$A$3:$A$94,I20,'KIDS&amp;ADULTS'!$B$3:$B$94,$O$3)</f>
        <v>0</v>
      </c>
      <c r="R20" s="420">
        <v>45063.0</v>
      </c>
      <c r="S20" s="376">
        <f>COUNTIFS('KIDS&amp;ADULTS'!$V$3:$V$492,$R20,'KIDS&amp;ADULTS'!$B$3:$B$492,S$3,'KIDS&amp;ADULTS'!$N$3:$N$492,"Đã đóng học phí")</f>
        <v>0</v>
      </c>
      <c r="T20" s="376">
        <f>COUNTIFS('KIDS&amp;ADULTS'!$V$3:$V$492,$R20,'KIDS&amp;ADULTS'!$B$3:$B$492,T$3,'KIDS&amp;ADULTS'!$N$3:$N$492,"Đã đóng học phí")</f>
        <v>0</v>
      </c>
      <c r="U20" s="376">
        <f>COUNTIFS('KIDS&amp;ADULTS'!$V$3:$V$492,$R20,'KIDS&amp;ADULTS'!$B$3:$B$492,U$3,'KIDS&amp;ADULTS'!$N$3:$N$492,"Đã đóng học phí")</f>
        <v>0</v>
      </c>
      <c r="V20" s="376">
        <f>COUNTIFS('KIDS&amp;ADULTS'!$V$3:$V$492,$R20,'KIDS&amp;ADULTS'!$B$3:$B$492,V$3,'KIDS&amp;ADULTS'!$N$3:$N$492,"Đã đóng học phí")</f>
        <v>0</v>
      </c>
      <c r="W20" s="376">
        <f>COUNTIFS('KIDS&amp;ADULTS'!$V$3:$V$492,$R20,'KIDS&amp;ADULTS'!$B$3:$B$492,W$3,'KIDS&amp;ADULTS'!$N$3:$N$492,"Đã đóng học phí")</f>
        <v>0</v>
      </c>
      <c r="X20" s="376">
        <f>COUNTIFS('KIDS&amp;ADULTS'!$V$3:$V$492,$R20,'KIDS&amp;ADULTS'!$B$3:$B$492,X$3,'KIDS&amp;ADULTS'!$N$3:$N$492,"Đã đóng học phí")</f>
        <v>0</v>
      </c>
      <c r="Y20" s="376">
        <f>COUNTIFS('KIDS&amp;ADULTS'!$V$3:$V$492,$R20,'KIDS&amp;ADULTS'!$B$3:$B$492,Y$3,'KIDS&amp;ADULTS'!$N$3:$N$492,"Đã đóng học phí")</f>
        <v>0</v>
      </c>
    </row>
    <row r="21" ht="15.75" customHeight="1">
      <c r="A21" s="423">
        <v>45064.0</v>
      </c>
      <c r="B21" s="373">
        <f>sumifs('KIDS&amp;ADULTS'!$Z$3:$Z$190,'KIDS&amp;ADULTS'!$V$3:$V$190,A21,'KIDS&amp;ADULTS'!$M$3:$M$190,"Thảo")</f>
        <v>0</v>
      </c>
      <c r="C21" s="373">
        <f>sumifs('KIDS&amp;ADULTS'!$Z$3:$Z$182,'KIDS&amp;ADULTS'!$V$3:$V$182,A21,'KIDS&amp;ADULTS'!$M$3:$M$182,"Phương")</f>
        <v>0</v>
      </c>
      <c r="D21" s="373">
        <f>sumifs('KIDS&amp;ADULTS'!$Z$3:$Z$182,'KIDS&amp;ADULTS'!$V$3:$V$182,A21,'KIDS&amp;ADULTS'!$M$3:$M$182,"Cúc")</f>
        <v>0</v>
      </c>
      <c r="E21" s="373">
        <f>sumifs('KIDS&amp;ADULTS'!$Z$3:$Z$190,'KIDS&amp;ADULTS'!$V$3:$V$190,A21,'KIDS&amp;ADULTS'!$M$3:$M$190,"Loan")</f>
        <v>0</v>
      </c>
      <c r="F21" s="373">
        <f t="shared" si="1"/>
        <v>0</v>
      </c>
      <c r="I21" s="420">
        <v>45064.0</v>
      </c>
      <c r="J21" s="374">
        <f>COUNTIFS('KIDS&amp;ADULTS'!$A$3:$A$54,I21,'KIDS&amp;ADULTS'!$B$3:$B$54,$J$3)</f>
        <v>0</v>
      </c>
      <c r="K21" s="374">
        <f>COUNTIFS('KIDS&amp;ADULTS'!$A$3:$A$54,I21,'KIDS&amp;ADULTS'!$B$3:$B$54,$K$3)</f>
        <v>0</v>
      </c>
      <c r="L21" s="375">
        <f>COUNTIFS('KIDS&amp;ADULTS'!$A$3:$A$54,I21,'KIDS&amp;ADULTS'!$B$3:$B$54,$L$3)</f>
        <v>0</v>
      </c>
      <c r="M21" s="375">
        <f>COUNTIFS('KIDS&amp;ADULTS'!$A$3:$A$54,I21,'KIDS&amp;ADULTS'!$B$3:$B$54,$M$3)</f>
        <v>0</v>
      </c>
      <c r="N21" s="375">
        <f>COUNTIFS('KIDS&amp;ADULTS'!$A$3:$A$280,I21,'KIDS&amp;ADULTS'!$B$3:$B$280,$N$3)</f>
        <v>0</v>
      </c>
      <c r="O21" s="375">
        <f>COUNTIFS('KIDS&amp;ADULTS'!$A$3:$A$94,I21,'KIDS&amp;ADULTS'!$B$3:$B$94,$O$3)</f>
        <v>0</v>
      </c>
      <c r="R21" s="420">
        <v>45064.0</v>
      </c>
      <c r="S21" s="376">
        <f>COUNTIFS('KIDS&amp;ADULTS'!$V$3:$V$492,$R21,'KIDS&amp;ADULTS'!$B$3:$B$492,S$3,'KIDS&amp;ADULTS'!$N$3:$N$492,"Đã đóng học phí")</f>
        <v>0</v>
      </c>
      <c r="T21" s="376">
        <f>COUNTIFS('KIDS&amp;ADULTS'!$V$3:$V$492,$R21,'KIDS&amp;ADULTS'!$B$3:$B$492,T$3,'KIDS&amp;ADULTS'!$N$3:$N$492,"Đã đóng học phí")</f>
        <v>0</v>
      </c>
      <c r="U21" s="376">
        <f>COUNTIFS('KIDS&amp;ADULTS'!$V$3:$V$492,$R21,'KIDS&amp;ADULTS'!$B$3:$B$492,U$3,'KIDS&amp;ADULTS'!$N$3:$N$492,"Đã đóng học phí")</f>
        <v>0</v>
      </c>
      <c r="V21" s="376">
        <f>COUNTIFS('KIDS&amp;ADULTS'!$V$3:$V$492,$R21,'KIDS&amp;ADULTS'!$B$3:$B$492,V$3,'KIDS&amp;ADULTS'!$N$3:$N$492,"Đã đóng học phí")</f>
        <v>0</v>
      </c>
      <c r="W21" s="376">
        <f>COUNTIFS('KIDS&amp;ADULTS'!$V$3:$V$492,$R21,'KIDS&amp;ADULTS'!$B$3:$B$492,W$3,'KIDS&amp;ADULTS'!$N$3:$N$492,"Đã đóng học phí")</f>
        <v>0</v>
      </c>
      <c r="X21" s="376">
        <f>COUNTIFS('KIDS&amp;ADULTS'!$V$3:$V$492,$R21,'KIDS&amp;ADULTS'!$B$3:$B$492,X$3,'KIDS&amp;ADULTS'!$N$3:$N$492,"Đã đóng học phí")</f>
        <v>0</v>
      </c>
      <c r="Y21" s="376">
        <f>COUNTIFS('KIDS&amp;ADULTS'!$V$3:$V$492,$R21,'KIDS&amp;ADULTS'!$B$3:$B$492,Y$3,'KIDS&amp;ADULTS'!$N$3:$N$492,"Đã đóng học phí")</f>
        <v>0</v>
      </c>
    </row>
    <row r="22" ht="15.75" customHeight="1">
      <c r="A22" s="423">
        <v>45065.0</v>
      </c>
      <c r="B22" s="373">
        <f>sumifs('KIDS&amp;ADULTS'!$Z$3:$Z$190,'KIDS&amp;ADULTS'!$V$3:$V$190,A22,'KIDS&amp;ADULTS'!$M$3:$M$190,"Thảo")</f>
        <v>0</v>
      </c>
      <c r="C22" s="373">
        <f>sumifs('KIDS&amp;ADULTS'!$Z$3:$Z$182,'KIDS&amp;ADULTS'!$V$3:$V$182,A22,'KIDS&amp;ADULTS'!$M$3:$M$182,"Phương")</f>
        <v>0</v>
      </c>
      <c r="D22" s="373">
        <f>sumifs('KIDS&amp;ADULTS'!$Z$3:$Z$182,'KIDS&amp;ADULTS'!$V$3:$V$182,A22,'KIDS&amp;ADULTS'!$M$3:$M$182,"Cúc")</f>
        <v>0</v>
      </c>
      <c r="E22" s="373">
        <f>sumifs('KIDS&amp;ADULTS'!$Z$3:$Z$190,'KIDS&amp;ADULTS'!$V$3:$V$190,A22,'KIDS&amp;ADULTS'!$M$3:$M$190,"Loan")</f>
        <v>0</v>
      </c>
      <c r="F22" s="373">
        <f t="shared" si="1"/>
        <v>0</v>
      </c>
      <c r="I22" s="420">
        <v>45065.0</v>
      </c>
      <c r="J22" s="374">
        <f>COUNTIFS('KIDS&amp;ADULTS'!$A$3:$A$54,I22,'KIDS&amp;ADULTS'!$B$3:$B$54,$J$3)</f>
        <v>0</v>
      </c>
      <c r="K22" s="374">
        <f>COUNTIFS('KIDS&amp;ADULTS'!$A$3:$A$54,I22,'KIDS&amp;ADULTS'!$B$3:$B$54,$K$3)</f>
        <v>0</v>
      </c>
      <c r="L22" s="375">
        <f>COUNTIFS('KIDS&amp;ADULTS'!$A$3:$A$54,I22,'KIDS&amp;ADULTS'!$B$3:$B$54,$L$3)</f>
        <v>0</v>
      </c>
      <c r="M22" s="375">
        <f>COUNTIFS('KIDS&amp;ADULTS'!$A$3:$A$54,I22,'KIDS&amp;ADULTS'!$B$3:$B$54,$M$3)</f>
        <v>0</v>
      </c>
      <c r="N22" s="375">
        <f>COUNTIFS('KIDS&amp;ADULTS'!$A$3:$A$280,I22,'KIDS&amp;ADULTS'!$B$3:$B$280,$N$3)</f>
        <v>0</v>
      </c>
      <c r="O22" s="375">
        <f>COUNTIFS('KIDS&amp;ADULTS'!$A$3:$A$94,I22,'KIDS&amp;ADULTS'!$B$3:$B$94,$O$3)</f>
        <v>0</v>
      </c>
      <c r="R22" s="420">
        <v>45065.0</v>
      </c>
      <c r="S22" s="376">
        <f>COUNTIFS('KIDS&amp;ADULTS'!$V$3:$V$492,$R22,'KIDS&amp;ADULTS'!$B$3:$B$492,S$3,'KIDS&amp;ADULTS'!$N$3:$N$492,"Đã đóng học phí")</f>
        <v>0</v>
      </c>
      <c r="T22" s="376">
        <f>COUNTIFS('KIDS&amp;ADULTS'!$V$3:$V$492,$R22,'KIDS&amp;ADULTS'!$B$3:$B$492,T$3,'KIDS&amp;ADULTS'!$N$3:$N$492,"Đã đóng học phí")</f>
        <v>0</v>
      </c>
      <c r="U22" s="376">
        <f>COUNTIFS('KIDS&amp;ADULTS'!$V$3:$V$492,$R22,'KIDS&amp;ADULTS'!$B$3:$B$492,U$3,'KIDS&amp;ADULTS'!$N$3:$N$492,"Đã đóng học phí")</f>
        <v>0</v>
      </c>
      <c r="V22" s="376">
        <f>COUNTIFS('KIDS&amp;ADULTS'!$V$3:$V$492,$R22,'KIDS&amp;ADULTS'!$B$3:$B$492,V$3,'KIDS&amp;ADULTS'!$N$3:$N$492,"Đã đóng học phí")</f>
        <v>0</v>
      </c>
      <c r="W22" s="376">
        <f>COUNTIFS('KIDS&amp;ADULTS'!$V$3:$V$492,$R22,'KIDS&amp;ADULTS'!$B$3:$B$492,W$3,'KIDS&amp;ADULTS'!$N$3:$N$492,"Đã đóng học phí")</f>
        <v>0</v>
      </c>
      <c r="X22" s="376">
        <f>COUNTIFS('KIDS&amp;ADULTS'!$V$3:$V$492,$R22,'KIDS&amp;ADULTS'!$B$3:$B$492,X$3,'KIDS&amp;ADULTS'!$N$3:$N$492,"Đã đóng học phí")</f>
        <v>0</v>
      </c>
      <c r="Y22" s="376">
        <f>COUNTIFS('KIDS&amp;ADULTS'!$V$3:$V$492,$R22,'KIDS&amp;ADULTS'!$B$3:$B$492,Y$3,'KIDS&amp;ADULTS'!$N$3:$N$492,"Đã đóng học phí")</f>
        <v>0</v>
      </c>
    </row>
    <row r="23" ht="15.75" customHeight="1">
      <c r="A23" s="423">
        <v>45066.0</v>
      </c>
      <c r="B23" s="373">
        <f>sumifs('KIDS&amp;ADULTS'!$Z$3:$Z$190,'KIDS&amp;ADULTS'!$V$3:$V$190,A23,'KIDS&amp;ADULTS'!$M$3:$M$190,"Thảo")</f>
        <v>0</v>
      </c>
      <c r="C23" s="373">
        <f>sumifs('KIDS&amp;ADULTS'!$Z$3:$Z$182,'KIDS&amp;ADULTS'!$V$3:$V$182,A23,'KIDS&amp;ADULTS'!$M$3:$M$182,"Phương")</f>
        <v>0</v>
      </c>
      <c r="D23" s="373">
        <f>sumifs('KIDS&amp;ADULTS'!$Z$3:$Z$182,'KIDS&amp;ADULTS'!$V$3:$V$182,A23,'KIDS&amp;ADULTS'!$M$3:$M$182,"Cúc")</f>
        <v>0</v>
      </c>
      <c r="E23" s="373">
        <f>sumifs('KIDS&amp;ADULTS'!$Z$3:$Z$190,'KIDS&amp;ADULTS'!$V$3:$V$190,A23,'KIDS&amp;ADULTS'!$M$3:$M$190,"Loan")</f>
        <v>0</v>
      </c>
      <c r="F23" s="373">
        <f t="shared" si="1"/>
        <v>0</v>
      </c>
      <c r="I23" s="420">
        <v>45066.0</v>
      </c>
      <c r="J23" s="374">
        <f>COUNTIFS('KIDS&amp;ADULTS'!$A$3:$A$54,I23,'KIDS&amp;ADULTS'!$B$3:$B$54,$J$3)</f>
        <v>0</v>
      </c>
      <c r="K23" s="374">
        <f>COUNTIFS('KIDS&amp;ADULTS'!$A$3:$A$54,I23,'KIDS&amp;ADULTS'!$B$3:$B$54,$K$3)</f>
        <v>0</v>
      </c>
      <c r="L23" s="375">
        <f>COUNTIFS('KIDS&amp;ADULTS'!$A$3:$A$54,I23,'KIDS&amp;ADULTS'!$B$3:$B$54,$L$3)</f>
        <v>0</v>
      </c>
      <c r="M23" s="375">
        <f>COUNTIFS('KIDS&amp;ADULTS'!$A$3:$A$54,I23,'KIDS&amp;ADULTS'!$B$3:$B$54,$M$3)</f>
        <v>0</v>
      </c>
      <c r="N23" s="375">
        <f>COUNTIFS('KIDS&amp;ADULTS'!$A$3:$A$280,I23,'KIDS&amp;ADULTS'!$B$3:$B$280,$N$3)</f>
        <v>0</v>
      </c>
      <c r="O23" s="375">
        <f>COUNTIFS('KIDS&amp;ADULTS'!$A$3:$A$94,I23,'KIDS&amp;ADULTS'!$B$3:$B$94,$O$3)</f>
        <v>0</v>
      </c>
      <c r="R23" s="420">
        <v>45066.0</v>
      </c>
      <c r="S23" s="376">
        <f>COUNTIFS('KIDS&amp;ADULTS'!$V$3:$V$492,$R23,'KIDS&amp;ADULTS'!$B$3:$B$492,S$3,'KIDS&amp;ADULTS'!$N$3:$N$492,"Đã đóng học phí")</f>
        <v>0</v>
      </c>
      <c r="T23" s="376">
        <f>COUNTIFS('KIDS&amp;ADULTS'!$V$3:$V$492,$R23,'KIDS&amp;ADULTS'!$B$3:$B$492,T$3,'KIDS&amp;ADULTS'!$N$3:$N$492,"Đã đóng học phí")</f>
        <v>0</v>
      </c>
      <c r="U23" s="376">
        <f>COUNTIFS('KIDS&amp;ADULTS'!$V$3:$V$492,$R23,'KIDS&amp;ADULTS'!$B$3:$B$492,U$3,'KIDS&amp;ADULTS'!$N$3:$N$492,"Đã đóng học phí")</f>
        <v>0</v>
      </c>
      <c r="V23" s="376">
        <f>COUNTIFS('KIDS&amp;ADULTS'!$V$3:$V$492,$R23,'KIDS&amp;ADULTS'!$B$3:$B$492,V$3,'KIDS&amp;ADULTS'!$N$3:$N$492,"Đã đóng học phí")</f>
        <v>0</v>
      </c>
      <c r="W23" s="376">
        <f>COUNTIFS('KIDS&amp;ADULTS'!$V$3:$V$492,$R23,'KIDS&amp;ADULTS'!$B$3:$B$492,W$3,'KIDS&amp;ADULTS'!$N$3:$N$492,"Đã đóng học phí")</f>
        <v>0</v>
      </c>
      <c r="X23" s="376">
        <f>COUNTIFS('KIDS&amp;ADULTS'!$V$3:$V$492,$R23,'KIDS&amp;ADULTS'!$B$3:$B$492,X$3,'KIDS&amp;ADULTS'!$N$3:$N$492,"Đã đóng học phí")</f>
        <v>0</v>
      </c>
      <c r="Y23" s="376">
        <f>COUNTIFS('KIDS&amp;ADULTS'!$V$3:$V$492,$R23,'KIDS&amp;ADULTS'!$B$3:$B$492,Y$3,'KIDS&amp;ADULTS'!$N$3:$N$492,"Đã đóng học phí")</f>
        <v>0</v>
      </c>
    </row>
    <row r="24" ht="15.75" customHeight="1">
      <c r="A24" s="423">
        <v>45067.0</v>
      </c>
      <c r="B24" s="373">
        <f>sumifs('KIDS&amp;ADULTS'!$Z$3:$Z$190,'KIDS&amp;ADULTS'!$V$3:$V$190,A24,'KIDS&amp;ADULTS'!$M$3:$M$190,"Thảo")</f>
        <v>0</v>
      </c>
      <c r="C24" s="373">
        <f>sumifs('KIDS&amp;ADULTS'!$Z$3:$Z$182,'KIDS&amp;ADULTS'!$V$3:$V$182,A24,'KIDS&amp;ADULTS'!$M$3:$M$182,"Phương")</f>
        <v>0</v>
      </c>
      <c r="D24" s="373">
        <f>sumifs('KIDS&amp;ADULTS'!$Z$3:$Z$182,'KIDS&amp;ADULTS'!$V$3:$V$182,A24,'KIDS&amp;ADULTS'!$M$3:$M$182,"Cúc")</f>
        <v>0</v>
      </c>
      <c r="E24" s="373">
        <f>sumifs('KIDS&amp;ADULTS'!$Z$3:$Z$190,'KIDS&amp;ADULTS'!$V$3:$V$190,A24,'KIDS&amp;ADULTS'!$M$3:$M$190,"Loan")</f>
        <v>0</v>
      </c>
      <c r="F24" s="373">
        <f t="shared" si="1"/>
        <v>0</v>
      </c>
      <c r="I24" s="420">
        <v>45067.0</v>
      </c>
      <c r="J24" s="374">
        <f>COUNTIFS('KIDS&amp;ADULTS'!$A$3:$A$54,I24,'KIDS&amp;ADULTS'!$B$3:$B$54,$J$3)</f>
        <v>0</v>
      </c>
      <c r="K24" s="374">
        <f>COUNTIFS('KIDS&amp;ADULTS'!$A$3:$A$54,I24,'KIDS&amp;ADULTS'!$B$3:$B$54,$K$3)</f>
        <v>0</v>
      </c>
      <c r="L24" s="375">
        <f>COUNTIFS('KIDS&amp;ADULTS'!$A$3:$A$54,I24,'KIDS&amp;ADULTS'!$B$3:$B$54,$L$3)</f>
        <v>0</v>
      </c>
      <c r="M24" s="375">
        <f>COUNTIFS('KIDS&amp;ADULTS'!$A$3:$A$54,I24,'KIDS&amp;ADULTS'!$B$3:$B$54,$M$3)</f>
        <v>0</v>
      </c>
      <c r="N24" s="375">
        <f>COUNTIFS('KIDS&amp;ADULTS'!$A$3:$A$280,I24,'KIDS&amp;ADULTS'!$B$3:$B$280,$N$3)</f>
        <v>0</v>
      </c>
      <c r="O24" s="375">
        <f>COUNTIFS('KIDS&amp;ADULTS'!$A$3:$A$94,I24,'KIDS&amp;ADULTS'!$B$3:$B$94,$O$3)</f>
        <v>0</v>
      </c>
      <c r="R24" s="420">
        <v>45067.0</v>
      </c>
      <c r="S24" s="376">
        <f>COUNTIFS('KIDS&amp;ADULTS'!$V$3:$V$492,$R24,'KIDS&amp;ADULTS'!$B$3:$B$492,S$3,'KIDS&amp;ADULTS'!$N$3:$N$492,"Đã đóng học phí")</f>
        <v>0</v>
      </c>
      <c r="T24" s="376">
        <f>COUNTIFS('KIDS&amp;ADULTS'!$V$3:$V$492,$R24,'KIDS&amp;ADULTS'!$B$3:$B$492,T$3,'KIDS&amp;ADULTS'!$N$3:$N$492,"Đã đóng học phí")</f>
        <v>0</v>
      </c>
      <c r="U24" s="376">
        <f>COUNTIFS('KIDS&amp;ADULTS'!$V$3:$V$492,$R24,'KIDS&amp;ADULTS'!$B$3:$B$492,U$3,'KIDS&amp;ADULTS'!$N$3:$N$492,"Đã đóng học phí")</f>
        <v>0</v>
      </c>
      <c r="V24" s="376">
        <f>COUNTIFS('KIDS&amp;ADULTS'!$V$3:$V$492,$R24,'KIDS&amp;ADULTS'!$B$3:$B$492,V$3,'KIDS&amp;ADULTS'!$N$3:$N$492,"Đã đóng học phí")</f>
        <v>0</v>
      </c>
      <c r="W24" s="376">
        <f>COUNTIFS('KIDS&amp;ADULTS'!$V$3:$V$492,$R24,'KIDS&amp;ADULTS'!$B$3:$B$492,W$3,'KIDS&amp;ADULTS'!$N$3:$N$492,"Đã đóng học phí")</f>
        <v>0</v>
      </c>
      <c r="X24" s="376">
        <f>COUNTIFS('KIDS&amp;ADULTS'!$V$3:$V$492,$R24,'KIDS&amp;ADULTS'!$B$3:$B$492,X$3,'KIDS&amp;ADULTS'!$N$3:$N$492,"Đã đóng học phí")</f>
        <v>0</v>
      </c>
      <c r="Y24" s="376">
        <f>COUNTIFS('KIDS&amp;ADULTS'!$V$3:$V$492,$R24,'KIDS&amp;ADULTS'!$B$3:$B$492,Y$3,'KIDS&amp;ADULTS'!$N$3:$N$492,"Đã đóng học phí")</f>
        <v>0</v>
      </c>
    </row>
    <row r="25" ht="15.75" customHeight="1">
      <c r="A25" s="423">
        <v>45068.0</v>
      </c>
      <c r="B25" s="373">
        <f>sumifs('KIDS&amp;ADULTS'!$Z$3:$Z$190,'KIDS&amp;ADULTS'!$V$3:$V$190,A25,'KIDS&amp;ADULTS'!$M$3:$M$190,"Thảo")</f>
        <v>0</v>
      </c>
      <c r="C25" s="373">
        <f>sumifs('KIDS&amp;ADULTS'!$Z$3:$Z$182,'KIDS&amp;ADULTS'!$V$3:$V$182,A25,'KIDS&amp;ADULTS'!$M$3:$M$182,"Phương")</f>
        <v>0</v>
      </c>
      <c r="D25" s="373">
        <f>sumifs('KIDS&amp;ADULTS'!$Z$3:$Z$182,'KIDS&amp;ADULTS'!$V$3:$V$182,A25,'KIDS&amp;ADULTS'!$M$3:$M$182,"Cúc")</f>
        <v>0</v>
      </c>
      <c r="E25" s="373">
        <f>sumifs('KIDS&amp;ADULTS'!$Z$3:$Z$190,'KIDS&amp;ADULTS'!$V$3:$V$190,A25,'KIDS&amp;ADULTS'!$M$3:$M$190,"Loan")</f>
        <v>0</v>
      </c>
      <c r="F25" s="373">
        <f t="shared" si="1"/>
        <v>0</v>
      </c>
      <c r="I25" s="420">
        <v>45068.0</v>
      </c>
      <c r="J25" s="374">
        <f>COUNTIFS('KIDS&amp;ADULTS'!$A$3:$A$94,I25,'KIDS&amp;ADULTS'!$B$3:$B$94,$J$3)</f>
        <v>0</v>
      </c>
      <c r="K25" s="374">
        <f>COUNTIFS('KIDS&amp;ADULTS'!$A$3:$A$94,I25,'KIDS&amp;ADULTS'!$B$3:$B$94,$K$3)</f>
        <v>0</v>
      </c>
      <c r="L25" s="375">
        <f>COUNTIFS('KIDS&amp;ADULTS'!$A$3:$A$54,I25,'KIDS&amp;ADULTS'!$B$3:$B$54,$L$3)</f>
        <v>0</v>
      </c>
      <c r="M25" s="375">
        <f>COUNTIFS('KIDS&amp;ADULTS'!$A$3:$A$94,I25,'KIDS&amp;ADULTS'!$B$3:$B$94,$M$3)</f>
        <v>2</v>
      </c>
      <c r="N25" s="375">
        <f>COUNTIFS('KIDS&amp;ADULTS'!$A$3:$A$280,I25,'KIDS&amp;ADULTS'!$B$3:$B$280,$N$3)</f>
        <v>0</v>
      </c>
      <c r="O25" s="375">
        <f>COUNTIFS('KIDS&amp;ADULTS'!$A$3:$A$94,I25,'KIDS&amp;ADULTS'!$B$3:$B$94,$O$3)</f>
        <v>0</v>
      </c>
      <c r="R25" s="420">
        <v>45068.0</v>
      </c>
      <c r="S25" s="376">
        <f>COUNTIFS('KIDS&amp;ADULTS'!$V$3:$V$492,$R25,'KIDS&amp;ADULTS'!$B$3:$B$492,S$3,'KIDS&amp;ADULTS'!$N$3:$N$492,"Đã đóng học phí")</f>
        <v>0</v>
      </c>
      <c r="T25" s="376">
        <f>COUNTIFS('KIDS&amp;ADULTS'!$V$3:$V$492,$R25,'KIDS&amp;ADULTS'!$B$3:$B$492,T$3,'KIDS&amp;ADULTS'!$N$3:$N$492,"Đã đóng học phí")</f>
        <v>0</v>
      </c>
      <c r="U25" s="376">
        <f>COUNTIFS('KIDS&amp;ADULTS'!$V$3:$V$492,$R25,'KIDS&amp;ADULTS'!$B$3:$B$492,U$3,'KIDS&amp;ADULTS'!$N$3:$N$492,"Đã đóng học phí")</f>
        <v>0</v>
      </c>
      <c r="V25" s="376">
        <f>COUNTIFS('KIDS&amp;ADULTS'!$V$3:$V$492,$R25,'KIDS&amp;ADULTS'!$B$3:$B$492,V$3,'KIDS&amp;ADULTS'!$N$3:$N$492,"Đã đóng học phí")</f>
        <v>0</v>
      </c>
      <c r="W25" s="376">
        <f>COUNTIFS('KIDS&amp;ADULTS'!$V$3:$V$492,$R25,'KIDS&amp;ADULTS'!$B$3:$B$492,W$3,'KIDS&amp;ADULTS'!$N$3:$N$492,"Đã đóng học phí")</f>
        <v>0</v>
      </c>
      <c r="X25" s="376">
        <f>COUNTIFS('KIDS&amp;ADULTS'!$V$3:$V$492,$R25,'KIDS&amp;ADULTS'!$B$3:$B$492,X$3,'KIDS&amp;ADULTS'!$N$3:$N$492,"Đã đóng học phí")</f>
        <v>0</v>
      </c>
      <c r="Y25" s="376">
        <f>COUNTIFS('KIDS&amp;ADULTS'!$V$3:$V$492,$R25,'KIDS&amp;ADULTS'!$B$3:$B$492,Y$3,'KIDS&amp;ADULTS'!$N$3:$N$492,"Đã đóng học phí")</f>
        <v>0</v>
      </c>
    </row>
    <row r="26" ht="15.75" customHeight="1">
      <c r="A26" s="423">
        <v>45069.0</v>
      </c>
      <c r="B26" s="373">
        <f>sumifs('KIDS&amp;ADULTS'!$Z$3:$Z$190,'KIDS&amp;ADULTS'!$V$3:$V$190,A26,'KIDS&amp;ADULTS'!$M$3:$M$190,"Thảo")</f>
        <v>0</v>
      </c>
      <c r="C26" s="373">
        <f>sumifs('KIDS&amp;ADULTS'!$Z$3:$Z$182,'KIDS&amp;ADULTS'!$V$3:$V$182,A26,'KIDS&amp;ADULTS'!$M$3:$M$182,"Phương")</f>
        <v>0</v>
      </c>
      <c r="D26" s="373">
        <f>sumifs('KIDS&amp;ADULTS'!$Z$3:$Z$182,'KIDS&amp;ADULTS'!$V$3:$V$182,A26,'KIDS&amp;ADULTS'!$M$3:$M$182,"Cúc")</f>
        <v>0</v>
      </c>
      <c r="E26" s="373">
        <f>sumifs('KIDS&amp;ADULTS'!$Z$3:$Z$190,'KIDS&amp;ADULTS'!$V$3:$V$190,A26,'KIDS&amp;ADULTS'!$M$3:$M$190,"Loan")</f>
        <v>0</v>
      </c>
      <c r="F26" s="373">
        <f t="shared" si="1"/>
        <v>0</v>
      </c>
      <c r="I26" s="420">
        <v>45069.0</v>
      </c>
      <c r="J26" s="374">
        <f>COUNTIFS('KIDS&amp;ADULTS'!$A$3:$A$94,I26,'KIDS&amp;ADULTS'!$B$3:$B$94,$J$3)</f>
        <v>0</v>
      </c>
      <c r="K26" s="374">
        <f>COUNTIFS('KIDS&amp;ADULTS'!$A$3:$A$54,I26,'KIDS&amp;ADULTS'!$B$3:$B$54,$K$3)</f>
        <v>0</v>
      </c>
      <c r="L26" s="375">
        <f>COUNTIFS('KIDS&amp;ADULTS'!$A$3:$A$94,I26,'KIDS&amp;ADULTS'!$B$3:$B$94,$L$3)</f>
        <v>0</v>
      </c>
      <c r="M26" s="375">
        <f>COUNTIFS('KIDS&amp;ADULTS'!$A$3:$A$94,I26,'KIDS&amp;ADULTS'!$B$3:$B$94,$M$3)</f>
        <v>2</v>
      </c>
      <c r="N26" s="375">
        <f>COUNTIFS('KIDS&amp;ADULTS'!$A$3:$A$280,I26,'KIDS&amp;ADULTS'!$B$3:$B$280,$N$3)</f>
        <v>2</v>
      </c>
      <c r="O26" s="375">
        <f>COUNTIFS('KIDS&amp;ADULTS'!$A$3:$A$94,I26,'KIDS&amp;ADULTS'!$B$3:$B$94,$O$3)</f>
        <v>0</v>
      </c>
      <c r="R26" s="420">
        <v>45069.0</v>
      </c>
      <c r="S26" s="376">
        <f>COUNTIFS('KIDS&amp;ADULTS'!$V$3:$V$492,$R26,'KIDS&amp;ADULTS'!$B$3:$B$492,S$3,'KIDS&amp;ADULTS'!$N$3:$N$492,"Đã đóng học phí")</f>
        <v>0</v>
      </c>
      <c r="T26" s="376">
        <f>COUNTIFS('KIDS&amp;ADULTS'!$V$3:$V$492,$R26,'KIDS&amp;ADULTS'!$B$3:$B$492,T$3,'KIDS&amp;ADULTS'!$N$3:$N$492,"Đã đóng học phí")</f>
        <v>0</v>
      </c>
      <c r="U26" s="376">
        <f>COUNTIFS('KIDS&amp;ADULTS'!$V$3:$V$492,$R26,'KIDS&amp;ADULTS'!$B$3:$B$492,U$3,'KIDS&amp;ADULTS'!$N$3:$N$492,"Đã đóng học phí")</f>
        <v>0</v>
      </c>
      <c r="V26" s="376">
        <f>COUNTIFS('KIDS&amp;ADULTS'!$V$3:$V$492,$R26,'KIDS&amp;ADULTS'!$B$3:$B$492,V$3,'KIDS&amp;ADULTS'!$N$3:$N$492,"Đã đóng học phí")</f>
        <v>0</v>
      </c>
      <c r="W26" s="376">
        <f>COUNTIFS('KIDS&amp;ADULTS'!$V$3:$V$492,$R26,'KIDS&amp;ADULTS'!$B$3:$B$492,W$3,'KIDS&amp;ADULTS'!$N$3:$N$492,"Đã đóng học phí")</f>
        <v>0</v>
      </c>
      <c r="X26" s="376">
        <f>COUNTIFS('KIDS&amp;ADULTS'!$V$3:$V$492,$R26,'KIDS&amp;ADULTS'!$B$3:$B$492,X$3,'KIDS&amp;ADULTS'!$N$3:$N$492,"Đã đóng học phí")</f>
        <v>0</v>
      </c>
      <c r="Y26" s="376">
        <f>COUNTIFS('KIDS&amp;ADULTS'!$V$3:$V$492,$R26,'KIDS&amp;ADULTS'!$B$3:$B$492,Y$3,'KIDS&amp;ADULTS'!$N$3:$N$492,"Đã đóng học phí")</f>
        <v>0</v>
      </c>
    </row>
    <row r="27" ht="15.75" customHeight="1">
      <c r="A27" s="423">
        <v>45070.0</v>
      </c>
      <c r="B27" s="373">
        <f>sumifs('KIDS&amp;ADULTS'!$Z$3:$Z$190,'KIDS&amp;ADULTS'!$V$3:$V$190,A27,'KIDS&amp;ADULTS'!$M$3:$M$190,"Thảo")</f>
        <v>0</v>
      </c>
      <c r="C27" s="373">
        <f>sumifs('KIDS&amp;ADULTS'!$Z$3:$Z$182,'KIDS&amp;ADULTS'!$V$3:$V$182,A27,'KIDS&amp;ADULTS'!$M$3:$M$182,"Phương")</f>
        <v>0</v>
      </c>
      <c r="D27" s="373">
        <f>sumifs('KIDS&amp;ADULTS'!$Z$3:$Z$182,'KIDS&amp;ADULTS'!$V$3:$V$182,A27,'KIDS&amp;ADULTS'!$M$3:$M$182,"Cúc")</f>
        <v>0</v>
      </c>
      <c r="E27" s="373">
        <f>sumifs('KIDS&amp;ADULTS'!$Z$3:$Z$190,'KIDS&amp;ADULTS'!$V$3:$V$190,A27,'KIDS&amp;ADULTS'!$M$3:$M$190,"Loan")</f>
        <v>0</v>
      </c>
      <c r="F27" s="373">
        <f t="shared" si="1"/>
        <v>0</v>
      </c>
      <c r="I27" s="420">
        <v>45070.0</v>
      </c>
      <c r="J27" s="374">
        <f>COUNTIFS('KIDS&amp;ADULTS'!$A$3:$A$94,I27,'KIDS&amp;ADULTS'!$B$3:$B$94,$J$3)</f>
        <v>0</v>
      </c>
      <c r="K27" s="374">
        <f>COUNTIFS('KIDS&amp;ADULTS'!$A$3:$A$54,I27,'KIDS&amp;ADULTS'!$B$3:$B$54,$K$3)</f>
        <v>0</v>
      </c>
      <c r="L27" s="375">
        <f>COUNTIFS('KIDS&amp;ADULTS'!$A$3:$A$54,I27,'KIDS&amp;ADULTS'!$B$3:$B$54,$L$3)</f>
        <v>0</v>
      </c>
      <c r="M27" s="375">
        <f>COUNTIFS('KIDS&amp;ADULTS'!$A$3:$A$94,I27,'KIDS&amp;ADULTS'!$B$3:$B$94,$M$3)</f>
        <v>0</v>
      </c>
      <c r="N27" s="375">
        <f>COUNTIFS('KIDS&amp;ADULTS'!$A$3:$A$280,I27,'KIDS&amp;ADULTS'!$B$3:$B$280,$N$3)</f>
        <v>2</v>
      </c>
      <c r="O27" s="375">
        <f>COUNTIFS('KIDS&amp;ADULTS'!$A$3:$A$94,I27,'KIDS&amp;ADULTS'!$B$3:$B$94,$O$3)</f>
        <v>0</v>
      </c>
      <c r="R27" s="420">
        <v>45070.0</v>
      </c>
      <c r="S27" s="376">
        <f>COUNTIFS('KIDS&amp;ADULTS'!$V$3:$V$492,$R27,'KIDS&amp;ADULTS'!$B$3:$B$492,S$3,'KIDS&amp;ADULTS'!$N$3:$N$492,"Đã đóng học phí")</f>
        <v>0</v>
      </c>
      <c r="T27" s="376">
        <f>COUNTIFS('KIDS&amp;ADULTS'!$V$3:$V$492,$R27,'KIDS&amp;ADULTS'!$B$3:$B$492,T$3,'KIDS&amp;ADULTS'!$N$3:$N$492,"Đã đóng học phí")</f>
        <v>0</v>
      </c>
      <c r="U27" s="376">
        <f>COUNTIFS('KIDS&amp;ADULTS'!$V$3:$V$492,$R27,'KIDS&amp;ADULTS'!$B$3:$B$492,U$3,'KIDS&amp;ADULTS'!$N$3:$N$492,"Đã đóng học phí")</f>
        <v>0</v>
      </c>
      <c r="V27" s="376">
        <f>COUNTIFS('KIDS&amp;ADULTS'!$V$3:$V$492,$R27,'KIDS&amp;ADULTS'!$B$3:$B$492,V$3,'KIDS&amp;ADULTS'!$N$3:$N$492,"Đã đóng học phí")</f>
        <v>0</v>
      </c>
      <c r="W27" s="376">
        <f>COUNTIFS('KIDS&amp;ADULTS'!$V$3:$V$492,$R27,'KIDS&amp;ADULTS'!$B$3:$B$492,W$3,'KIDS&amp;ADULTS'!$N$3:$N$492,"Đã đóng học phí")</f>
        <v>0</v>
      </c>
      <c r="X27" s="376">
        <f>COUNTIFS('KIDS&amp;ADULTS'!$V$3:$V$492,$R27,'KIDS&amp;ADULTS'!$B$3:$B$492,X$3,'KIDS&amp;ADULTS'!$N$3:$N$492,"Đã đóng học phí")</f>
        <v>0</v>
      </c>
      <c r="Y27" s="376">
        <f>COUNTIFS('KIDS&amp;ADULTS'!$V$3:$V$492,$R27,'KIDS&amp;ADULTS'!$B$3:$B$492,Y$3,'KIDS&amp;ADULTS'!$N$3:$N$492,"Đã đóng học phí")</f>
        <v>0</v>
      </c>
    </row>
    <row r="28" ht="15.75" customHeight="1">
      <c r="A28" s="423">
        <v>45071.0</v>
      </c>
      <c r="B28" s="373">
        <f>sumifs('KIDS&amp;ADULTS'!$Z$3:$Z$190,'KIDS&amp;ADULTS'!$V$3:$V$190,A28,'KIDS&amp;ADULTS'!$M$3:$M$190,"Thảo")</f>
        <v>0</v>
      </c>
      <c r="C28" s="373">
        <f>sumifs('KIDS&amp;ADULTS'!$Z$3:$Z$182,'KIDS&amp;ADULTS'!$V$3:$V$182,A28,'KIDS&amp;ADULTS'!$M$3:$M$182,"Phương")</f>
        <v>5348000</v>
      </c>
      <c r="D28" s="373">
        <f>sumifs('KIDS&amp;ADULTS'!$Z$3:$Z$182,'KIDS&amp;ADULTS'!$V$3:$V$182,A28,'KIDS&amp;ADULTS'!$M$3:$M$182,"Cúc")</f>
        <v>0</v>
      </c>
      <c r="E28" s="373">
        <f>sumifs('KIDS&amp;ADULTS'!$Z$3:$Z$190,'KIDS&amp;ADULTS'!$V$3:$V$190,A28,'KIDS&amp;ADULTS'!$M$3:$M$190,"Loan")</f>
        <v>0</v>
      </c>
      <c r="F28" s="373">
        <f t="shared" si="1"/>
        <v>5348000</v>
      </c>
      <c r="I28" s="420">
        <v>45071.0</v>
      </c>
      <c r="J28" s="374">
        <f>COUNTIFS('KIDS&amp;ADULTS'!$A$3:$A$94,I28,'KIDS&amp;ADULTS'!$B$3:$B$94,$J$3)</f>
        <v>0</v>
      </c>
      <c r="K28" s="374">
        <f>COUNTIFS('KIDS&amp;ADULTS'!$A$3:$A$280,I28,'KIDS&amp;ADULTS'!$B$3:$B$280,$K$3)</f>
        <v>0</v>
      </c>
      <c r="L28" s="375">
        <f>COUNTIFS('KIDS&amp;ADULTS'!$A$3:$A$54,I28,'KIDS&amp;ADULTS'!$B$3:$B$54,$L$3)</f>
        <v>0</v>
      </c>
      <c r="M28" s="375">
        <f>COUNTIFS('KIDS&amp;ADULTS'!$A$3:$A$94,I28,'KIDS&amp;ADULTS'!$B$3:$B$94,$M$3)</f>
        <v>0</v>
      </c>
      <c r="N28" s="375">
        <f>COUNTIFS('KIDS&amp;ADULTS'!$A$3:$A$280,I28,'KIDS&amp;ADULTS'!$B$3:$B$280,$N$3)</f>
        <v>1</v>
      </c>
      <c r="O28" s="375">
        <f>COUNTIFS('KIDS&amp;ADULTS'!$A$3:$A$94,I28,'KIDS&amp;ADULTS'!$B$3:$B$94,$O$3)</f>
        <v>0</v>
      </c>
      <c r="R28" s="420">
        <v>45071.0</v>
      </c>
      <c r="S28" s="376">
        <f>COUNTIFS('KIDS&amp;ADULTS'!$V$3:$V$492,$R28,'KIDS&amp;ADULTS'!$B$3:$B$492,S$3,'KIDS&amp;ADULTS'!$N$3:$N$492,"Đã đóng học phí")</f>
        <v>0</v>
      </c>
      <c r="T28" s="376">
        <f>COUNTIFS('KIDS&amp;ADULTS'!$V$3:$V$492,$R28,'KIDS&amp;ADULTS'!$B$3:$B$492,T$3,'KIDS&amp;ADULTS'!$N$3:$N$492,"Đã đóng học phí")</f>
        <v>0</v>
      </c>
      <c r="U28" s="376">
        <f>COUNTIFS('KIDS&amp;ADULTS'!$V$3:$V$492,$R28,'KIDS&amp;ADULTS'!$B$3:$B$492,U$3,'KIDS&amp;ADULTS'!$N$3:$N$492,"Đã đóng học phí")</f>
        <v>0</v>
      </c>
      <c r="V28" s="376">
        <f>COUNTIFS('KIDS&amp;ADULTS'!$V$3:$V$492,$R28,'KIDS&amp;ADULTS'!$B$3:$B$492,V$3,'KIDS&amp;ADULTS'!$N$3:$N$492,"Đã đóng học phí")</f>
        <v>0</v>
      </c>
      <c r="W28" s="376">
        <f>COUNTIFS('KIDS&amp;ADULTS'!$V$3:$V$492,$R28,'KIDS&amp;ADULTS'!$B$3:$B$492,W$3,'KIDS&amp;ADULTS'!$N$3:$N$492,"Đã đóng học phí")</f>
        <v>0</v>
      </c>
      <c r="X28" s="376">
        <f>COUNTIFS('KIDS&amp;ADULTS'!$V$3:$V$492,$R28,'KIDS&amp;ADULTS'!$B$3:$B$492,X$3,'KIDS&amp;ADULTS'!$N$3:$N$492,"Đã đóng học phí")</f>
        <v>0</v>
      </c>
      <c r="Y28" s="376">
        <f>COUNTIFS('KIDS&amp;ADULTS'!$V$3:$V$492,$R28,'KIDS&amp;ADULTS'!$B$3:$B$492,Y$3,'KIDS&amp;ADULTS'!$N$3:$N$492,"Đã đóng học phí")</f>
        <v>0</v>
      </c>
    </row>
    <row r="29" ht="15.75" customHeight="1">
      <c r="A29" s="423">
        <v>45072.0</v>
      </c>
      <c r="B29" s="373">
        <f>sumifs('KIDS&amp;ADULTS'!$Z$3:$Z$190,'KIDS&amp;ADULTS'!$V$3:$V$190,A29,'KIDS&amp;ADULTS'!$M$3:$M$190,"Thảo")</f>
        <v>0</v>
      </c>
      <c r="C29" s="373">
        <f>sumifs('KIDS&amp;ADULTS'!$Z$3:$Z$182,'KIDS&amp;ADULTS'!$V$3:$V$182,A29,'KIDS&amp;ADULTS'!$M$3:$M$182,"Phương")</f>
        <v>10410400</v>
      </c>
      <c r="D29" s="373">
        <f>sumifs('KIDS&amp;ADULTS'!$Z$3:$Z$182,'KIDS&amp;ADULTS'!$V$3:$V$182,A29,'KIDS&amp;ADULTS'!$M$3:$M$182,"Cúc")</f>
        <v>0</v>
      </c>
      <c r="E29" s="373">
        <f>sumifs('KIDS&amp;ADULTS'!$Z$3:$Z$190,'KIDS&amp;ADULTS'!$V$3:$V$190,A29,'KIDS&amp;ADULTS'!$M$3:$M$190,"Loan")</f>
        <v>7437500</v>
      </c>
      <c r="F29" s="373">
        <f t="shared" si="1"/>
        <v>17847900</v>
      </c>
      <c r="I29" s="420">
        <v>45072.0</v>
      </c>
      <c r="J29" s="374">
        <f>COUNTIFS('KIDS&amp;ADULTS'!$A$3:$A$94,I29,'KIDS&amp;ADULTS'!$B$3:$B$94,$J$3)</f>
        <v>0</v>
      </c>
      <c r="K29" s="374">
        <f>COUNTIFS('KIDS&amp;ADULTS'!$A$3:$A$280,I29,'KIDS&amp;ADULTS'!$B$3:$B$280,$K$3)</f>
        <v>0</v>
      </c>
      <c r="L29" s="375">
        <f>COUNTIFS('KIDS&amp;ADULTS'!$A$3:$A$54,I29,'KIDS&amp;ADULTS'!$B$3:$B$54,$L$3)</f>
        <v>0</v>
      </c>
      <c r="M29" s="375">
        <f>COUNTIFS('KIDS&amp;ADULTS'!$A$3:$A$94,I29,'KIDS&amp;ADULTS'!$B$3:$B$94,$M$3)</f>
        <v>1</v>
      </c>
      <c r="N29" s="375">
        <f>COUNTIFS('KIDS&amp;ADULTS'!$A$3:$A$280,I29,'KIDS&amp;ADULTS'!$B$3:$B$280,$N$3)</f>
        <v>1</v>
      </c>
      <c r="O29" s="375">
        <f>COUNTIFS('KIDS&amp;ADULTS'!$A$3:$A$94,I29,'KIDS&amp;ADULTS'!$B$3:$B$94,$O$3)</f>
        <v>0</v>
      </c>
      <c r="R29" s="420">
        <v>45072.0</v>
      </c>
      <c r="S29" s="376">
        <f>COUNTIFS('KIDS&amp;ADULTS'!$V$3:$V$492,$R29,'KIDS&amp;ADULTS'!$B$3:$B$492,S$3,'KIDS&amp;ADULTS'!$N$3:$N$492,"Đã đóng học phí")</f>
        <v>0</v>
      </c>
      <c r="T29" s="376">
        <f>COUNTIFS('KIDS&amp;ADULTS'!$V$3:$V$492,$R29,'KIDS&amp;ADULTS'!$B$3:$B$492,T$3,'KIDS&amp;ADULTS'!$N$3:$N$492,"Đã đóng học phí")</f>
        <v>0</v>
      </c>
      <c r="U29" s="376">
        <f>COUNTIFS('KIDS&amp;ADULTS'!$V$3:$V$492,$R29,'KIDS&amp;ADULTS'!$B$3:$B$492,U$3,'KIDS&amp;ADULTS'!$N$3:$N$492,"Đã đóng học phí")</f>
        <v>0</v>
      </c>
      <c r="V29" s="376">
        <f>COUNTIFS('KIDS&amp;ADULTS'!$V$3:$V$492,$R29,'KIDS&amp;ADULTS'!$B$3:$B$492,V$3,'KIDS&amp;ADULTS'!$N$3:$N$492,"Đã đóng học phí")</f>
        <v>0</v>
      </c>
      <c r="W29" s="376">
        <f>COUNTIFS('KIDS&amp;ADULTS'!$V$3:$V$492,$R29,'KIDS&amp;ADULTS'!$B$3:$B$492,W$3,'KIDS&amp;ADULTS'!$N$3:$N$492,"Đã đóng học phí")</f>
        <v>1</v>
      </c>
      <c r="X29" s="376">
        <f>COUNTIFS('KIDS&amp;ADULTS'!$V$3:$V$492,$R29,'KIDS&amp;ADULTS'!$B$3:$B$492,X$3,'KIDS&amp;ADULTS'!$N$3:$N$492,"Đã đóng học phí")</f>
        <v>1</v>
      </c>
      <c r="Y29" s="376">
        <f>COUNTIFS('KIDS&amp;ADULTS'!$V$3:$V$492,$R29,'KIDS&amp;ADULTS'!$B$3:$B$492,Y$3,'KIDS&amp;ADULTS'!$N$3:$N$492,"Đã đóng học phí")</f>
        <v>0</v>
      </c>
    </row>
    <row r="30" ht="15.75" customHeight="1">
      <c r="A30" s="423">
        <v>45073.0</v>
      </c>
      <c r="B30" s="373">
        <f>sumifs('KIDS&amp;ADULTS'!$Z$3:$Z$190,'KIDS&amp;ADULTS'!$V$3:$V$190,A30,'KIDS&amp;ADULTS'!$M$3:$M$190,"Thảo")</f>
        <v>0</v>
      </c>
      <c r="C30" s="373">
        <f>sumifs('KIDS&amp;ADULTS'!$Z$3:$Z$182,'KIDS&amp;ADULTS'!$V$3:$V$182,A30,'KIDS&amp;ADULTS'!$M$3:$M$182,"Phương")</f>
        <v>0</v>
      </c>
      <c r="D30" s="373">
        <f>sumifs('KIDS&amp;ADULTS'!$Z$3:$Z$182,'KIDS&amp;ADULTS'!$V$3:$V$182,A30,'KIDS&amp;ADULTS'!$M$3:$M$182,"Cúc")</f>
        <v>0</v>
      </c>
      <c r="E30" s="373">
        <f>sumifs('KIDS&amp;ADULTS'!$Z$3:$Z$190,'KIDS&amp;ADULTS'!$V$3:$V$190,A30,'KIDS&amp;ADULTS'!$M$3:$M$190,"Loan")</f>
        <v>7437500</v>
      </c>
      <c r="F30" s="373">
        <f t="shared" si="1"/>
        <v>7437500</v>
      </c>
      <c r="I30" s="420">
        <v>45073.0</v>
      </c>
      <c r="J30" s="374">
        <f>COUNTIFS('KIDS&amp;ADULTS'!$A$3:$A$94,I30,'KIDS&amp;ADULTS'!$B$3:$B$94,$J$3)</f>
        <v>0</v>
      </c>
      <c r="K30" s="374">
        <f>COUNTIFS('KIDS&amp;ADULTS'!$A$3:$A$280,I30,'KIDS&amp;ADULTS'!$B$3:$B$280,$K$3)</f>
        <v>0</v>
      </c>
      <c r="L30" s="375">
        <f>COUNTIFS('KIDS&amp;ADULTS'!$A$3:$A$54,I30,'KIDS&amp;ADULTS'!$B$3:$B$54,$L$3)</f>
        <v>0</v>
      </c>
      <c r="M30" s="375">
        <f>COUNTIFS('KIDS&amp;ADULTS'!$A$3:$A$94,I30,'KIDS&amp;ADULTS'!$B$3:$B$94,$M$3)</f>
        <v>0</v>
      </c>
      <c r="N30" s="375">
        <f>COUNTIFS('KIDS&amp;ADULTS'!$A$3:$A$280,I30,'KIDS&amp;ADULTS'!$B$3:$B$280,$N$3)</f>
        <v>0</v>
      </c>
      <c r="O30" s="375">
        <f>COUNTIFS('KIDS&amp;ADULTS'!$A$3:$A$94,I30,'KIDS&amp;ADULTS'!$B$3:$B$94,$O$3)</f>
        <v>0</v>
      </c>
      <c r="R30" s="420">
        <v>45073.0</v>
      </c>
      <c r="S30" s="376">
        <f>COUNTIFS('KIDS&amp;ADULTS'!$V$3:$V$492,$R30,'KIDS&amp;ADULTS'!$B$3:$B$492,S$3,'KIDS&amp;ADULTS'!$N$3:$N$492,"Đã đóng học phí")</f>
        <v>0</v>
      </c>
      <c r="T30" s="376">
        <f>COUNTIFS('KIDS&amp;ADULTS'!$V$3:$V$492,$R30,'KIDS&amp;ADULTS'!$B$3:$B$492,T$3,'KIDS&amp;ADULTS'!$N$3:$N$492,"Đã đóng học phí")</f>
        <v>0</v>
      </c>
      <c r="U30" s="376">
        <f>COUNTIFS('KIDS&amp;ADULTS'!$V$3:$V$492,$R30,'KIDS&amp;ADULTS'!$B$3:$B$492,U$3,'KIDS&amp;ADULTS'!$N$3:$N$492,"Đã đóng học phí")</f>
        <v>0</v>
      </c>
      <c r="V30" s="376">
        <f>COUNTIFS('KIDS&amp;ADULTS'!$V$3:$V$492,$R30,'KIDS&amp;ADULTS'!$B$3:$B$492,V$3,'KIDS&amp;ADULTS'!$N$3:$N$492,"Đã đóng học phí")</f>
        <v>0</v>
      </c>
      <c r="W30" s="376">
        <f>COUNTIFS('KIDS&amp;ADULTS'!$V$3:$V$492,$R30,'KIDS&amp;ADULTS'!$B$3:$B$492,W$3,'KIDS&amp;ADULTS'!$N$3:$N$492,"Đã đóng học phí")</f>
        <v>1</v>
      </c>
      <c r="X30" s="376">
        <f>COUNTIFS('KIDS&amp;ADULTS'!$V$3:$V$492,$R30,'KIDS&amp;ADULTS'!$B$3:$B$492,X$3,'KIDS&amp;ADULTS'!$N$3:$N$492,"Đã đóng học phí")</f>
        <v>0</v>
      </c>
      <c r="Y30" s="376">
        <f>COUNTIFS('KIDS&amp;ADULTS'!$V$3:$V$492,$R30,'KIDS&amp;ADULTS'!$B$3:$B$492,Y$3,'KIDS&amp;ADULTS'!$N$3:$N$492,"Đã đóng học phí")</f>
        <v>0</v>
      </c>
    </row>
    <row r="31" ht="15.75" customHeight="1">
      <c r="A31" s="423">
        <v>45074.0</v>
      </c>
      <c r="B31" s="373">
        <f>sumifs('KIDS&amp;ADULTS'!$Z$3:$Z$190,'KIDS&amp;ADULTS'!$V$3:$V$190,A31,'KIDS&amp;ADULTS'!$M$3:$M$190,"Thảo")</f>
        <v>0</v>
      </c>
      <c r="C31" s="373">
        <f>sumifs('KIDS&amp;ADULTS'!$Z$3:$Z$182,'KIDS&amp;ADULTS'!$V$3:$V$182,A31,'KIDS&amp;ADULTS'!$M$3:$M$182,"Phương")</f>
        <v>0</v>
      </c>
      <c r="D31" s="373">
        <f>sumifs('KIDS&amp;ADULTS'!$Z$3:$Z$182,'KIDS&amp;ADULTS'!$V$3:$V$182,A31,'KIDS&amp;ADULTS'!$M$3:$M$182,"Cúc")</f>
        <v>0</v>
      </c>
      <c r="E31" s="373">
        <f>sumifs('KIDS&amp;ADULTS'!$Z$3:$Z$190,'KIDS&amp;ADULTS'!$V$3:$V$190,A31,'KIDS&amp;ADULTS'!$M$3:$M$190,"Loan")</f>
        <v>0</v>
      </c>
      <c r="F31" s="373">
        <f t="shared" si="1"/>
        <v>0</v>
      </c>
      <c r="I31" s="420">
        <v>45074.0</v>
      </c>
      <c r="J31" s="374">
        <f>COUNTIFS('KIDS&amp;ADULTS'!$A$3:$A$190,I31,'KIDS&amp;ADULTS'!$B$3:$B$190,$J$3)</f>
        <v>0</v>
      </c>
      <c r="K31" s="374">
        <f>COUNTIFS('KIDS&amp;ADULTS'!$A$3:$A$280,I31,'KIDS&amp;ADULTS'!$B$3:$B$280,$K$3)</f>
        <v>0</v>
      </c>
      <c r="L31" s="375">
        <f>COUNTIFS('KIDS&amp;ADULTS'!$A$3:$A$54,I31,'KIDS&amp;ADULTS'!$B$3:$B$54,$L$3)</f>
        <v>0</v>
      </c>
      <c r="M31" s="375">
        <f>COUNTIFS('KIDS&amp;ADULTS'!$A$3:$A$94,I31,'KIDS&amp;ADULTS'!$B$3:$B$94,$M$3)</f>
        <v>0</v>
      </c>
      <c r="N31" s="375">
        <f>COUNTIFS('KIDS&amp;ADULTS'!$A$3:$A$280,I31,'KIDS&amp;ADULTS'!$B$3:$B$280,$N$3)</f>
        <v>0</v>
      </c>
      <c r="O31" s="375">
        <f>COUNTIFS('KIDS&amp;ADULTS'!$A$3:$A$94,I31,'KIDS&amp;ADULTS'!$B$3:$B$94,$O$3)</f>
        <v>0</v>
      </c>
      <c r="R31" s="420">
        <v>45074.0</v>
      </c>
      <c r="S31" s="376">
        <f>COUNTIFS('KIDS&amp;ADULTS'!$V$3:$V$492,$R31,'KIDS&amp;ADULTS'!$B$3:$B$492,S$3,'KIDS&amp;ADULTS'!$N$3:$N$492,"Đã đóng học phí")</f>
        <v>0</v>
      </c>
      <c r="T31" s="376">
        <f>COUNTIFS('KIDS&amp;ADULTS'!$V$3:$V$492,$R31,'KIDS&amp;ADULTS'!$B$3:$B$492,T$3,'KIDS&amp;ADULTS'!$N$3:$N$492,"Đã đóng học phí")</f>
        <v>0</v>
      </c>
      <c r="U31" s="376">
        <f>COUNTIFS('KIDS&amp;ADULTS'!$V$3:$V$492,$R31,'KIDS&amp;ADULTS'!$B$3:$B$492,U$3,'KIDS&amp;ADULTS'!$N$3:$N$492,"Đã đóng học phí")</f>
        <v>0</v>
      </c>
      <c r="V31" s="376">
        <f>COUNTIFS('KIDS&amp;ADULTS'!$V$3:$V$492,$R31,'KIDS&amp;ADULTS'!$B$3:$B$492,V$3,'KIDS&amp;ADULTS'!$N$3:$N$492,"Đã đóng học phí")</f>
        <v>0</v>
      </c>
      <c r="W31" s="376">
        <f>COUNTIFS('KIDS&amp;ADULTS'!$V$3:$V$492,$R31,'KIDS&amp;ADULTS'!$B$3:$B$492,W$3,'KIDS&amp;ADULTS'!$N$3:$N$492,"Đã đóng học phí")</f>
        <v>0</v>
      </c>
      <c r="X31" s="376">
        <f>COUNTIFS('KIDS&amp;ADULTS'!$V$3:$V$492,$R31,'KIDS&amp;ADULTS'!$B$3:$B$492,X$3,'KIDS&amp;ADULTS'!$N$3:$N$492,"Đã đóng học phí")</f>
        <v>0</v>
      </c>
      <c r="Y31" s="376">
        <f>COUNTIFS('KIDS&amp;ADULTS'!$V$3:$V$492,$R31,'KIDS&amp;ADULTS'!$B$3:$B$492,Y$3,'KIDS&amp;ADULTS'!$N$3:$N$492,"Đã đóng học phí")</f>
        <v>0</v>
      </c>
    </row>
    <row r="32" ht="15.75" customHeight="1">
      <c r="A32" s="423">
        <v>45075.0</v>
      </c>
      <c r="B32" s="373">
        <f>sumifs('KIDS&amp;ADULTS'!$Z$3:$Z$190,'KIDS&amp;ADULTS'!$V$3:$V$190,A32,'KIDS&amp;ADULTS'!$M$3:$M$190,"Thảo")</f>
        <v>0</v>
      </c>
      <c r="C32" s="373">
        <f>sumifs('KIDS&amp;ADULTS'!$Z$3:$Z$182,'KIDS&amp;ADULTS'!$V$3:$V$182,A32,'KIDS&amp;ADULTS'!$M$3:$M$182,"Phương")</f>
        <v>1000000</v>
      </c>
      <c r="D32" s="373">
        <f>sumifs('KIDS&amp;ADULTS'!$Z$3:$Z$182,'KIDS&amp;ADULTS'!$V$3:$V$182,A32,'KIDS&amp;ADULTS'!$M$3:$M$182,"Cúc")</f>
        <v>0</v>
      </c>
      <c r="E32" s="373">
        <f>sumifs('KIDS&amp;ADULTS'!$Z$3:$Z$190,'KIDS&amp;ADULTS'!$V$3:$V$190,A32,'KIDS&amp;ADULTS'!$M$3:$M$190,"Loan")</f>
        <v>0</v>
      </c>
      <c r="F32" s="373">
        <f t="shared" si="1"/>
        <v>1000000</v>
      </c>
      <c r="I32" s="420">
        <v>45075.0</v>
      </c>
      <c r="J32" s="374">
        <f>COUNTIFS('KIDS&amp;ADULTS'!$A$3:$A$190,I32,'KIDS&amp;ADULTS'!$B$3:$B$190,$J$3)</f>
        <v>0</v>
      </c>
      <c r="K32" s="374">
        <f>COUNTIFS('KIDS&amp;ADULTS'!$A$3:$A$280,I32,'KIDS&amp;ADULTS'!$B$3:$B$280,$K$3)</f>
        <v>0</v>
      </c>
      <c r="L32" s="375">
        <f>COUNTIFS('KIDS&amp;ADULTS'!$A$3:$A$54,I32,'KIDS&amp;ADULTS'!$B$3:$B$54,$L$3)</f>
        <v>0</v>
      </c>
      <c r="M32" s="375">
        <f>COUNTIFS('KIDS&amp;ADULTS'!$A$3:$A$94,I32,'KIDS&amp;ADULTS'!$B$3:$B$94,$M$3)</f>
        <v>0</v>
      </c>
      <c r="N32" s="375">
        <f>COUNTIFS('KIDS&amp;ADULTS'!$A$3:$A$280,I32,'KIDS&amp;ADULTS'!$B$3:$B$280,$N$3)</f>
        <v>0</v>
      </c>
      <c r="O32" s="375">
        <f>COUNTIFS('KIDS&amp;ADULTS'!$A$3:$A$94,I32,'KIDS&amp;ADULTS'!$B$3:$B$94,$O$3)</f>
        <v>0</v>
      </c>
      <c r="R32" s="420">
        <v>45075.0</v>
      </c>
      <c r="S32" s="376">
        <f>COUNTIFS('KIDS&amp;ADULTS'!$V$3:$V$492,$R32,'KIDS&amp;ADULTS'!$B$3:$B$492,S$3,'KIDS&amp;ADULTS'!$N$3:$N$492,"Đã đóng học phí")</f>
        <v>0</v>
      </c>
      <c r="T32" s="376">
        <f>COUNTIFS('KIDS&amp;ADULTS'!$V$3:$V$492,$R32,'KIDS&amp;ADULTS'!$B$3:$B$492,T$3,'KIDS&amp;ADULTS'!$N$3:$N$492,"Đã đóng học phí")</f>
        <v>0</v>
      </c>
      <c r="U32" s="376">
        <f>COUNTIFS('KIDS&amp;ADULTS'!$V$3:$V$492,$R32,'KIDS&amp;ADULTS'!$B$3:$B$492,U$3,'KIDS&amp;ADULTS'!$N$3:$N$492,"Đã đóng học phí")</f>
        <v>0</v>
      </c>
      <c r="V32" s="376">
        <f>COUNTIFS('KIDS&amp;ADULTS'!$V$3:$V$492,$R32,'KIDS&amp;ADULTS'!$B$3:$B$492,V$3,'KIDS&amp;ADULTS'!$N$3:$N$492,"Đã đóng học phí")</f>
        <v>0</v>
      </c>
      <c r="W32" s="376">
        <f>COUNTIFS('KIDS&amp;ADULTS'!$V$3:$V$492,$R32,'KIDS&amp;ADULTS'!$B$3:$B$492,W$3,'KIDS&amp;ADULTS'!$N$3:$N$492,"Đã đóng học phí")</f>
        <v>0</v>
      </c>
      <c r="X32" s="376">
        <f>COUNTIFS('KIDS&amp;ADULTS'!$V$3:$V$492,$R32,'KIDS&amp;ADULTS'!$B$3:$B$492,X$3,'KIDS&amp;ADULTS'!$N$3:$N$492,"Đã đóng học phí")</f>
        <v>1</v>
      </c>
      <c r="Y32" s="376">
        <f>COUNTIFS('KIDS&amp;ADULTS'!$V$3:$V$492,$R32,'KIDS&amp;ADULTS'!$B$3:$B$492,Y$3,'KIDS&amp;ADULTS'!$N$3:$N$492,"Đã đóng học phí")</f>
        <v>0</v>
      </c>
    </row>
    <row r="33" ht="15.75" customHeight="1">
      <c r="A33" s="423">
        <v>45076.0</v>
      </c>
      <c r="B33" s="373">
        <f>sumifs('KIDS&amp;ADULTS'!$Z$3:$Z$190,'KIDS&amp;ADULTS'!$V$3:$V$190,A33,'KIDS&amp;ADULTS'!$M$3:$M$190,"Thảo")</f>
        <v>0</v>
      </c>
      <c r="C33" s="373">
        <f>sumifs('KIDS&amp;ADULTS'!$Z$3:$Z$182,'KIDS&amp;ADULTS'!$V$3:$V$182,A33,'KIDS&amp;ADULTS'!$M$3:$M$182,"Phương")</f>
        <v>1000000</v>
      </c>
      <c r="D33" s="373">
        <f>sumifs('KIDS&amp;ADULTS'!$Z$3:$Z$182,'KIDS&amp;ADULTS'!$V$3:$V$182,A33,'KIDS&amp;ADULTS'!$M$3:$M$182,"Cúc")</f>
        <v>0</v>
      </c>
      <c r="E33" s="373">
        <f>sumifs('KIDS&amp;ADULTS'!$Z$3:$Z$190,'KIDS&amp;ADULTS'!$V$3:$V$190,A33,'KIDS&amp;ADULTS'!$M$3:$M$190,"Loan")</f>
        <v>5348600</v>
      </c>
      <c r="F33" s="373">
        <f t="shared" si="1"/>
        <v>6348600</v>
      </c>
      <c r="I33" s="420">
        <v>45076.0</v>
      </c>
      <c r="J33" s="374">
        <f>COUNTIFS('KIDS&amp;ADULTS'!$A$3:$A$190,I33,'KIDS&amp;ADULTS'!$B$3:$B$190,$J$3)</f>
        <v>0</v>
      </c>
      <c r="K33" s="374">
        <f>COUNTIFS('KIDS&amp;ADULTS'!$A$3:$A$280,I33,'KIDS&amp;ADULTS'!$B$3:$B$280,$K$3)</f>
        <v>0</v>
      </c>
      <c r="L33" s="375">
        <f>COUNTIFS('KIDS&amp;ADULTS'!$A$3:$A$54,I33,'KIDS&amp;ADULTS'!$B$3:$B$54,$L$3)</f>
        <v>0</v>
      </c>
      <c r="M33" s="375">
        <f>COUNTIFS('KIDS&amp;ADULTS'!$A$3:$A$94,I33,'KIDS&amp;ADULTS'!$B$3:$B$94,$M$3)</f>
        <v>0</v>
      </c>
      <c r="N33" s="375">
        <f>COUNTIFS('KIDS&amp;ADULTS'!$A$3:$A$280,I33,'KIDS&amp;ADULTS'!$B$3:$B$280,$N$3)</f>
        <v>2</v>
      </c>
      <c r="O33" s="375">
        <f>COUNTIFS('KIDS&amp;ADULTS'!$A$3:$A$94,I33,'KIDS&amp;ADULTS'!$B$3:$B$94,$O$3)</f>
        <v>0</v>
      </c>
      <c r="R33" s="420">
        <v>45076.0</v>
      </c>
      <c r="S33" s="376">
        <f>COUNTIFS('KIDS&amp;ADULTS'!$V$3:$V$492,$R33,'KIDS&amp;ADULTS'!$B$3:$B$492,S$3,'KIDS&amp;ADULTS'!$N$3:$N$492,"Đã đóng học phí")</f>
        <v>0</v>
      </c>
      <c r="T33" s="376">
        <f>COUNTIFS('KIDS&amp;ADULTS'!$V$3:$V$492,$R33,'KIDS&amp;ADULTS'!$B$3:$B$492,T$3,'KIDS&amp;ADULTS'!$N$3:$N$492,"Đã đóng học phí")</f>
        <v>0</v>
      </c>
      <c r="U33" s="376">
        <f>COUNTIFS('KIDS&amp;ADULTS'!$V$3:$V$492,$R33,'KIDS&amp;ADULTS'!$B$3:$B$492,U$3,'KIDS&amp;ADULTS'!$N$3:$N$492,"Đã đóng học phí")</f>
        <v>0</v>
      </c>
      <c r="V33" s="376">
        <f>COUNTIFS('KIDS&amp;ADULTS'!$V$3:$V$492,$R33,'KIDS&amp;ADULTS'!$B$3:$B$492,V$3,'KIDS&amp;ADULTS'!$N$3:$N$492,"Đã đóng học phí")</f>
        <v>0</v>
      </c>
      <c r="W33" s="376">
        <f>COUNTIFS('KIDS&amp;ADULTS'!$V$3:$V$492,$R33,'KIDS&amp;ADULTS'!$B$3:$B$492,W$3,'KIDS&amp;ADULTS'!$N$3:$N$492,"Đã đóng học phí")</f>
        <v>1</v>
      </c>
      <c r="X33" s="376">
        <f>COUNTIFS('KIDS&amp;ADULTS'!$V$3:$V$492,$R33,'KIDS&amp;ADULTS'!$B$3:$B$492,X$3,'KIDS&amp;ADULTS'!$N$3:$N$492,"Đã đóng học phí")</f>
        <v>0</v>
      </c>
      <c r="Y33" s="376">
        <f>COUNTIFS('KIDS&amp;ADULTS'!$V$3:$V$492,$R33,'KIDS&amp;ADULTS'!$B$3:$B$492,Y$3,'KIDS&amp;ADULTS'!$N$3:$N$492,"Đã đóng học phí")</f>
        <v>0</v>
      </c>
    </row>
    <row r="34" ht="15.75" customHeight="1">
      <c r="A34" s="423">
        <v>45077.0</v>
      </c>
      <c r="B34" s="373">
        <f>sumifs('KIDS&amp;ADULTS'!$Z$3:$Z$190,'KIDS&amp;ADULTS'!$V$3:$V$190,A34,'KIDS&amp;ADULTS'!$M$3:$M$190,"Thảo")</f>
        <v>2908900</v>
      </c>
      <c r="C34" s="373">
        <f>sumifs('KIDS&amp;ADULTS'!$Z$3:$Z$182,'KIDS&amp;ADULTS'!$V$3:$V$182,A34,'KIDS&amp;ADULTS'!$M$3:$M$182,"Phương")</f>
        <v>5348600</v>
      </c>
      <c r="D34" s="373">
        <f>sumifs('KIDS&amp;ADULTS'!$Z$3:$Z$182,'KIDS&amp;ADULTS'!$V$3:$V$182,A34,'KIDS&amp;ADULTS'!$M$3:$M$182,"Cúc")</f>
        <v>0</v>
      </c>
      <c r="E34" s="373">
        <f>sumifs('KIDS&amp;ADULTS'!$Z$3:$Z$190,'KIDS&amp;ADULTS'!$V$3:$V$190,A34,'KIDS&amp;ADULTS'!$M$3:$M$190,"Loan")</f>
        <v>0</v>
      </c>
      <c r="F34" s="373">
        <f t="shared" si="1"/>
        <v>8257500</v>
      </c>
      <c r="I34" s="420">
        <v>45077.0</v>
      </c>
      <c r="J34" s="374">
        <f>COUNTIFS('KIDS&amp;ADULTS'!$A$3:$A$190,I34,'KIDS&amp;ADULTS'!$B$3:$B$190,$J$3)</f>
        <v>0</v>
      </c>
      <c r="K34" s="374">
        <f>COUNTIFS('KIDS&amp;ADULTS'!$A$3:$A$280,I34,'KIDS&amp;ADULTS'!$B$3:$B$280,$K$3)</f>
        <v>0</v>
      </c>
      <c r="L34" s="375">
        <f>COUNTIFS('KIDS&amp;ADULTS'!$A$3:$A$54,I34,'KIDS&amp;ADULTS'!$B$3:$B$54,$L$3)</f>
        <v>0</v>
      </c>
      <c r="M34" s="375">
        <f>COUNTIFS('KIDS&amp;ADULTS'!$A$3:$A$94,I34,'KIDS&amp;ADULTS'!$B$3:$B$94,$M$3)</f>
        <v>0</v>
      </c>
      <c r="N34" s="375">
        <f>COUNTIFS('KIDS&amp;ADULTS'!$A$3:$A$280,I34,'KIDS&amp;ADULTS'!$B$3:$B$280,$N$3)</f>
        <v>3</v>
      </c>
      <c r="O34" s="375">
        <f>COUNTIFS('KIDS&amp;ADULTS'!$A$3:$A$94,I34,'KIDS&amp;ADULTS'!$B$3:$B$94,$O$3)</f>
        <v>0</v>
      </c>
      <c r="R34" s="388" t="s">
        <v>4622</v>
      </c>
      <c r="S34" s="366">
        <f t="shared" ref="S34:W34" si="2">SUM(S4:S33)</f>
        <v>0</v>
      </c>
      <c r="T34" s="367">
        <f t="shared" si="2"/>
        <v>0</v>
      </c>
      <c r="U34" s="377">
        <f t="shared" si="2"/>
        <v>0</v>
      </c>
      <c r="V34" s="377">
        <f t="shared" si="2"/>
        <v>0</v>
      </c>
      <c r="W34" s="379">
        <f t="shared" si="2"/>
        <v>3</v>
      </c>
      <c r="X34" s="380">
        <f>SUM(X2:X33)</f>
        <v>2</v>
      </c>
      <c r="Y34" s="380">
        <f>SUM(Y4:Y33)</f>
        <v>0</v>
      </c>
      <c r="Z34" s="391">
        <f>SUM(S34:Y34)</f>
        <v>5</v>
      </c>
    </row>
    <row r="35" ht="15.75" customHeight="1">
      <c r="C35" s="386">
        <f>sum(C4:C34)</f>
        <v>23107000</v>
      </c>
      <c r="E35" s="386">
        <f>sum(E4:E34)</f>
        <v>20223600</v>
      </c>
      <c r="F35" s="373"/>
      <c r="G35" s="386">
        <f>sum(F4:F34)</f>
        <v>53739500</v>
      </c>
      <c r="I35" s="388" t="s">
        <v>4622</v>
      </c>
      <c r="J35" s="417">
        <f t="shared" ref="J35:O35" si="3">SUM(J4:J34)</f>
        <v>0</v>
      </c>
      <c r="K35" s="418">
        <f t="shared" si="3"/>
        <v>0</v>
      </c>
      <c r="L35" s="377">
        <f t="shared" si="3"/>
        <v>1</v>
      </c>
      <c r="M35" s="378">
        <f t="shared" si="3"/>
        <v>7</v>
      </c>
      <c r="N35" s="379">
        <f t="shared" si="3"/>
        <v>13</v>
      </c>
      <c r="O35" s="380">
        <f t="shared" si="3"/>
        <v>0</v>
      </c>
      <c r="P35" s="390">
        <f>SUM(J35:O35)</f>
        <v>21</v>
      </c>
      <c r="S35" s="422"/>
    </row>
    <row r="36" ht="15.75" customHeight="1">
      <c r="E36" s="392"/>
    </row>
    <row r="37" ht="15.75" customHeight="1">
      <c r="R37" s="358" t="s">
        <v>4626</v>
      </c>
    </row>
    <row r="38" ht="15.75" customHeight="1">
      <c r="R38" s="361" t="s">
        <v>4613</v>
      </c>
      <c r="S38" s="363" t="s">
        <v>4616</v>
      </c>
      <c r="T38" s="235"/>
      <c r="U38" s="235"/>
      <c r="V38" s="235"/>
      <c r="W38" s="235"/>
      <c r="X38" s="235"/>
      <c r="Y38" s="236"/>
    </row>
    <row r="39" ht="15.75" customHeight="1">
      <c r="R39" s="11"/>
      <c r="S39" s="366" t="s">
        <v>4620</v>
      </c>
      <c r="T39" s="367" t="s">
        <v>4621</v>
      </c>
      <c r="U39" s="368" t="s">
        <v>73</v>
      </c>
      <c r="V39" s="369" t="s">
        <v>201</v>
      </c>
      <c r="W39" s="370" t="s">
        <v>84</v>
      </c>
      <c r="X39" s="371" t="s">
        <v>60</v>
      </c>
      <c r="Y39" s="371" t="s">
        <v>703</v>
      </c>
      <c r="Z39" s="381" t="s">
        <v>4622</v>
      </c>
    </row>
    <row r="40" ht="15.75" customHeight="1">
      <c r="R40" s="420">
        <v>45047.0</v>
      </c>
      <c r="S40" s="398">
        <f>SUMIFS('KIDS&amp;ADULTS'!$Z$3:$Z$492,'KIDS&amp;ADULTS'!$V$3:$V$492,$R40,'KIDS&amp;ADULTS'!$B$3:$B$492,S$39,'KIDS&amp;ADULTS'!$N$3:$N$492,"Đã đóng học phí")</f>
        <v>0</v>
      </c>
      <c r="T40" s="398">
        <f>SUMIFS('KIDS&amp;ADULTS'!$Z$3:$Z$492,'KIDS&amp;ADULTS'!$V$3:$V$492,$R40,'KIDS&amp;ADULTS'!$B$3:$B$492,T$39,'KIDS&amp;ADULTS'!$N$3:$N$492,"Đã đóng học phí")</f>
        <v>0</v>
      </c>
      <c r="U40" s="398">
        <f>SUMIFS('KIDS&amp;ADULTS'!$Z$3:$Z$492,'KIDS&amp;ADULTS'!$V$3:$V$492,$R40,'KIDS&amp;ADULTS'!$B$3:$B$492,U$39,'KIDS&amp;ADULTS'!$N$3:$N$492,"Đã đóng học phí")</f>
        <v>0</v>
      </c>
      <c r="V40" s="398">
        <f>SUMIFS('KIDS&amp;ADULTS'!$Z$3:$Z$492,'KIDS&amp;ADULTS'!$V$3:$V$492,$R40,'KIDS&amp;ADULTS'!$B$3:$B$492,V$39,'KIDS&amp;ADULTS'!$N$3:$N$492,"Đã đóng học phí")</f>
        <v>0</v>
      </c>
      <c r="W40" s="398">
        <f>SUMIFS('KIDS&amp;ADULTS'!$Z$3:$Z$492,'KIDS&amp;ADULTS'!$V$3:$V$492,$R40,'KIDS&amp;ADULTS'!$B$3:$B$492,W$39,'KIDS&amp;ADULTS'!$N$3:$N$492,"Đã đóng học phí")</f>
        <v>0</v>
      </c>
      <c r="X40" s="398">
        <f>SUMIFS('KIDS&amp;ADULTS'!$Z$3:$Z$492,'KIDS&amp;ADULTS'!$V$3:$V$492,$R40,'KIDS&amp;ADULTS'!$B$3:$B$492,X$39,'KIDS&amp;ADULTS'!$N$3:$N$492,"Đã đóng học phí")</f>
        <v>0</v>
      </c>
      <c r="Y40" s="398">
        <f>SUMIFS('KIDS&amp;ADULTS'!$Z$3:$Z$492,'KIDS&amp;ADULTS'!$V$3:$V$492,$R40,'KIDS&amp;ADULTS'!$B$3:$B$492,Y$39,'KIDS&amp;ADULTS'!$N$3:$N$492,"Đã đóng học phí")</f>
        <v>0</v>
      </c>
      <c r="Z40" s="398">
        <f t="shared" ref="Z40:Z70" si="4">SUM(S40:Y40)</f>
        <v>0</v>
      </c>
      <c r="AA40" s="386">
        <v>0.0</v>
      </c>
    </row>
    <row r="41" ht="15.75" customHeight="1">
      <c r="R41" s="420">
        <v>45048.0</v>
      </c>
      <c r="S41" s="398">
        <f>SUMIFS('KIDS&amp;ADULTS'!$Z$3:$Z$492,'KIDS&amp;ADULTS'!$V$3:$V$492,$R41,'KIDS&amp;ADULTS'!$B$3:$B$492,S$39,'KIDS&amp;ADULTS'!$N$3:$N$492,"Đã đóng học phí")</f>
        <v>0</v>
      </c>
      <c r="T41" s="398">
        <f>SUMIFS('KIDS&amp;ADULTS'!$Z$3:$Z$492,'KIDS&amp;ADULTS'!$V$3:$V$492,$R41,'KIDS&amp;ADULTS'!$B$3:$B$492,T$39,'KIDS&amp;ADULTS'!$N$3:$N$492,"Đã đóng học phí")</f>
        <v>0</v>
      </c>
      <c r="U41" s="398">
        <f>SUMIFS('KIDS&amp;ADULTS'!$Z$3:$Z$492,'KIDS&amp;ADULTS'!$V$3:$V$492,$R41,'KIDS&amp;ADULTS'!$B$3:$B$492,U$39,'KIDS&amp;ADULTS'!$N$3:$N$492,"Đã đóng học phí")</f>
        <v>0</v>
      </c>
      <c r="V41" s="398">
        <f>SUMIFS('KIDS&amp;ADULTS'!$Z$3:$Z$492,'KIDS&amp;ADULTS'!$V$3:$V$492,$R41,'KIDS&amp;ADULTS'!$B$3:$B$492,V$39,'KIDS&amp;ADULTS'!$N$3:$N$492,"Đã đóng học phí")</f>
        <v>0</v>
      </c>
      <c r="W41" s="398">
        <f>SUMIFS('KIDS&amp;ADULTS'!$Z$3:$Z$492,'KIDS&amp;ADULTS'!$V$3:$V$492,$R41,'KIDS&amp;ADULTS'!$B$3:$B$492,W$39,'KIDS&amp;ADULTS'!$N$3:$N$492,"Đã đóng học phí")</f>
        <v>0</v>
      </c>
      <c r="X41" s="398">
        <f>SUMIFS('KIDS&amp;ADULTS'!$Z$3:$Z$492,'KIDS&amp;ADULTS'!$V$3:$V$492,$R41,'KIDS&amp;ADULTS'!$B$3:$B$492,X$39,'KIDS&amp;ADULTS'!$N$3:$N$492,"Đã đóng học phí")</f>
        <v>0</v>
      </c>
      <c r="Y41" s="398">
        <f>SUMIFS('KIDS&amp;ADULTS'!$Z$3:$Z$492,'KIDS&amp;ADULTS'!$V$3:$V$492,$R41,'KIDS&amp;ADULTS'!$B$3:$B$492,Y$39,'KIDS&amp;ADULTS'!$N$3:$N$492,"Đã đóng học phí")</f>
        <v>0</v>
      </c>
      <c r="Z41" s="398">
        <f t="shared" si="4"/>
        <v>0</v>
      </c>
      <c r="AA41" s="386">
        <v>0.0</v>
      </c>
    </row>
    <row r="42" ht="15.75" customHeight="1">
      <c r="R42" s="420">
        <v>45049.0</v>
      </c>
      <c r="S42" s="398">
        <f>SUMIFS('KIDS&amp;ADULTS'!$Z$3:$Z$492,'KIDS&amp;ADULTS'!$V$3:$V$492,$R42,'KIDS&amp;ADULTS'!$B$3:$B$492,S$39,'KIDS&amp;ADULTS'!$N$3:$N$492,"Đã đóng học phí")</f>
        <v>0</v>
      </c>
      <c r="T42" s="398">
        <f>SUMIFS('KIDS&amp;ADULTS'!$Z$3:$Z$492,'KIDS&amp;ADULTS'!$V$3:$V$492,$R42,'KIDS&amp;ADULTS'!$B$3:$B$492,T$39,'KIDS&amp;ADULTS'!$N$3:$N$492,"Đã đóng học phí")</f>
        <v>0</v>
      </c>
      <c r="U42" s="398">
        <f>SUMIFS('KIDS&amp;ADULTS'!$Z$3:$Z$492,'KIDS&amp;ADULTS'!$V$3:$V$492,$R42,'KIDS&amp;ADULTS'!$B$3:$B$492,U$39,'KIDS&amp;ADULTS'!$N$3:$N$492,"Đã đóng học phí")</f>
        <v>0</v>
      </c>
      <c r="V42" s="398">
        <f>SUMIFS('KIDS&amp;ADULTS'!$Z$3:$Z$492,'KIDS&amp;ADULTS'!$V$3:$V$492,$R42,'KIDS&amp;ADULTS'!$B$3:$B$492,V$39,'KIDS&amp;ADULTS'!$N$3:$N$492,"Đã đóng học phí")</f>
        <v>0</v>
      </c>
      <c r="W42" s="398">
        <f>SUMIFS('KIDS&amp;ADULTS'!$Z$3:$Z$492,'KIDS&amp;ADULTS'!$V$3:$V$492,$R42,'KIDS&amp;ADULTS'!$B$3:$B$492,W$39,'KIDS&amp;ADULTS'!$N$3:$N$492,"Đã đóng học phí")</f>
        <v>0</v>
      </c>
      <c r="X42" s="398">
        <f>SUMIFS('KIDS&amp;ADULTS'!$Z$3:$Z$492,'KIDS&amp;ADULTS'!$V$3:$V$492,$R42,'KIDS&amp;ADULTS'!$B$3:$B$492,X$39,'KIDS&amp;ADULTS'!$N$3:$N$492,"Đã đóng học phí")</f>
        <v>0</v>
      </c>
      <c r="Y42" s="398">
        <f>SUMIFS('KIDS&amp;ADULTS'!$Z$3:$Z$492,'KIDS&amp;ADULTS'!$V$3:$V$492,$R42,'KIDS&amp;ADULTS'!$B$3:$B$492,Y$39,'KIDS&amp;ADULTS'!$N$3:$N$492,"Đã đóng học phí")</f>
        <v>0</v>
      </c>
      <c r="Z42" s="398">
        <f t="shared" si="4"/>
        <v>0</v>
      </c>
      <c r="AA42" s="386">
        <v>0.0</v>
      </c>
    </row>
    <row r="43" ht="15.75" customHeight="1">
      <c r="R43" s="420">
        <v>45050.0</v>
      </c>
      <c r="S43" s="398">
        <f>SUMIFS('KIDS&amp;ADULTS'!$Z$3:$Z$492,'KIDS&amp;ADULTS'!$V$3:$V$492,$R43,'KIDS&amp;ADULTS'!$B$3:$B$492,S$39,'KIDS&amp;ADULTS'!$N$3:$N$492,"Đã đóng học phí")</f>
        <v>0</v>
      </c>
      <c r="T43" s="398">
        <f>SUMIFS('KIDS&amp;ADULTS'!$Z$3:$Z$492,'KIDS&amp;ADULTS'!$V$3:$V$492,$R43,'KIDS&amp;ADULTS'!$B$3:$B$492,T$39,'KIDS&amp;ADULTS'!$N$3:$N$492,"Đã đóng học phí")</f>
        <v>0</v>
      </c>
      <c r="U43" s="398">
        <f>SUMIFS('KIDS&amp;ADULTS'!$Z$3:$Z$492,'KIDS&amp;ADULTS'!$V$3:$V$492,$R43,'KIDS&amp;ADULTS'!$B$3:$B$492,U$39,'KIDS&amp;ADULTS'!$N$3:$N$492,"Đã đóng học phí")</f>
        <v>0</v>
      </c>
      <c r="V43" s="398">
        <f>SUMIFS('KIDS&amp;ADULTS'!$Z$3:$Z$492,'KIDS&amp;ADULTS'!$V$3:$V$492,$R43,'KIDS&amp;ADULTS'!$B$3:$B$492,V$39,'KIDS&amp;ADULTS'!$N$3:$N$492,"Đã đóng học phí")</f>
        <v>0</v>
      </c>
      <c r="W43" s="398">
        <f>SUMIFS('KIDS&amp;ADULTS'!$Z$3:$Z$492,'KIDS&amp;ADULTS'!$V$3:$V$492,$R43,'KIDS&amp;ADULTS'!$B$3:$B$492,W$39,'KIDS&amp;ADULTS'!$N$3:$N$492,"Đã đóng học phí")</f>
        <v>0</v>
      </c>
      <c r="X43" s="398">
        <f>SUMIFS('KIDS&amp;ADULTS'!$Z$3:$Z$492,'KIDS&amp;ADULTS'!$V$3:$V$492,$R43,'KIDS&amp;ADULTS'!$B$3:$B$492,X$39,'KIDS&amp;ADULTS'!$N$3:$N$492,"Đã đóng học phí")</f>
        <v>0</v>
      </c>
      <c r="Y43" s="398">
        <f>SUMIFS('KIDS&amp;ADULTS'!$Z$3:$Z$492,'KIDS&amp;ADULTS'!$V$3:$V$492,$R43,'KIDS&amp;ADULTS'!$B$3:$B$492,Y$39,'KIDS&amp;ADULTS'!$N$3:$N$492,"Đã đóng học phí")</f>
        <v>0</v>
      </c>
      <c r="Z43" s="398">
        <f t="shared" si="4"/>
        <v>0</v>
      </c>
      <c r="AA43" s="386">
        <v>0.0</v>
      </c>
    </row>
    <row r="44" ht="15.75" customHeight="1">
      <c r="R44" s="420">
        <v>45051.0</v>
      </c>
      <c r="S44" s="398">
        <f>SUMIFS('KIDS&amp;ADULTS'!$Z$3:$Z$492,'KIDS&amp;ADULTS'!$V$3:$V$492,$R44,'KIDS&amp;ADULTS'!$B$3:$B$492,S$39,'KIDS&amp;ADULTS'!$N$3:$N$492,"Đã đóng học phí")</f>
        <v>0</v>
      </c>
      <c r="T44" s="398">
        <f>SUMIFS('KIDS&amp;ADULTS'!$Z$3:$Z$492,'KIDS&amp;ADULTS'!$V$3:$V$492,$R44,'KIDS&amp;ADULTS'!$B$3:$B$492,T$39,'KIDS&amp;ADULTS'!$N$3:$N$492,"Đã đóng học phí")</f>
        <v>0</v>
      </c>
      <c r="U44" s="398">
        <f>SUMIFS('KIDS&amp;ADULTS'!$Z$3:$Z$492,'KIDS&amp;ADULTS'!$V$3:$V$492,$R44,'KIDS&amp;ADULTS'!$B$3:$B$492,U$39,'KIDS&amp;ADULTS'!$N$3:$N$492,"Đã đóng học phí")</f>
        <v>0</v>
      </c>
      <c r="V44" s="398">
        <f>SUMIFS('KIDS&amp;ADULTS'!$Z$3:$Z$492,'KIDS&amp;ADULTS'!$V$3:$V$492,$R44,'KIDS&amp;ADULTS'!$B$3:$B$492,V$39,'KIDS&amp;ADULTS'!$N$3:$N$492,"Đã đóng học phí")</f>
        <v>0</v>
      </c>
      <c r="W44" s="398">
        <f>SUMIFS('KIDS&amp;ADULTS'!$Z$3:$Z$492,'KIDS&amp;ADULTS'!$V$3:$V$492,$R44,'KIDS&amp;ADULTS'!$B$3:$B$492,W$39,'KIDS&amp;ADULTS'!$N$3:$N$492,"Đã đóng học phí")</f>
        <v>0</v>
      </c>
      <c r="X44" s="398">
        <f>SUMIFS('KIDS&amp;ADULTS'!$Z$3:$Z$492,'KIDS&amp;ADULTS'!$V$3:$V$492,$R44,'KIDS&amp;ADULTS'!$B$3:$B$492,X$39,'KIDS&amp;ADULTS'!$N$3:$N$492,"Đã đóng học phí")</f>
        <v>0</v>
      </c>
      <c r="Y44" s="398">
        <f>SUMIFS('KIDS&amp;ADULTS'!$Z$3:$Z$492,'KIDS&amp;ADULTS'!$V$3:$V$492,$R44,'KIDS&amp;ADULTS'!$B$3:$B$492,Y$39,'KIDS&amp;ADULTS'!$N$3:$N$492,"Đã đóng học phí")</f>
        <v>0</v>
      </c>
      <c r="Z44" s="398">
        <f t="shared" si="4"/>
        <v>0</v>
      </c>
      <c r="AA44" s="386">
        <v>0.0</v>
      </c>
    </row>
    <row r="45" ht="15.75" customHeight="1">
      <c r="R45" s="420">
        <v>45052.0</v>
      </c>
      <c r="S45" s="398">
        <f>SUMIFS('KIDS&amp;ADULTS'!$Z$3:$Z$492,'KIDS&amp;ADULTS'!$V$3:$V$492,$R45,'KIDS&amp;ADULTS'!$B$3:$B$492,S$39,'KIDS&amp;ADULTS'!$N$3:$N$492,"Đã đóng học phí")</f>
        <v>0</v>
      </c>
      <c r="T45" s="398">
        <f>SUMIFS('KIDS&amp;ADULTS'!$Z$3:$Z$492,'KIDS&amp;ADULTS'!$V$3:$V$492,$R45,'KIDS&amp;ADULTS'!$B$3:$B$492,T$39,'KIDS&amp;ADULTS'!$N$3:$N$492,"Đã đóng học phí")</f>
        <v>0</v>
      </c>
      <c r="U45" s="398">
        <f>SUMIFS('KIDS&amp;ADULTS'!$Z$3:$Z$492,'KIDS&amp;ADULTS'!$V$3:$V$492,$R45,'KIDS&amp;ADULTS'!$B$3:$B$492,U$39,'KIDS&amp;ADULTS'!$N$3:$N$492,"Đã đóng học phí")</f>
        <v>0</v>
      </c>
      <c r="V45" s="398">
        <f>SUMIFS('KIDS&amp;ADULTS'!$Z$3:$Z$492,'KIDS&amp;ADULTS'!$V$3:$V$492,$R45,'KIDS&amp;ADULTS'!$B$3:$B$492,V$39,'KIDS&amp;ADULTS'!$N$3:$N$492,"Đã đóng học phí")</f>
        <v>0</v>
      </c>
      <c r="W45" s="398">
        <f>SUMIFS('KIDS&amp;ADULTS'!$Z$3:$Z$492,'KIDS&amp;ADULTS'!$V$3:$V$492,$R45,'KIDS&amp;ADULTS'!$B$3:$B$492,W$39,'KIDS&amp;ADULTS'!$N$3:$N$492,"Đã đóng học phí")</f>
        <v>0</v>
      </c>
      <c r="X45" s="398">
        <f>SUMIFS('KIDS&amp;ADULTS'!$Z$3:$Z$492,'KIDS&amp;ADULTS'!$V$3:$V$492,$R45,'KIDS&amp;ADULTS'!$B$3:$B$492,X$39,'KIDS&amp;ADULTS'!$N$3:$N$492,"Đã đóng học phí")</f>
        <v>0</v>
      </c>
      <c r="Y45" s="398">
        <f>SUMIFS('KIDS&amp;ADULTS'!$Z$3:$Z$492,'KIDS&amp;ADULTS'!$V$3:$V$492,$R45,'KIDS&amp;ADULTS'!$B$3:$B$492,Y$39,'KIDS&amp;ADULTS'!$N$3:$N$492,"Đã đóng học phí")</f>
        <v>0</v>
      </c>
      <c r="Z45" s="398">
        <f t="shared" si="4"/>
        <v>0</v>
      </c>
      <c r="AA45" s="386">
        <v>0.0</v>
      </c>
    </row>
    <row r="46" ht="15.75" customHeight="1">
      <c r="R46" s="420">
        <v>45053.0</v>
      </c>
      <c r="S46" s="398">
        <f>SUMIFS('KIDS&amp;ADULTS'!$Z$3:$Z$492,'KIDS&amp;ADULTS'!$V$3:$V$492,$R46,'KIDS&amp;ADULTS'!$B$3:$B$492,S$39,'KIDS&amp;ADULTS'!$N$3:$N$492,"Đã đóng học phí")</f>
        <v>0</v>
      </c>
      <c r="T46" s="398">
        <f>SUMIFS('KIDS&amp;ADULTS'!$Z$3:$Z$492,'KIDS&amp;ADULTS'!$V$3:$V$492,$R46,'KIDS&amp;ADULTS'!$B$3:$B$492,T$39,'KIDS&amp;ADULTS'!$N$3:$N$492,"Đã đóng học phí")</f>
        <v>0</v>
      </c>
      <c r="U46" s="398">
        <f>SUMIFS('KIDS&amp;ADULTS'!$Z$3:$Z$492,'KIDS&amp;ADULTS'!$V$3:$V$492,$R46,'KIDS&amp;ADULTS'!$B$3:$B$492,U$39,'KIDS&amp;ADULTS'!$N$3:$N$492,"Đã đóng học phí")</f>
        <v>0</v>
      </c>
      <c r="V46" s="398">
        <f>SUMIFS('KIDS&amp;ADULTS'!$Z$3:$Z$492,'KIDS&amp;ADULTS'!$V$3:$V$492,$R46,'KIDS&amp;ADULTS'!$B$3:$B$492,V$39,'KIDS&amp;ADULTS'!$N$3:$N$492,"Đã đóng học phí")</f>
        <v>0</v>
      </c>
      <c r="W46" s="398">
        <f>SUMIFS('KIDS&amp;ADULTS'!$Z$3:$Z$492,'KIDS&amp;ADULTS'!$V$3:$V$492,$R46,'KIDS&amp;ADULTS'!$B$3:$B$492,W$39,'KIDS&amp;ADULTS'!$N$3:$N$492,"Đã đóng học phí")</f>
        <v>0</v>
      </c>
      <c r="X46" s="398">
        <f>SUMIFS('KIDS&amp;ADULTS'!$Z$3:$Z$492,'KIDS&amp;ADULTS'!$V$3:$V$492,$R46,'KIDS&amp;ADULTS'!$B$3:$B$492,X$39,'KIDS&amp;ADULTS'!$N$3:$N$492,"Đã đóng học phí")</f>
        <v>0</v>
      </c>
      <c r="Y46" s="398">
        <f>SUMIFS('KIDS&amp;ADULTS'!$Z$3:$Z$492,'KIDS&amp;ADULTS'!$V$3:$V$492,$R46,'KIDS&amp;ADULTS'!$B$3:$B$492,Y$39,'KIDS&amp;ADULTS'!$N$3:$N$492,"Đã đóng học phí")</f>
        <v>0</v>
      </c>
      <c r="Z46" s="398">
        <f t="shared" si="4"/>
        <v>0</v>
      </c>
      <c r="AA46" s="386">
        <v>0.0</v>
      </c>
    </row>
    <row r="47" ht="15.75" customHeight="1">
      <c r="R47" s="420">
        <v>45054.0</v>
      </c>
      <c r="S47" s="398">
        <f>SUMIFS('KIDS&amp;ADULTS'!$Z$3:$Z$492,'KIDS&amp;ADULTS'!$V$3:$V$492,$R47,'KIDS&amp;ADULTS'!$B$3:$B$492,S$39,'KIDS&amp;ADULTS'!$N$3:$N$492,"Đã đóng học phí")</f>
        <v>0</v>
      </c>
      <c r="T47" s="398">
        <f>SUMIFS('KIDS&amp;ADULTS'!$Z$3:$Z$492,'KIDS&amp;ADULTS'!$V$3:$V$492,$R47,'KIDS&amp;ADULTS'!$B$3:$B$492,T$39,'KIDS&amp;ADULTS'!$N$3:$N$492,"Đã đóng học phí")</f>
        <v>0</v>
      </c>
      <c r="U47" s="398">
        <f>SUMIFS('KIDS&amp;ADULTS'!$Z$3:$Z$492,'KIDS&amp;ADULTS'!$V$3:$V$492,$R47,'KIDS&amp;ADULTS'!$B$3:$B$492,U$39,'KIDS&amp;ADULTS'!$N$3:$N$492,"Đã đóng học phí")</f>
        <v>0</v>
      </c>
      <c r="V47" s="398">
        <f>SUMIFS('KIDS&amp;ADULTS'!$Z$3:$Z$492,'KIDS&amp;ADULTS'!$V$3:$V$492,$R47,'KIDS&amp;ADULTS'!$B$3:$B$492,V$39,'KIDS&amp;ADULTS'!$N$3:$N$492,"Đã đóng học phí")</f>
        <v>0</v>
      </c>
      <c r="W47" s="398">
        <f>SUMIFS('KIDS&amp;ADULTS'!$Z$3:$Z$492,'KIDS&amp;ADULTS'!$V$3:$V$492,$R47,'KIDS&amp;ADULTS'!$B$3:$B$492,W$39,'KIDS&amp;ADULTS'!$N$3:$N$492,"Đã đóng học phí")</f>
        <v>0</v>
      </c>
      <c r="X47" s="398">
        <f>SUMIFS('KIDS&amp;ADULTS'!$Z$3:$Z$492,'KIDS&amp;ADULTS'!$V$3:$V$492,$R47,'KIDS&amp;ADULTS'!$B$3:$B$492,X$39,'KIDS&amp;ADULTS'!$N$3:$N$492,"Đã đóng học phí")</f>
        <v>0</v>
      </c>
      <c r="Y47" s="398">
        <f>SUMIFS('KIDS&amp;ADULTS'!$Z$3:$Z$492,'KIDS&amp;ADULTS'!$V$3:$V$492,$R47,'KIDS&amp;ADULTS'!$B$3:$B$492,Y$39,'KIDS&amp;ADULTS'!$N$3:$N$492,"Đã đóng học phí")</f>
        <v>0</v>
      </c>
      <c r="Z47" s="398">
        <f t="shared" si="4"/>
        <v>0</v>
      </c>
      <c r="AA47" s="386">
        <v>0.0</v>
      </c>
    </row>
    <row r="48" ht="15.75" customHeight="1">
      <c r="R48" s="420">
        <v>45055.0</v>
      </c>
      <c r="S48" s="398">
        <f>SUMIFS('KIDS&amp;ADULTS'!$Z$3:$Z$492,'KIDS&amp;ADULTS'!$V$3:$V$492,$R48,'KIDS&amp;ADULTS'!$B$3:$B$492,S$39,'KIDS&amp;ADULTS'!$N$3:$N$492,"Đã đóng học phí")</f>
        <v>0</v>
      </c>
      <c r="T48" s="398">
        <f>SUMIFS('KIDS&amp;ADULTS'!$Z$3:$Z$492,'KIDS&amp;ADULTS'!$V$3:$V$492,$R48,'KIDS&amp;ADULTS'!$B$3:$B$492,T$39,'KIDS&amp;ADULTS'!$N$3:$N$492,"Đã đóng học phí")</f>
        <v>0</v>
      </c>
      <c r="U48" s="398">
        <f>SUMIFS('KIDS&amp;ADULTS'!$Z$3:$Z$492,'KIDS&amp;ADULTS'!$V$3:$V$492,$R48,'KIDS&amp;ADULTS'!$B$3:$B$492,U$39,'KIDS&amp;ADULTS'!$N$3:$N$492,"Đã đóng học phí")</f>
        <v>0</v>
      </c>
      <c r="V48" s="398">
        <f>SUMIFS('KIDS&amp;ADULTS'!$Z$3:$Z$492,'KIDS&amp;ADULTS'!$V$3:$V$492,$R48,'KIDS&amp;ADULTS'!$B$3:$B$492,V$39,'KIDS&amp;ADULTS'!$N$3:$N$492,"Đã đóng học phí")</f>
        <v>0</v>
      </c>
      <c r="W48" s="398">
        <f>SUMIFS('KIDS&amp;ADULTS'!$Z$3:$Z$492,'KIDS&amp;ADULTS'!$V$3:$V$492,$R48,'KIDS&amp;ADULTS'!$B$3:$B$492,W$39,'KIDS&amp;ADULTS'!$N$3:$N$492,"Đã đóng học phí")</f>
        <v>0</v>
      </c>
      <c r="X48" s="398">
        <f>SUMIFS('KIDS&amp;ADULTS'!$Z$3:$Z$492,'KIDS&amp;ADULTS'!$V$3:$V$492,$R48,'KIDS&amp;ADULTS'!$B$3:$B$492,X$39,'KIDS&amp;ADULTS'!$N$3:$N$492,"Đã đóng học phí")</f>
        <v>0</v>
      </c>
      <c r="Y48" s="398">
        <f>SUMIFS('KIDS&amp;ADULTS'!$Z$3:$Z$492,'KIDS&amp;ADULTS'!$V$3:$V$492,$R48,'KIDS&amp;ADULTS'!$B$3:$B$492,Y$39,'KIDS&amp;ADULTS'!$N$3:$N$492,"Đã đóng học phí")</f>
        <v>0</v>
      </c>
      <c r="Z48" s="398">
        <f t="shared" si="4"/>
        <v>0</v>
      </c>
      <c r="AA48" s="386">
        <v>0.0</v>
      </c>
    </row>
    <row r="49" ht="15.75" customHeight="1">
      <c r="R49" s="420">
        <v>45056.0</v>
      </c>
      <c r="S49" s="398">
        <f>SUMIFS('KIDS&amp;ADULTS'!$Z$3:$Z$492,'KIDS&amp;ADULTS'!$V$3:$V$492,$R49,'KIDS&amp;ADULTS'!$B$3:$B$492,S$39,'KIDS&amp;ADULTS'!$N$3:$N$492,"Đã đóng học phí")</f>
        <v>0</v>
      </c>
      <c r="T49" s="398">
        <f>SUMIFS('KIDS&amp;ADULTS'!$Z$3:$Z$492,'KIDS&amp;ADULTS'!$V$3:$V$492,$R49,'KIDS&amp;ADULTS'!$B$3:$B$492,T$39,'KIDS&amp;ADULTS'!$N$3:$N$492,"Đã đóng học phí")</f>
        <v>0</v>
      </c>
      <c r="U49" s="398">
        <f>SUMIFS('KIDS&amp;ADULTS'!$Z$3:$Z$492,'KIDS&amp;ADULTS'!$V$3:$V$492,$R49,'KIDS&amp;ADULTS'!$B$3:$B$492,U$39,'KIDS&amp;ADULTS'!$N$3:$N$492,"Đã đóng học phí")</f>
        <v>0</v>
      </c>
      <c r="V49" s="398">
        <f>SUMIFS('KIDS&amp;ADULTS'!$Z$3:$Z$492,'KIDS&amp;ADULTS'!$V$3:$V$492,$R49,'KIDS&amp;ADULTS'!$B$3:$B$492,V$39,'KIDS&amp;ADULTS'!$N$3:$N$492,"Đã đóng học phí")</f>
        <v>0</v>
      </c>
      <c r="W49" s="398">
        <f>SUMIFS('KIDS&amp;ADULTS'!$Z$3:$Z$492,'KIDS&amp;ADULTS'!$V$3:$V$492,$R49,'KIDS&amp;ADULTS'!$B$3:$B$492,W$39,'KIDS&amp;ADULTS'!$N$3:$N$492,"Đã đóng học phí")</f>
        <v>0</v>
      </c>
      <c r="X49" s="398">
        <f>SUMIFS('KIDS&amp;ADULTS'!$Z$3:$Z$492,'KIDS&amp;ADULTS'!$V$3:$V$492,$R49,'KIDS&amp;ADULTS'!$B$3:$B$492,X$39,'KIDS&amp;ADULTS'!$N$3:$N$492,"Đã đóng học phí")</f>
        <v>0</v>
      </c>
      <c r="Y49" s="398">
        <f>SUMIFS('KIDS&amp;ADULTS'!$Z$3:$Z$492,'KIDS&amp;ADULTS'!$V$3:$V$492,$R49,'KIDS&amp;ADULTS'!$B$3:$B$492,Y$39,'KIDS&amp;ADULTS'!$N$3:$N$492,"Đã đóng học phí")</f>
        <v>0</v>
      </c>
      <c r="Z49" s="398">
        <f t="shared" si="4"/>
        <v>0</v>
      </c>
      <c r="AA49" s="386">
        <v>7500000.0</v>
      </c>
    </row>
    <row r="50" ht="15.75" customHeight="1">
      <c r="R50" s="420">
        <v>45057.0</v>
      </c>
      <c r="S50" s="398">
        <f>SUMIFS('KIDS&amp;ADULTS'!$Z$3:$Z$492,'KIDS&amp;ADULTS'!$V$3:$V$492,$R50,'KIDS&amp;ADULTS'!$B$3:$B$492,S$39,'KIDS&amp;ADULTS'!$N$3:$N$492,"Đã đóng học phí")</f>
        <v>0</v>
      </c>
      <c r="T50" s="398">
        <f>SUMIFS('KIDS&amp;ADULTS'!$Z$3:$Z$492,'KIDS&amp;ADULTS'!$V$3:$V$492,$R50,'KIDS&amp;ADULTS'!$B$3:$B$492,T$39,'KIDS&amp;ADULTS'!$N$3:$N$492,"Đã đóng học phí")</f>
        <v>0</v>
      </c>
      <c r="U50" s="398">
        <f>SUMIFS('KIDS&amp;ADULTS'!$Z$3:$Z$492,'KIDS&amp;ADULTS'!$V$3:$V$492,$R50,'KIDS&amp;ADULTS'!$B$3:$B$492,U$39,'KIDS&amp;ADULTS'!$N$3:$N$492,"Đã đóng học phí")</f>
        <v>0</v>
      </c>
      <c r="V50" s="398">
        <f>SUMIFS('KIDS&amp;ADULTS'!$Z$3:$Z$492,'KIDS&amp;ADULTS'!$V$3:$V$492,$R50,'KIDS&amp;ADULTS'!$B$3:$B$492,V$39,'KIDS&amp;ADULTS'!$N$3:$N$492,"Đã đóng học phí")</f>
        <v>0</v>
      </c>
      <c r="W50" s="398">
        <f>SUMIFS('KIDS&amp;ADULTS'!$Z$3:$Z$492,'KIDS&amp;ADULTS'!$V$3:$V$492,$R50,'KIDS&amp;ADULTS'!$B$3:$B$492,W$39,'KIDS&amp;ADULTS'!$N$3:$N$492,"Đã đóng học phí")</f>
        <v>0</v>
      </c>
      <c r="X50" s="398">
        <f>SUMIFS('KIDS&amp;ADULTS'!$Z$3:$Z$492,'KIDS&amp;ADULTS'!$V$3:$V$492,$R50,'KIDS&amp;ADULTS'!$B$3:$B$492,X$39,'KIDS&amp;ADULTS'!$N$3:$N$492,"Đã đóng học phí")</f>
        <v>0</v>
      </c>
      <c r="Y50" s="398">
        <f>SUMIFS('KIDS&amp;ADULTS'!$Z$3:$Z$492,'KIDS&amp;ADULTS'!$V$3:$V$492,$R50,'KIDS&amp;ADULTS'!$B$3:$B$492,Y$39,'KIDS&amp;ADULTS'!$N$3:$N$492,"Đã đóng học phí")</f>
        <v>0</v>
      </c>
      <c r="Z50" s="398">
        <f t="shared" si="4"/>
        <v>0</v>
      </c>
      <c r="AA50" s="386">
        <v>0.0</v>
      </c>
    </row>
    <row r="51" ht="15.75" customHeight="1">
      <c r="R51" s="420">
        <v>45058.0</v>
      </c>
      <c r="S51" s="398">
        <f>SUMIFS('KIDS&amp;ADULTS'!$Z$3:$Z$492,'KIDS&amp;ADULTS'!$V$3:$V$492,$R51,'KIDS&amp;ADULTS'!$B$3:$B$492,S$39,'KIDS&amp;ADULTS'!$N$3:$N$492,"Đã đóng học phí")</f>
        <v>0</v>
      </c>
      <c r="T51" s="398">
        <f>SUMIFS('KIDS&amp;ADULTS'!$Z$3:$Z$492,'KIDS&amp;ADULTS'!$V$3:$V$492,$R51,'KIDS&amp;ADULTS'!$B$3:$B$492,T$39,'KIDS&amp;ADULTS'!$N$3:$N$492,"Đã đóng học phí")</f>
        <v>0</v>
      </c>
      <c r="U51" s="398">
        <f>SUMIFS('KIDS&amp;ADULTS'!$Z$3:$Z$492,'KIDS&amp;ADULTS'!$V$3:$V$492,$R51,'KIDS&amp;ADULTS'!$B$3:$B$492,U$39,'KIDS&amp;ADULTS'!$N$3:$N$492,"Đã đóng học phí")</f>
        <v>0</v>
      </c>
      <c r="V51" s="398">
        <f>SUMIFS('KIDS&amp;ADULTS'!$Z$3:$Z$492,'KIDS&amp;ADULTS'!$V$3:$V$492,$R51,'KIDS&amp;ADULTS'!$B$3:$B$492,V$39,'KIDS&amp;ADULTS'!$N$3:$N$492,"Đã đóng học phí")</f>
        <v>0</v>
      </c>
      <c r="W51" s="398">
        <f>SUMIFS('KIDS&amp;ADULTS'!$Z$3:$Z$492,'KIDS&amp;ADULTS'!$V$3:$V$492,$R51,'KIDS&amp;ADULTS'!$B$3:$B$492,W$39,'KIDS&amp;ADULTS'!$N$3:$N$492,"Đã đóng học phí")</f>
        <v>0</v>
      </c>
      <c r="X51" s="398">
        <f>SUMIFS('KIDS&amp;ADULTS'!$Z$3:$Z$492,'KIDS&amp;ADULTS'!$V$3:$V$492,$R51,'KIDS&amp;ADULTS'!$B$3:$B$492,X$39,'KIDS&amp;ADULTS'!$N$3:$N$492,"Đã đóng học phí")</f>
        <v>0</v>
      </c>
      <c r="Y51" s="398">
        <f>SUMIFS('KIDS&amp;ADULTS'!$Z$3:$Z$492,'KIDS&amp;ADULTS'!$V$3:$V$492,$R51,'KIDS&amp;ADULTS'!$B$3:$B$492,Y$39,'KIDS&amp;ADULTS'!$N$3:$N$492,"Đã đóng học phí")</f>
        <v>0</v>
      </c>
      <c r="Z51" s="398">
        <f t="shared" si="4"/>
        <v>0</v>
      </c>
      <c r="AA51" s="386">
        <v>0.0</v>
      </c>
    </row>
    <row r="52" ht="15.75" customHeight="1">
      <c r="R52" s="420">
        <v>45059.0</v>
      </c>
      <c r="S52" s="398">
        <f>SUMIFS('KIDS&amp;ADULTS'!$Z$3:$Z$492,'KIDS&amp;ADULTS'!$V$3:$V$492,$R52,'KIDS&amp;ADULTS'!$B$3:$B$492,S$39,'KIDS&amp;ADULTS'!$N$3:$N$492,"Đã đóng học phí")</f>
        <v>0</v>
      </c>
      <c r="T52" s="398">
        <f>SUMIFS('KIDS&amp;ADULTS'!$Z$3:$Z$492,'KIDS&amp;ADULTS'!$V$3:$V$492,$R52,'KIDS&amp;ADULTS'!$B$3:$B$492,T$39,'KIDS&amp;ADULTS'!$N$3:$N$492,"Đã đóng học phí")</f>
        <v>0</v>
      </c>
      <c r="U52" s="398">
        <f>SUMIFS('KIDS&amp;ADULTS'!$Z$3:$Z$492,'KIDS&amp;ADULTS'!$V$3:$V$492,$R52,'KIDS&amp;ADULTS'!$B$3:$B$492,U$39,'KIDS&amp;ADULTS'!$N$3:$N$492,"Đã đóng học phí")</f>
        <v>0</v>
      </c>
      <c r="V52" s="398">
        <f>SUMIFS('KIDS&amp;ADULTS'!$Z$3:$Z$492,'KIDS&amp;ADULTS'!$V$3:$V$492,$R52,'KIDS&amp;ADULTS'!$B$3:$B$492,V$39,'KIDS&amp;ADULTS'!$N$3:$N$492,"Đã đóng học phí")</f>
        <v>0</v>
      </c>
      <c r="W52" s="398">
        <f>SUMIFS('KIDS&amp;ADULTS'!$Z$3:$Z$492,'KIDS&amp;ADULTS'!$V$3:$V$492,$R52,'KIDS&amp;ADULTS'!$B$3:$B$492,W$39,'KIDS&amp;ADULTS'!$N$3:$N$492,"Đã đóng học phí")</f>
        <v>0</v>
      </c>
      <c r="X52" s="398">
        <f>SUMIFS('KIDS&amp;ADULTS'!$Z$3:$Z$492,'KIDS&amp;ADULTS'!$V$3:$V$492,$R52,'KIDS&amp;ADULTS'!$B$3:$B$492,X$39,'KIDS&amp;ADULTS'!$N$3:$N$492,"Đã đóng học phí")</f>
        <v>0</v>
      </c>
      <c r="Y52" s="398">
        <f>SUMIFS('KIDS&amp;ADULTS'!$Z$3:$Z$492,'KIDS&amp;ADULTS'!$V$3:$V$492,$R52,'KIDS&amp;ADULTS'!$B$3:$B$492,Y$39,'KIDS&amp;ADULTS'!$N$3:$N$492,"Đã đóng học phí")</f>
        <v>0</v>
      </c>
      <c r="Z52" s="398">
        <f t="shared" si="4"/>
        <v>0</v>
      </c>
      <c r="AA52" s="386">
        <v>0.0</v>
      </c>
    </row>
    <row r="53" ht="15.75" customHeight="1">
      <c r="R53" s="420">
        <v>45060.0</v>
      </c>
      <c r="S53" s="398">
        <f>SUMIFS('KIDS&amp;ADULTS'!$Z$3:$Z$492,'KIDS&amp;ADULTS'!$V$3:$V$492,$R53,'KIDS&amp;ADULTS'!$B$3:$B$492,S$39,'KIDS&amp;ADULTS'!$N$3:$N$492,"Đã đóng học phí")</f>
        <v>0</v>
      </c>
      <c r="T53" s="398">
        <f>SUMIFS('KIDS&amp;ADULTS'!$Z$3:$Z$492,'KIDS&amp;ADULTS'!$V$3:$V$492,$R53,'KIDS&amp;ADULTS'!$B$3:$B$492,T$39,'KIDS&amp;ADULTS'!$N$3:$N$492,"Đã đóng học phí")</f>
        <v>0</v>
      </c>
      <c r="U53" s="398">
        <f>SUMIFS('KIDS&amp;ADULTS'!$Z$3:$Z$492,'KIDS&amp;ADULTS'!$V$3:$V$492,$R53,'KIDS&amp;ADULTS'!$B$3:$B$492,U$39,'KIDS&amp;ADULTS'!$N$3:$N$492,"Đã đóng học phí")</f>
        <v>0</v>
      </c>
      <c r="V53" s="398">
        <f>SUMIFS('KIDS&amp;ADULTS'!$Z$3:$Z$492,'KIDS&amp;ADULTS'!$V$3:$V$492,$R53,'KIDS&amp;ADULTS'!$B$3:$B$492,V$39,'KIDS&amp;ADULTS'!$N$3:$N$492,"Đã đóng học phí")</f>
        <v>0</v>
      </c>
      <c r="W53" s="398">
        <f>SUMIFS('KIDS&amp;ADULTS'!$Z$3:$Z$492,'KIDS&amp;ADULTS'!$V$3:$V$492,$R53,'KIDS&amp;ADULTS'!$B$3:$B$492,W$39,'KIDS&amp;ADULTS'!$N$3:$N$492,"Đã đóng học phí")</f>
        <v>0</v>
      </c>
      <c r="X53" s="398">
        <f>SUMIFS('KIDS&amp;ADULTS'!$Z$3:$Z$492,'KIDS&amp;ADULTS'!$V$3:$V$492,$R53,'KIDS&amp;ADULTS'!$B$3:$B$492,X$39,'KIDS&amp;ADULTS'!$N$3:$N$492,"Đã đóng học phí")</f>
        <v>0</v>
      </c>
      <c r="Y53" s="398">
        <f>SUMIFS('KIDS&amp;ADULTS'!$Z$3:$Z$492,'KIDS&amp;ADULTS'!$V$3:$V$492,$R53,'KIDS&amp;ADULTS'!$B$3:$B$492,Y$39,'KIDS&amp;ADULTS'!$N$3:$N$492,"Đã đóng học phí")</f>
        <v>0</v>
      </c>
      <c r="Z53" s="398">
        <f t="shared" si="4"/>
        <v>0</v>
      </c>
      <c r="AA53" s="386">
        <v>0.0</v>
      </c>
    </row>
    <row r="54" ht="15.75" customHeight="1">
      <c r="R54" s="420">
        <v>45061.0</v>
      </c>
      <c r="S54" s="398">
        <f>SUMIFS('KIDS&amp;ADULTS'!$Z$3:$Z$492,'KIDS&amp;ADULTS'!$V$3:$V$492,$R54,'KIDS&amp;ADULTS'!$B$3:$B$492,S$39,'KIDS&amp;ADULTS'!$N$3:$N$492,"Đã đóng học phí")</f>
        <v>0</v>
      </c>
      <c r="T54" s="398">
        <f>SUMIFS('KIDS&amp;ADULTS'!$Z$3:$Z$492,'KIDS&amp;ADULTS'!$V$3:$V$492,$R54,'KIDS&amp;ADULTS'!$B$3:$B$492,T$39,'KIDS&amp;ADULTS'!$N$3:$N$492,"Đã đóng học phí")</f>
        <v>0</v>
      </c>
      <c r="U54" s="398">
        <f>SUMIFS('KIDS&amp;ADULTS'!$Z$3:$Z$492,'KIDS&amp;ADULTS'!$V$3:$V$492,$R54,'KIDS&amp;ADULTS'!$B$3:$B$492,U$39,'KIDS&amp;ADULTS'!$N$3:$N$492,"Đã đóng học phí")</f>
        <v>0</v>
      </c>
      <c r="V54" s="398">
        <f>SUMIFS('KIDS&amp;ADULTS'!$Z$3:$Z$492,'KIDS&amp;ADULTS'!$V$3:$V$492,$R54,'KIDS&amp;ADULTS'!$B$3:$B$492,V$39,'KIDS&amp;ADULTS'!$N$3:$N$492,"Đã đóng học phí")</f>
        <v>0</v>
      </c>
      <c r="W54" s="398">
        <f>SUMIFS('KIDS&amp;ADULTS'!$Z$3:$Z$492,'KIDS&amp;ADULTS'!$V$3:$V$492,$R54,'KIDS&amp;ADULTS'!$B$3:$B$492,W$39,'KIDS&amp;ADULTS'!$N$3:$N$492,"Đã đóng học phí")</f>
        <v>0</v>
      </c>
      <c r="X54" s="398">
        <f>SUMIFS('KIDS&amp;ADULTS'!$Z$3:$Z$492,'KIDS&amp;ADULTS'!$V$3:$V$492,$R54,'KIDS&amp;ADULTS'!$B$3:$B$492,X$39,'KIDS&amp;ADULTS'!$N$3:$N$492,"Đã đóng học phí")</f>
        <v>0</v>
      </c>
      <c r="Y54" s="398">
        <f>SUMIFS('KIDS&amp;ADULTS'!$Z$3:$Z$492,'KIDS&amp;ADULTS'!$V$3:$V$492,$R54,'KIDS&amp;ADULTS'!$B$3:$B$492,Y$39,'KIDS&amp;ADULTS'!$N$3:$N$492,"Đã đóng học phí")</f>
        <v>0</v>
      </c>
      <c r="Z54" s="398">
        <f t="shared" si="4"/>
        <v>0</v>
      </c>
      <c r="AA54" s="386">
        <v>0.0</v>
      </c>
    </row>
    <row r="55" ht="15.75" customHeight="1">
      <c r="R55" s="420">
        <v>45062.0</v>
      </c>
      <c r="S55" s="398">
        <f>SUMIFS('KIDS&amp;ADULTS'!$Z$3:$Z$492,'KIDS&amp;ADULTS'!$V$3:$V$492,$R55,'KIDS&amp;ADULTS'!$B$3:$B$492,S$39,'KIDS&amp;ADULTS'!$N$3:$N$492,"Đã đóng học phí")</f>
        <v>0</v>
      </c>
      <c r="T55" s="398">
        <f>SUMIFS('KIDS&amp;ADULTS'!$Z$3:$Z$492,'KIDS&amp;ADULTS'!$V$3:$V$492,$R55,'KIDS&amp;ADULTS'!$B$3:$B$492,T$39,'KIDS&amp;ADULTS'!$N$3:$N$492,"Đã đóng học phí")</f>
        <v>0</v>
      </c>
      <c r="U55" s="398">
        <f>SUMIFS('KIDS&amp;ADULTS'!$Z$3:$Z$492,'KIDS&amp;ADULTS'!$V$3:$V$492,$R55,'KIDS&amp;ADULTS'!$B$3:$B$492,U$39,'KIDS&amp;ADULTS'!$N$3:$N$492,"Đã đóng học phí")</f>
        <v>0</v>
      </c>
      <c r="V55" s="398">
        <f>SUMIFS('KIDS&amp;ADULTS'!$Z$3:$Z$492,'KIDS&amp;ADULTS'!$V$3:$V$492,$R55,'KIDS&amp;ADULTS'!$B$3:$B$492,V$39,'KIDS&amp;ADULTS'!$N$3:$N$492,"Đã đóng học phí")</f>
        <v>0</v>
      </c>
      <c r="W55" s="398">
        <f>SUMIFS('KIDS&amp;ADULTS'!$Z$3:$Z$492,'KIDS&amp;ADULTS'!$V$3:$V$492,$R55,'KIDS&amp;ADULTS'!$B$3:$B$492,W$39,'KIDS&amp;ADULTS'!$N$3:$N$492,"Đã đóng học phí")</f>
        <v>0</v>
      </c>
      <c r="X55" s="398">
        <f>SUMIFS('KIDS&amp;ADULTS'!$Z$3:$Z$492,'KIDS&amp;ADULTS'!$V$3:$V$492,$R55,'KIDS&amp;ADULTS'!$B$3:$B$492,X$39,'KIDS&amp;ADULTS'!$N$3:$N$492,"Đã đóng học phí")</f>
        <v>0</v>
      </c>
      <c r="Y55" s="398">
        <f>SUMIFS('KIDS&amp;ADULTS'!$Z$3:$Z$492,'KIDS&amp;ADULTS'!$V$3:$V$492,$R55,'KIDS&amp;ADULTS'!$B$3:$B$492,Y$39,'KIDS&amp;ADULTS'!$N$3:$N$492,"Đã đóng học phí")</f>
        <v>0</v>
      </c>
      <c r="Z55" s="398">
        <f t="shared" si="4"/>
        <v>0</v>
      </c>
      <c r="AA55" s="386">
        <v>0.0</v>
      </c>
    </row>
    <row r="56" ht="15.75" customHeight="1">
      <c r="R56" s="420">
        <v>45063.0</v>
      </c>
      <c r="S56" s="398">
        <f>SUMIFS('KIDS&amp;ADULTS'!$Z$3:$Z$492,'KIDS&amp;ADULTS'!$V$3:$V$492,$R56,'KIDS&amp;ADULTS'!$B$3:$B$492,S$39,'KIDS&amp;ADULTS'!$N$3:$N$492,"Đã đóng học phí")</f>
        <v>0</v>
      </c>
      <c r="T56" s="398">
        <f>SUMIFS('KIDS&amp;ADULTS'!$Z$3:$Z$492,'KIDS&amp;ADULTS'!$V$3:$V$492,$R56,'KIDS&amp;ADULTS'!$B$3:$B$492,T$39,'KIDS&amp;ADULTS'!$N$3:$N$492,"Đã đóng học phí")</f>
        <v>0</v>
      </c>
      <c r="U56" s="398">
        <f>SUMIFS('KIDS&amp;ADULTS'!$Z$3:$Z$492,'KIDS&amp;ADULTS'!$V$3:$V$492,$R56,'KIDS&amp;ADULTS'!$B$3:$B$492,U$39,'KIDS&amp;ADULTS'!$N$3:$N$492,"Đã đóng học phí")</f>
        <v>0</v>
      </c>
      <c r="V56" s="398">
        <f>SUMIFS('KIDS&amp;ADULTS'!$Z$3:$Z$492,'KIDS&amp;ADULTS'!$V$3:$V$492,$R56,'KIDS&amp;ADULTS'!$B$3:$B$492,V$39,'KIDS&amp;ADULTS'!$N$3:$N$492,"Đã đóng học phí")</f>
        <v>0</v>
      </c>
      <c r="W56" s="398">
        <f>SUMIFS('KIDS&amp;ADULTS'!$Z$3:$Z$492,'KIDS&amp;ADULTS'!$V$3:$V$492,$R56,'KIDS&amp;ADULTS'!$B$3:$B$492,W$39,'KIDS&amp;ADULTS'!$N$3:$N$492,"Đã đóng học phí")</f>
        <v>0</v>
      </c>
      <c r="X56" s="398">
        <f>SUMIFS('KIDS&amp;ADULTS'!$Z$3:$Z$492,'KIDS&amp;ADULTS'!$V$3:$V$492,$R56,'KIDS&amp;ADULTS'!$B$3:$B$492,X$39,'KIDS&amp;ADULTS'!$N$3:$N$492,"Đã đóng học phí")</f>
        <v>0</v>
      </c>
      <c r="Y56" s="398">
        <f>SUMIFS('KIDS&amp;ADULTS'!$Z$3:$Z$492,'KIDS&amp;ADULTS'!$V$3:$V$492,$R56,'KIDS&amp;ADULTS'!$B$3:$B$492,Y$39,'KIDS&amp;ADULTS'!$N$3:$N$492,"Đã đóng học phí")</f>
        <v>0</v>
      </c>
      <c r="Z56" s="398">
        <f t="shared" si="4"/>
        <v>0</v>
      </c>
      <c r="AA56" s="386">
        <v>0.0</v>
      </c>
    </row>
    <row r="57" ht="15.75" customHeight="1">
      <c r="R57" s="420">
        <v>45064.0</v>
      </c>
      <c r="S57" s="398">
        <f>SUMIFS('KIDS&amp;ADULTS'!$Z$3:$Z$492,'KIDS&amp;ADULTS'!$V$3:$V$492,$R57,'KIDS&amp;ADULTS'!$B$3:$B$492,S$39,'KIDS&amp;ADULTS'!$N$3:$N$492,"Đã đóng học phí")</f>
        <v>0</v>
      </c>
      <c r="T57" s="398">
        <f>SUMIFS('KIDS&amp;ADULTS'!$Z$3:$Z$492,'KIDS&amp;ADULTS'!$V$3:$V$492,$R57,'KIDS&amp;ADULTS'!$B$3:$B$492,T$39,'KIDS&amp;ADULTS'!$N$3:$N$492,"Đã đóng học phí")</f>
        <v>0</v>
      </c>
      <c r="U57" s="398">
        <f>SUMIFS('KIDS&amp;ADULTS'!$Z$3:$Z$492,'KIDS&amp;ADULTS'!$V$3:$V$492,$R57,'KIDS&amp;ADULTS'!$B$3:$B$492,U$39,'KIDS&amp;ADULTS'!$N$3:$N$492,"Đã đóng học phí")</f>
        <v>0</v>
      </c>
      <c r="V57" s="398">
        <f>SUMIFS('KIDS&amp;ADULTS'!$Z$3:$Z$492,'KIDS&amp;ADULTS'!$V$3:$V$492,$R57,'KIDS&amp;ADULTS'!$B$3:$B$492,V$39,'KIDS&amp;ADULTS'!$N$3:$N$492,"Đã đóng học phí")</f>
        <v>0</v>
      </c>
      <c r="W57" s="398">
        <f>SUMIFS('KIDS&amp;ADULTS'!$Z$3:$Z$492,'KIDS&amp;ADULTS'!$V$3:$V$492,$R57,'KIDS&amp;ADULTS'!$B$3:$B$492,W$39,'KIDS&amp;ADULTS'!$N$3:$N$492,"Đã đóng học phí")</f>
        <v>0</v>
      </c>
      <c r="X57" s="398">
        <f>SUMIFS('KIDS&amp;ADULTS'!$Z$3:$Z$492,'KIDS&amp;ADULTS'!$V$3:$V$492,$R57,'KIDS&amp;ADULTS'!$B$3:$B$492,X$39,'KIDS&amp;ADULTS'!$N$3:$N$492,"Đã đóng học phí")</f>
        <v>0</v>
      </c>
      <c r="Y57" s="398">
        <f>SUMIFS('KIDS&amp;ADULTS'!$Z$3:$Z$492,'KIDS&amp;ADULTS'!$V$3:$V$492,$R57,'KIDS&amp;ADULTS'!$B$3:$B$492,Y$39,'KIDS&amp;ADULTS'!$N$3:$N$492,"Đã đóng học phí")</f>
        <v>0</v>
      </c>
      <c r="Z57" s="398">
        <f t="shared" si="4"/>
        <v>0</v>
      </c>
      <c r="AA57" s="386">
        <v>0.0</v>
      </c>
    </row>
    <row r="58" ht="15.75" customHeight="1">
      <c r="R58" s="420">
        <v>45065.0</v>
      </c>
      <c r="S58" s="398">
        <f>SUMIFS('KIDS&amp;ADULTS'!$Z$3:$Z$492,'KIDS&amp;ADULTS'!$V$3:$V$492,$R58,'KIDS&amp;ADULTS'!$B$3:$B$492,S$39,'KIDS&amp;ADULTS'!$N$3:$N$492,"Đã đóng học phí")</f>
        <v>0</v>
      </c>
      <c r="T58" s="398">
        <f>SUMIFS('KIDS&amp;ADULTS'!$Z$3:$Z$492,'KIDS&amp;ADULTS'!$V$3:$V$492,$R58,'KIDS&amp;ADULTS'!$B$3:$B$492,T$39,'KIDS&amp;ADULTS'!$N$3:$N$492,"Đã đóng học phí")</f>
        <v>0</v>
      </c>
      <c r="U58" s="398">
        <f>SUMIFS('KIDS&amp;ADULTS'!$Z$3:$Z$492,'KIDS&amp;ADULTS'!$V$3:$V$492,$R58,'KIDS&amp;ADULTS'!$B$3:$B$492,U$39,'KIDS&amp;ADULTS'!$N$3:$N$492,"Đã đóng học phí")</f>
        <v>0</v>
      </c>
      <c r="V58" s="398">
        <f>SUMIFS('KIDS&amp;ADULTS'!$Z$3:$Z$492,'KIDS&amp;ADULTS'!$V$3:$V$492,$R58,'KIDS&amp;ADULTS'!$B$3:$B$492,V$39,'KIDS&amp;ADULTS'!$N$3:$N$492,"Đã đóng học phí")</f>
        <v>0</v>
      </c>
      <c r="W58" s="398">
        <f>SUMIFS('KIDS&amp;ADULTS'!$Z$3:$Z$492,'KIDS&amp;ADULTS'!$V$3:$V$492,$R58,'KIDS&amp;ADULTS'!$B$3:$B$492,W$39,'KIDS&amp;ADULTS'!$N$3:$N$492,"Đã đóng học phí")</f>
        <v>0</v>
      </c>
      <c r="X58" s="398">
        <f>SUMIFS('KIDS&amp;ADULTS'!$Z$3:$Z$492,'KIDS&amp;ADULTS'!$V$3:$V$492,$R58,'KIDS&amp;ADULTS'!$B$3:$B$492,X$39,'KIDS&amp;ADULTS'!$N$3:$N$492,"Đã đóng học phí")</f>
        <v>0</v>
      </c>
      <c r="Y58" s="398">
        <f>SUMIFS('KIDS&amp;ADULTS'!$Z$3:$Z$492,'KIDS&amp;ADULTS'!$V$3:$V$492,$R58,'KIDS&amp;ADULTS'!$B$3:$B$492,Y$39,'KIDS&amp;ADULTS'!$N$3:$N$492,"Đã đóng học phí")</f>
        <v>0</v>
      </c>
      <c r="Z58" s="398">
        <f t="shared" si="4"/>
        <v>0</v>
      </c>
      <c r="AA58" s="386">
        <v>0.0</v>
      </c>
    </row>
    <row r="59" ht="15.75" customHeight="1">
      <c r="R59" s="420">
        <v>45066.0</v>
      </c>
      <c r="S59" s="398">
        <f>SUMIFS('KIDS&amp;ADULTS'!$Z$3:$Z$492,'KIDS&amp;ADULTS'!$V$3:$V$492,$R59,'KIDS&amp;ADULTS'!$B$3:$B$492,S$39,'KIDS&amp;ADULTS'!$N$3:$N$492,"Đã đóng học phí")</f>
        <v>0</v>
      </c>
      <c r="T59" s="398">
        <f>SUMIFS('KIDS&amp;ADULTS'!$Z$3:$Z$492,'KIDS&amp;ADULTS'!$V$3:$V$492,$R59,'KIDS&amp;ADULTS'!$B$3:$B$492,T$39,'KIDS&amp;ADULTS'!$N$3:$N$492,"Đã đóng học phí")</f>
        <v>0</v>
      </c>
      <c r="U59" s="398">
        <f>SUMIFS('KIDS&amp;ADULTS'!$Z$3:$Z$492,'KIDS&amp;ADULTS'!$V$3:$V$492,$R59,'KIDS&amp;ADULTS'!$B$3:$B$492,U$39,'KIDS&amp;ADULTS'!$N$3:$N$492,"Đã đóng học phí")</f>
        <v>0</v>
      </c>
      <c r="V59" s="398">
        <f>SUMIFS('KIDS&amp;ADULTS'!$Z$3:$Z$492,'KIDS&amp;ADULTS'!$V$3:$V$492,$R59,'KIDS&amp;ADULTS'!$B$3:$B$492,V$39,'KIDS&amp;ADULTS'!$N$3:$N$492,"Đã đóng học phí")</f>
        <v>0</v>
      </c>
      <c r="W59" s="398">
        <f>SUMIFS('KIDS&amp;ADULTS'!$Z$3:$Z$492,'KIDS&amp;ADULTS'!$V$3:$V$492,$R59,'KIDS&amp;ADULTS'!$B$3:$B$492,W$39,'KIDS&amp;ADULTS'!$N$3:$N$492,"Đã đóng học phí")</f>
        <v>0</v>
      </c>
      <c r="X59" s="398">
        <f>SUMIFS('KIDS&amp;ADULTS'!$Z$3:$Z$492,'KIDS&amp;ADULTS'!$V$3:$V$492,$R59,'KIDS&amp;ADULTS'!$B$3:$B$492,X$39,'KIDS&amp;ADULTS'!$N$3:$N$492,"Đã đóng học phí")</f>
        <v>0</v>
      </c>
      <c r="Y59" s="398">
        <f>SUMIFS('KIDS&amp;ADULTS'!$Z$3:$Z$492,'KIDS&amp;ADULTS'!$V$3:$V$492,$R59,'KIDS&amp;ADULTS'!$B$3:$B$492,Y$39,'KIDS&amp;ADULTS'!$N$3:$N$492,"Đã đóng học phí")</f>
        <v>0</v>
      </c>
      <c r="Z59" s="398">
        <f t="shared" si="4"/>
        <v>0</v>
      </c>
      <c r="AA59" s="386">
        <v>0.0</v>
      </c>
    </row>
    <row r="60" ht="15.75" customHeight="1">
      <c r="R60" s="420">
        <v>45067.0</v>
      </c>
      <c r="S60" s="398">
        <f>SUMIFS('KIDS&amp;ADULTS'!$Z$3:$Z$492,'KIDS&amp;ADULTS'!$V$3:$V$492,$R60,'KIDS&amp;ADULTS'!$B$3:$B$492,S$39,'KIDS&amp;ADULTS'!$N$3:$N$492,"Đã đóng học phí")</f>
        <v>0</v>
      </c>
      <c r="T60" s="398">
        <f>SUMIFS('KIDS&amp;ADULTS'!$Z$3:$Z$492,'KIDS&amp;ADULTS'!$V$3:$V$492,$R60,'KIDS&amp;ADULTS'!$B$3:$B$492,T$39,'KIDS&amp;ADULTS'!$N$3:$N$492,"Đã đóng học phí")</f>
        <v>0</v>
      </c>
      <c r="U60" s="398">
        <f>SUMIFS('KIDS&amp;ADULTS'!$Z$3:$Z$492,'KIDS&amp;ADULTS'!$V$3:$V$492,$R60,'KIDS&amp;ADULTS'!$B$3:$B$492,U$39,'KIDS&amp;ADULTS'!$N$3:$N$492,"Đã đóng học phí")</f>
        <v>0</v>
      </c>
      <c r="V60" s="398">
        <f>SUMIFS('KIDS&amp;ADULTS'!$Z$3:$Z$492,'KIDS&amp;ADULTS'!$V$3:$V$492,$R60,'KIDS&amp;ADULTS'!$B$3:$B$492,V$39,'KIDS&amp;ADULTS'!$N$3:$N$492,"Đã đóng học phí")</f>
        <v>0</v>
      </c>
      <c r="W60" s="398">
        <f>SUMIFS('KIDS&amp;ADULTS'!$Z$3:$Z$492,'KIDS&amp;ADULTS'!$V$3:$V$492,$R60,'KIDS&amp;ADULTS'!$B$3:$B$492,W$39,'KIDS&amp;ADULTS'!$N$3:$N$492,"Đã đóng học phí")</f>
        <v>0</v>
      </c>
      <c r="X60" s="398">
        <f>SUMIFS('KIDS&amp;ADULTS'!$Z$3:$Z$492,'KIDS&amp;ADULTS'!$V$3:$V$492,$R60,'KIDS&amp;ADULTS'!$B$3:$B$492,X$39,'KIDS&amp;ADULTS'!$N$3:$N$492,"Đã đóng học phí")</f>
        <v>0</v>
      </c>
      <c r="Y60" s="398">
        <f>SUMIFS('KIDS&amp;ADULTS'!$Z$3:$Z$492,'KIDS&amp;ADULTS'!$V$3:$V$492,$R60,'KIDS&amp;ADULTS'!$B$3:$B$492,Y$39,'KIDS&amp;ADULTS'!$N$3:$N$492,"Đã đóng học phí")</f>
        <v>0</v>
      </c>
      <c r="Z60" s="398">
        <f t="shared" si="4"/>
        <v>0</v>
      </c>
      <c r="AA60" s="386">
        <v>0.0</v>
      </c>
    </row>
    <row r="61" ht="15.75" customHeight="1">
      <c r="R61" s="420">
        <v>45068.0</v>
      </c>
      <c r="S61" s="398">
        <f>SUMIFS('KIDS&amp;ADULTS'!$Z$3:$Z$492,'KIDS&amp;ADULTS'!$V$3:$V$492,$R61,'KIDS&amp;ADULTS'!$B$3:$B$492,S$39,'KIDS&amp;ADULTS'!$N$3:$N$492,"Đã đóng học phí")</f>
        <v>0</v>
      </c>
      <c r="T61" s="398">
        <f>SUMIFS('KIDS&amp;ADULTS'!$Z$3:$Z$492,'KIDS&amp;ADULTS'!$V$3:$V$492,$R61,'KIDS&amp;ADULTS'!$B$3:$B$492,T$39,'KIDS&amp;ADULTS'!$N$3:$N$492,"Đã đóng học phí")</f>
        <v>0</v>
      </c>
      <c r="U61" s="398">
        <f>SUMIFS('KIDS&amp;ADULTS'!$Z$3:$Z$492,'KIDS&amp;ADULTS'!$V$3:$V$492,$R61,'KIDS&amp;ADULTS'!$B$3:$B$492,U$39,'KIDS&amp;ADULTS'!$N$3:$N$492,"Đã đóng học phí")</f>
        <v>0</v>
      </c>
      <c r="V61" s="398">
        <f>SUMIFS('KIDS&amp;ADULTS'!$Z$3:$Z$492,'KIDS&amp;ADULTS'!$V$3:$V$492,$R61,'KIDS&amp;ADULTS'!$B$3:$B$492,V$39,'KIDS&amp;ADULTS'!$N$3:$N$492,"Đã đóng học phí")</f>
        <v>0</v>
      </c>
      <c r="W61" s="398">
        <f>SUMIFS('KIDS&amp;ADULTS'!$Z$3:$Z$492,'KIDS&amp;ADULTS'!$V$3:$V$492,$R61,'KIDS&amp;ADULTS'!$B$3:$B$492,W$39,'KIDS&amp;ADULTS'!$N$3:$N$492,"Đã đóng học phí")</f>
        <v>0</v>
      </c>
      <c r="X61" s="398">
        <f>SUMIFS('KIDS&amp;ADULTS'!$Z$3:$Z$492,'KIDS&amp;ADULTS'!$V$3:$V$492,$R61,'KIDS&amp;ADULTS'!$B$3:$B$492,X$39,'KIDS&amp;ADULTS'!$N$3:$N$492,"Đã đóng học phí")</f>
        <v>0</v>
      </c>
      <c r="Y61" s="398">
        <f>SUMIFS('KIDS&amp;ADULTS'!$Z$3:$Z$492,'KIDS&amp;ADULTS'!$V$3:$V$492,$R61,'KIDS&amp;ADULTS'!$B$3:$B$492,Y$39,'KIDS&amp;ADULTS'!$N$3:$N$492,"Đã đóng học phí")</f>
        <v>0</v>
      </c>
      <c r="Z61" s="398">
        <f t="shared" si="4"/>
        <v>0</v>
      </c>
      <c r="AA61" s="386">
        <v>0.0</v>
      </c>
    </row>
    <row r="62" ht="15.75" customHeight="1">
      <c r="R62" s="420">
        <v>45069.0</v>
      </c>
      <c r="S62" s="398">
        <f>SUMIFS('KIDS&amp;ADULTS'!$Z$3:$Z$492,'KIDS&amp;ADULTS'!$V$3:$V$492,$R62,'KIDS&amp;ADULTS'!$B$3:$B$492,S$39,'KIDS&amp;ADULTS'!$N$3:$N$492,"Đã đóng học phí")</f>
        <v>0</v>
      </c>
      <c r="T62" s="398">
        <f>SUMIFS('KIDS&amp;ADULTS'!$Z$3:$Z$492,'KIDS&amp;ADULTS'!$V$3:$V$492,$R62,'KIDS&amp;ADULTS'!$B$3:$B$492,T$39,'KIDS&amp;ADULTS'!$N$3:$N$492,"Đã đóng học phí")</f>
        <v>0</v>
      </c>
      <c r="U62" s="398">
        <f>SUMIFS('KIDS&amp;ADULTS'!$Z$3:$Z$492,'KIDS&amp;ADULTS'!$V$3:$V$492,$R62,'KIDS&amp;ADULTS'!$B$3:$B$492,U$39,'KIDS&amp;ADULTS'!$N$3:$N$492,"Đã đóng học phí")</f>
        <v>0</v>
      </c>
      <c r="V62" s="398">
        <f>SUMIFS('KIDS&amp;ADULTS'!$Z$3:$Z$492,'KIDS&amp;ADULTS'!$V$3:$V$492,$R62,'KIDS&amp;ADULTS'!$B$3:$B$492,V$39,'KIDS&amp;ADULTS'!$N$3:$N$492,"Đã đóng học phí")</f>
        <v>0</v>
      </c>
      <c r="W62" s="398">
        <f>SUMIFS('KIDS&amp;ADULTS'!$Z$3:$Z$492,'KIDS&amp;ADULTS'!$V$3:$V$492,$R62,'KIDS&amp;ADULTS'!$B$3:$B$492,W$39,'KIDS&amp;ADULTS'!$N$3:$N$492,"Đã đóng học phí")</f>
        <v>0</v>
      </c>
      <c r="X62" s="398">
        <f>SUMIFS('KIDS&amp;ADULTS'!$Z$3:$Z$492,'KIDS&amp;ADULTS'!$V$3:$V$492,$R62,'KIDS&amp;ADULTS'!$B$3:$B$492,X$39,'KIDS&amp;ADULTS'!$N$3:$N$492,"Đã đóng học phí")</f>
        <v>0</v>
      </c>
      <c r="Y62" s="398">
        <f>SUMIFS('KIDS&amp;ADULTS'!$Z$3:$Z$492,'KIDS&amp;ADULTS'!$V$3:$V$492,$R62,'KIDS&amp;ADULTS'!$B$3:$B$492,Y$39,'KIDS&amp;ADULTS'!$N$3:$N$492,"Đã đóng học phí")</f>
        <v>0</v>
      </c>
      <c r="Z62" s="398">
        <f t="shared" si="4"/>
        <v>0</v>
      </c>
      <c r="AA62" s="386">
        <v>0.0</v>
      </c>
    </row>
    <row r="63" ht="15.75" customHeight="1">
      <c r="R63" s="420">
        <v>45070.0</v>
      </c>
      <c r="S63" s="398">
        <f>SUMIFS('KIDS&amp;ADULTS'!$Z$3:$Z$492,'KIDS&amp;ADULTS'!$V$3:$V$492,$R63,'KIDS&amp;ADULTS'!$B$3:$B$492,S$39,'KIDS&amp;ADULTS'!$N$3:$N$492,"Đã đóng học phí")</f>
        <v>0</v>
      </c>
      <c r="T63" s="398">
        <f>SUMIFS('KIDS&amp;ADULTS'!$Z$3:$Z$492,'KIDS&amp;ADULTS'!$V$3:$V$492,$R63,'KIDS&amp;ADULTS'!$B$3:$B$492,T$39,'KIDS&amp;ADULTS'!$N$3:$N$492,"Đã đóng học phí")</f>
        <v>0</v>
      </c>
      <c r="U63" s="398">
        <f>SUMIFS('KIDS&amp;ADULTS'!$Z$3:$Z$492,'KIDS&amp;ADULTS'!$V$3:$V$492,$R63,'KIDS&amp;ADULTS'!$B$3:$B$492,U$39,'KIDS&amp;ADULTS'!$N$3:$N$492,"Đã đóng học phí")</f>
        <v>0</v>
      </c>
      <c r="V63" s="398">
        <f>SUMIFS('KIDS&amp;ADULTS'!$Z$3:$Z$492,'KIDS&amp;ADULTS'!$V$3:$V$492,$R63,'KIDS&amp;ADULTS'!$B$3:$B$492,V$39,'KIDS&amp;ADULTS'!$N$3:$N$492,"Đã đóng học phí")</f>
        <v>0</v>
      </c>
      <c r="W63" s="398">
        <f>SUMIFS('KIDS&amp;ADULTS'!$Z$3:$Z$492,'KIDS&amp;ADULTS'!$V$3:$V$492,$R63,'KIDS&amp;ADULTS'!$B$3:$B$492,W$39,'KIDS&amp;ADULTS'!$N$3:$N$492,"Đã đóng học phí")</f>
        <v>0</v>
      </c>
      <c r="X63" s="398">
        <f>SUMIFS('KIDS&amp;ADULTS'!$Z$3:$Z$492,'KIDS&amp;ADULTS'!$V$3:$V$492,$R63,'KIDS&amp;ADULTS'!$B$3:$B$492,X$39,'KIDS&amp;ADULTS'!$N$3:$N$492,"Đã đóng học phí")</f>
        <v>0</v>
      </c>
      <c r="Y63" s="398">
        <f>SUMIFS('KIDS&amp;ADULTS'!$Z$3:$Z$492,'KIDS&amp;ADULTS'!$V$3:$V$492,$R63,'KIDS&amp;ADULTS'!$B$3:$B$492,Y$39,'KIDS&amp;ADULTS'!$N$3:$N$492,"Đã đóng học phí")</f>
        <v>0</v>
      </c>
      <c r="Z63" s="398">
        <f t="shared" si="4"/>
        <v>0</v>
      </c>
      <c r="AA63" s="386">
        <v>0.0</v>
      </c>
    </row>
    <row r="64" ht="15.75" customHeight="1">
      <c r="R64" s="420">
        <v>45071.0</v>
      </c>
      <c r="S64" s="398">
        <f>SUMIFS('KIDS&amp;ADULTS'!$Z$3:$Z$492,'KIDS&amp;ADULTS'!$V$3:$V$492,$R64,'KIDS&amp;ADULTS'!$B$3:$B$492,S$39,'KIDS&amp;ADULTS'!$N$3:$N$492,"Đã đóng học phí")</f>
        <v>0</v>
      </c>
      <c r="T64" s="398">
        <f>SUMIFS('KIDS&amp;ADULTS'!$Z$3:$Z$492,'KIDS&amp;ADULTS'!$V$3:$V$492,$R64,'KIDS&amp;ADULTS'!$B$3:$B$492,T$39,'KIDS&amp;ADULTS'!$N$3:$N$492,"Đã đóng học phí")</f>
        <v>0</v>
      </c>
      <c r="U64" s="398">
        <f>SUMIFS('KIDS&amp;ADULTS'!$Z$3:$Z$492,'KIDS&amp;ADULTS'!$V$3:$V$492,$R64,'KIDS&amp;ADULTS'!$B$3:$B$492,U$39,'KIDS&amp;ADULTS'!$N$3:$N$492,"Đã đóng học phí")</f>
        <v>0</v>
      </c>
      <c r="V64" s="398">
        <f>SUMIFS('KIDS&amp;ADULTS'!$Z$3:$Z$492,'KIDS&amp;ADULTS'!$V$3:$V$492,$R64,'KIDS&amp;ADULTS'!$B$3:$B$492,V$39,'KIDS&amp;ADULTS'!$N$3:$N$492,"Đã đóng học phí")</f>
        <v>0</v>
      </c>
      <c r="W64" s="398">
        <f>SUMIFS('KIDS&amp;ADULTS'!$Z$3:$Z$492,'KIDS&amp;ADULTS'!$V$3:$V$492,$R64,'KIDS&amp;ADULTS'!$B$3:$B$492,W$39,'KIDS&amp;ADULTS'!$N$3:$N$492,"Đã đóng học phí")</f>
        <v>0</v>
      </c>
      <c r="X64" s="398">
        <f>SUMIFS('KIDS&amp;ADULTS'!$Z$3:$Z$492,'KIDS&amp;ADULTS'!$V$3:$V$492,$R64,'KIDS&amp;ADULTS'!$B$3:$B$492,X$39,'KIDS&amp;ADULTS'!$N$3:$N$492,"Đã đóng học phí")</f>
        <v>0</v>
      </c>
      <c r="Y64" s="398">
        <f>SUMIFS('KIDS&amp;ADULTS'!$Z$3:$Z$492,'KIDS&amp;ADULTS'!$V$3:$V$492,$R64,'KIDS&amp;ADULTS'!$B$3:$B$492,Y$39,'KIDS&amp;ADULTS'!$N$3:$N$492,"Đã đóng học phí")</f>
        <v>0</v>
      </c>
      <c r="Z64" s="398">
        <f t="shared" si="4"/>
        <v>0</v>
      </c>
      <c r="AA64" s="386">
        <v>5348000.0</v>
      </c>
    </row>
    <row r="65" ht="15.75" customHeight="1">
      <c r="R65" s="420">
        <v>45072.0</v>
      </c>
      <c r="S65" s="398">
        <f>SUMIFS('KIDS&amp;ADULTS'!$Z$3:$Z$492,'KIDS&amp;ADULTS'!$V$3:$V$492,$R65,'KIDS&amp;ADULTS'!$B$3:$B$492,S$39,'KIDS&amp;ADULTS'!$N$3:$N$492,"Đã đóng học phí")</f>
        <v>0</v>
      </c>
      <c r="T65" s="398">
        <f>SUMIFS('KIDS&amp;ADULTS'!$Z$3:$Z$492,'KIDS&amp;ADULTS'!$V$3:$V$492,$R65,'KIDS&amp;ADULTS'!$B$3:$B$492,T$39,'KIDS&amp;ADULTS'!$N$3:$N$492,"Đã đóng học phí")</f>
        <v>0</v>
      </c>
      <c r="U65" s="398">
        <f>SUMIFS('KIDS&amp;ADULTS'!$Z$3:$Z$492,'KIDS&amp;ADULTS'!$V$3:$V$492,$R65,'KIDS&amp;ADULTS'!$B$3:$B$492,U$39,'KIDS&amp;ADULTS'!$N$3:$N$492,"Đã đóng học phí")</f>
        <v>0</v>
      </c>
      <c r="V65" s="398">
        <f>SUMIFS('KIDS&amp;ADULTS'!$Z$3:$Z$492,'KIDS&amp;ADULTS'!$V$3:$V$492,$R65,'KIDS&amp;ADULTS'!$B$3:$B$492,V$39,'KIDS&amp;ADULTS'!$N$3:$N$492,"Đã đóng học phí")</f>
        <v>0</v>
      </c>
      <c r="W65" s="398">
        <f>SUMIFS('KIDS&amp;ADULTS'!$Z$3:$Z$492,'KIDS&amp;ADULTS'!$V$3:$V$492,$R65,'KIDS&amp;ADULTS'!$B$3:$B$492,W$39,'KIDS&amp;ADULTS'!$N$3:$N$492,"Đã đóng học phí")</f>
        <v>7437500</v>
      </c>
      <c r="X65" s="398">
        <f>SUMIFS('KIDS&amp;ADULTS'!$Z$3:$Z$492,'KIDS&amp;ADULTS'!$V$3:$V$492,$R65,'KIDS&amp;ADULTS'!$B$3:$B$492,X$39,'KIDS&amp;ADULTS'!$N$3:$N$492,"Đã đóng học phí")</f>
        <v>5205000</v>
      </c>
      <c r="Y65" s="398">
        <f>SUMIFS('KIDS&amp;ADULTS'!$Z$3:$Z$492,'KIDS&amp;ADULTS'!$V$3:$V$492,$R65,'KIDS&amp;ADULTS'!$B$3:$B$492,Y$39,'KIDS&amp;ADULTS'!$N$3:$N$492,"Đã đóng học phí")</f>
        <v>0</v>
      </c>
      <c r="Z65" s="398">
        <f t="shared" si="4"/>
        <v>12642500</v>
      </c>
      <c r="AA65" s="386">
        <v>1.78479E7</v>
      </c>
    </row>
    <row r="66" ht="15.75" customHeight="1">
      <c r="R66" s="420">
        <v>45073.0</v>
      </c>
      <c r="S66" s="398">
        <f>SUMIFS('KIDS&amp;ADULTS'!$Z$3:$Z$492,'KIDS&amp;ADULTS'!$V$3:$V$492,$R66,'KIDS&amp;ADULTS'!$B$3:$B$492,S$39,'KIDS&amp;ADULTS'!$N$3:$N$492,"Đã đóng học phí")</f>
        <v>0</v>
      </c>
      <c r="T66" s="398">
        <f>SUMIFS('KIDS&amp;ADULTS'!$Z$3:$Z$492,'KIDS&amp;ADULTS'!$V$3:$V$492,$R66,'KIDS&amp;ADULTS'!$B$3:$B$492,T$39,'KIDS&amp;ADULTS'!$N$3:$N$492,"Đã đóng học phí")</f>
        <v>0</v>
      </c>
      <c r="U66" s="398">
        <f>SUMIFS('KIDS&amp;ADULTS'!$Z$3:$Z$492,'KIDS&amp;ADULTS'!$V$3:$V$492,$R66,'KIDS&amp;ADULTS'!$B$3:$B$492,U$39,'KIDS&amp;ADULTS'!$N$3:$N$492,"Đã đóng học phí")</f>
        <v>0</v>
      </c>
      <c r="V66" s="398">
        <f>SUMIFS('KIDS&amp;ADULTS'!$Z$3:$Z$492,'KIDS&amp;ADULTS'!$V$3:$V$492,$R66,'KIDS&amp;ADULTS'!$B$3:$B$492,V$39,'KIDS&amp;ADULTS'!$N$3:$N$492,"Đã đóng học phí")</f>
        <v>0</v>
      </c>
      <c r="W66" s="398">
        <f>SUMIFS('KIDS&amp;ADULTS'!$Z$3:$Z$492,'KIDS&amp;ADULTS'!$V$3:$V$492,$R66,'KIDS&amp;ADULTS'!$B$3:$B$492,W$39,'KIDS&amp;ADULTS'!$N$3:$N$492,"Đã đóng học phí")</f>
        <v>7437500</v>
      </c>
      <c r="X66" s="398">
        <f>SUMIFS('KIDS&amp;ADULTS'!$Z$3:$Z$492,'KIDS&amp;ADULTS'!$V$3:$V$492,$R66,'KIDS&amp;ADULTS'!$B$3:$B$492,X$39,'KIDS&amp;ADULTS'!$N$3:$N$492,"Đã đóng học phí")</f>
        <v>0</v>
      </c>
      <c r="Y66" s="398">
        <f>SUMIFS('KIDS&amp;ADULTS'!$Z$3:$Z$492,'KIDS&amp;ADULTS'!$V$3:$V$492,$R66,'KIDS&amp;ADULTS'!$B$3:$B$492,Y$39,'KIDS&amp;ADULTS'!$N$3:$N$492,"Đã đóng học phí")</f>
        <v>0</v>
      </c>
      <c r="Z66" s="398">
        <f t="shared" si="4"/>
        <v>7437500</v>
      </c>
      <c r="AA66" s="386">
        <v>7437500.0</v>
      </c>
    </row>
    <row r="67" ht="15.75" customHeight="1">
      <c r="R67" s="420">
        <v>45074.0</v>
      </c>
      <c r="S67" s="398">
        <f>SUMIFS('KIDS&amp;ADULTS'!$Z$3:$Z$492,'KIDS&amp;ADULTS'!$V$3:$V$492,$R67,'KIDS&amp;ADULTS'!$B$3:$B$492,S$39,'KIDS&amp;ADULTS'!$N$3:$N$492,"Đã đóng học phí")</f>
        <v>0</v>
      </c>
      <c r="T67" s="398">
        <f>SUMIFS('KIDS&amp;ADULTS'!$Z$3:$Z$492,'KIDS&amp;ADULTS'!$V$3:$V$492,$R67,'KIDS&amp;ADULTS'!$B$3:$B$492,T$39,'KIDS&amp;ADULTS'!$N$3:$N$492,"Đã đóng học phí")</f>
        <v>0</v>
      </c>
      <c r="U67" s="398">
        <f>SUMIFS('KIDS&amp;ADULTS'!$Z$3:$Z$492,'KIDS&amp;ADULTS'!$V$3:$V$492,$R67,'KIDS&amp;ADULTS'!$B$3:$B$492,U$39,'KIDS&amp;ADULTS'!$N$3:$N$492,"Đã đóng học phí")</f>
        <v>0</v>
      </c>
      <c r="V67" s="398">
        <f>SUMIFS('KIDS&amp;ADULTS'!$Z$3:$Z$492,'KIDS&amp;ADULTS'!$V$3:$V$492,$R67,'KIDS&amp;ADULTS'!$B$3:$B$492,V$39,'KIDS&amp;ADULTS'!$N$3:$N$492,"Đã đóng học phí")</f>
        <v>0</v>
      </c>
      <c r="W67" s="398">
        <f>SUMIFS('KIDS&amp;ADULTS'!$Z$3:$Z$492,'KIDS&amp;ADULTS'!$V$3:$V$492,$R67,'KIDS&amp;ADULTS'!$B$3:$B$492,W$39,'KIDS&amp;ADULTS'!$N$3:$N$492,"Đã đóng học phí")</f>
        <v>0</v>
      </c>
      <c r="X67" s="398">
        <f>SUMIFS('KIDS&amp;ADULTS'!$Z$3:$Z$492,'KIDS&amp;ADULTS'!$V$3:$V$492,$R67,'KIDS&amp;ADULTS'!$B$3:$B$492,X$39,'KIDS&amp;ADULTS'!$N$3:$N$492,"Đã đóng học phí")</f>
        <v>0</v>
      </c>
      <c r="Y67" s="398">
        <f>SUMIFS('KIDS&amp;ADULTS'!$Z$3:$Z$492,'KIDS&amp;ADULTS'!$V$3:$V$492,$R67,'KIDS&amp;ADULTS'!$B$3:$B$492,Y$39,'KIDS&amp;ADULTS'!$N$3:$N$492,"Đã đóng học phí")</f>
        <v>0</v>
      </c>
      <c r="Z67" s="398">
        <f t="shared" si="4"/>
        <v>0</v>
      </c>
      <c r="AA67" s="386">
        <v>0.0</v>
      </c>
    </row>
    <row r="68" ht="15.75" customHeight="1">
      <c r="R68" s="420">
        <v>45075.0</v>
      </c>
      <c r="S68" s="398">
        <f>SUMIFS('KIDS&amp;ADULTS'!$Z$3:$Z$492,'KIDS&amp;ADULTS'!$V$3:$V$492,$R68,'KIDS&amp;ADULTS'!$B$3:$B$492,S$39,'KIDS&amp;ADULTS'!$N$3:$N$492,"Đã đóng học phí")</f>
        <v>0</v>
      </c>
      <c r="T68" s="398">
        <f>SUMIFS('KIDS&amp;ADULTS'!$Z$3:$Z$492,'KIDS&amp;ADULTS'!$V$3:$V$492,$R68,'KIDS&amp;ADULTS'!$B$3:$B$492,T$39,'KIDS&amp;ADULTS'!$N$3:$N$492,"Đã đóng học phí")</f>
        <v>0</v>
      </c>
      <c r="U68" s="398">
        <f>SUMIFS('KIDS&amp;ADULTS'!$Z$3:$Z$492,'KIDS&amp;ADULTS'!$V$3:$V$492,$R68,'KIDS&amp;ADULTS'!$B$3:$B$492,U$39,'KIDS&amp;ADULTS'!$N$3:$N$492,"Đã đóng học phí")</f>
        <v>0</v>
      </c>
      <c r="V68" s="398">
        <f>SUMIFS('KIDS&amp;ADULTS'!$Z$3:$Z$492,'KIDS&amp;ADULTS'!$V$3:$V$492,$R68,'KIDS&amp;ADULTS'!$B$3:$B$492,V$39,'KIDS&amp;ADULTS'!$N$3:$N$492,"Đã đóng học phí")</f>
        <v>0</v>
      </c>
      <c r="W68" s="398">
        <f>SUMIFS('KIDS&amp;ADULTS'!$Z$3:$Z$492,'KIDS&amp;ADULTS'!$V$3:$V$492,$R68,'KIDS&amp;ADULTS'!$B$3:$B$492,W$39,'KIDS&amp;ADULTS'!$N$3:$N$492,"Đã đóng học phí")</f>
        <v>0</v>
      </c>
      <c r="X68" s="398">
        <f>SUMIFS('KIDS&amp;ADULTS'!$Z$3:$Z$492,'KIDS&amp;ADULTS'!$V$3:$V$492,$R68,'KIDS&amp;ADULTS'!$B$3:$B$492,X$39,'KIDS&amp;ADULTS'!$N$3:$N$492,"Đã đóng học phí")</f>
        <v>1000000</v>
      </c>
      <c r="Y68" s="398">
        <f>SUMIFS('KIDS&amp;ADULTS'!$Z$3:$Z$492,'KIDS&amp;ADULTS'!$V$3:$V$492,$R68,'KIDS&amp;ADULTS'!$B$3:$B$492,Y$39,'KIDS&amp;ADULTS'!$N$3:$N$492,"Đã đóng học phí")</f>
        <v>0</v>
      </c>
      <c r="Z68" s="398">
        <f t="shared" si="4"/>
        <v>1000000</v>
      </c>
      <c r="AA68" s="386">
        <v>1000000.0</v>
      </c>
    </row>
    <row r="69" ht="15.75" customHeight="1">
      <c r="R69" s="420">
        <v>45076.0</v>
      </c>
      <c r="S69" s="398">
        <f>SUMIFS('KIDS&amp;ADULTS'!$Z$3:$Z$492,'KIDS&amp;ADULTS'!$V$3:$V$492,$R69,'KIDS&amp;ADULTS'!$B$3:$B$492,S$39,'KIDS&amp;ADULTS'!$N$3:$N$492,"Đã đóng học phí")</f>
        <v>0</v>
      </c>
      <c r="T69" s="398">
        <f>SUMIFS('KIDS&amp;ADULTS'!$Z$3:$Z$492,'KIDS&amp;ADULTS'!$V$3:$V$492,$R69,'KIDS&amp;ADULTS'!$B$3:$B$492,T$39,'KIDS&amp;ADULTS'!$N$3:$N$492,"Đã đóng học phí")</f>
        <v>0</v>
      </c>
      <c r="U69" s="398">
        <f>SUMIFS('KIDS&amp;ADULTS'!$Z$3:$Z$492,'KIDS&amp;ADULTS'!$V$3:$V$492,$R69,'KIDS&amp;ADULTS'!$B$3:$B$492,U$39,'KIDS&amp;ADULTS'!$N$3:$N$492,"Đã đóng học phí")</f>
        <v>0</v>
      </c>
      <c r="V69" s="398">
        <f>SUMIFS('KIDS&amp;ADULTS'!$Z$3:$Z$492,'KIDS&amp;ADULTS'!$V$3:$V$492,$R69,'KIDS&amp;ADULTS'!$B$3:$B$492,V$39,'KIDS&amp;ADULTS'!$N$3:$N$492,"Đã đóng học phí")</f>
        <v>0</v>
      </c>
      <c r="W69" s="398">
        <f>SUMIFS('KIDS&amp;ADULTS'!$Z$3:$Z$492,'KIDS&amp;ADULTS'!$V$3:$V$492,$R69,'KIDS&amp;ADULTS'!$B$3:$B$492,W$39,'KIDS&amp;ADULTS'!$N$3:$N$492,"Đã đóng học phí")</f>
        <v>5348600</v>
      </c>
      <c r="X69" s="398">
        <f>SUMIFS('KIDS&amp;ADULTS'!$Z$3:$Z$492,'KIDS&amp;ADULTS'!$V$3:$V$492,$R69,'KIDS&amp;ADULTS'!$B$3:$B$492,X$39,'KIDS&amp;ADULTS'!$N$3:$N$492,"Đã đóng học phí")</f>
        <v>0</v>
      </c>
      <c r="Y69" s="398">
        <f>SUMIFS('KIDS&amp;ADULTS'!$Z$3:$Z$492,'KIDS&amp;ADULTS'!$V$3:$V$492,$R69,'KIDS&amp;ADULTS'!$B$3:$B$492,Y$39,'KIDS&amp;ADULTS'!$N$3:$N$492,"Đã đóng học phí")</f>
        <v>0</v>
      </c>
      <c r="Z69" s="398">
        <f t="shared" si="4"/>
        <v>5348600</v>
      </c>
      <c r="AA69" s="386">
        <v>6348600.0</v>
      </c>
    </row>
    <row r="70" ht="15.75" customHeight="1">
      <c r="R70" s="420">
        <v>45077.0</v>
      </c>
      <c r="S70" s="398">
        <f>SUMIFS('KIDS&amp;ADULTS'!$Z$3:$Z$492,'KIDS&amp;ADULTS'!$V$3:$V$492,$R70,'KIDS&amp;ADULTS'!$B$3:$B$492,S$39,'KIDS&amp;ADULTS'!$N$3:$N$492,"Đã đóng học phí")</f>
        <v>0</v>
      </c>
      <c r="T70" s="398">
        <f>SUMIFS('KIDS&amp;ADULTS'!$Z$3:$Z$492,'KIDS&amp;ADULTS'!$V$3:$V$492,$R70,'KIDS&amp;ADULTS'!$B$3:$B$492,T$39,'KIDS&amp;ADULTS'!$N$3:$N$492,"Đã đóng học phí")</f>
        <v>0</v>
      </c>
      <c r="U70" s="398">
        <f>SUMIFS('KIDS&amp;ADULTS'!$Z$3:$Z$492,'KIDS&amp;ADULTS'!$V$3:$V$492,$R70,'KIDS&amp;ADULTS'!$B$3:$B$492,U$39,'KIDS&amp;ADULTS'!$N$3:$N$492,"Đã đóng học phí")</f>
        <v>0</v>
      </c>
      <c r="V70" s="398">
        <f>SUMIFS('KIDS&amp;ADULTS'!$Z$3:$Z$492,'KIDS&amp;ADULTS'!$V$3:$V$492,$R70,'KIDS&amp;ADULTS'!$B$3:$B$492,V$39,'KIDS&amp;ADULTS'!$N$3:$N$492,"Đã đóng học phí")</f>
        <v>0</v>
      </c>
      <c r="W70" s="398">
        <f>SUMIFS('KIDS&amp;ADULTS'!$Z$3:$Z$492,'KIDS&amp;ADULTS'!$V$3:$V$492,$R70,'KIDS&amp;ADULTS'!$B$3:$B$492,W$39,'KIDS&amp;ADULTS'!$N$3:$N$492,"Đã đóng học phí")</f>
        <v>2908900</v>
      </c>
      <c r="X70" s="398">
        <f>SUMIFS('KIDS&amp;ADULTS'!$Z$3:$Z$492,'KIDS&amp;ADULTS'!$V$3:$V$492,$R70,'KIDS&amp;ADULTS'!$B$3:$B$492,X$39,'KIDS&amp;ADULTS'!$N$3:$N$492,"Đã đóng học phí")</f>
        <v>5348600</v>
      </c>
      <c r="Y70" s="398">
        <f>SUMIFS('KIDS&amp;ADULTS'!$Z$3:$Z$492,'KIDS&amp;ADULTS'!$V$3:$V$492,$R70,'KIDS&amp;ADULTS'!$B$3:$B$492,Y$39,'KIDS&amp;ADULTS'!$N$3:$N$492,"Đã đóng học phí")</f>
        <v>0</v>
      </c>
      <c r="Z70" s="398">
        <f t="shared" si="4"/>
        <v>8257500</v>
      </c>
      <c r="AA70" s="386">
        <v>8257500.0</v>
      </c>
    </row>
    <row r="71" ht="15.75" customHeight="1">
      <c r="R71" s="388" t="s">
        <v>4622</v>
      </c>
      <c r="S71" s="399">
        <f t="shared" ref="S71:Z71" si="5">SUM(S40:S70)</f>
        <v>0</v>
      </c>
      <c r="T71" s="399">
        <f t="shared" si="5"/>
        <v>0</v>
      </c>
      <c r="U71" s="399">
        <f t="shared" si="5"/>
        <v>0</v>
      </c>
      <c r="V71" s="399">
        <f t="shared" si="5"/>
        <v>0</v>
      </c>
      <c r="W71" s="399">
        <f t="shared" si="5"/>
        <v>23132500</v>
      </c>
      <c r="X71" s="399">
        <f t="shared" si="5"/>
        <v>11553600</v>
      </c>
      <c r="Y71" s="399">
        <f t="shared" si="5"/>
        <v>0</v>
      </c>
      <c r="Z71" s="399">
        <f t="shared" si="5"/>
        <v>34686100</v>
      </c>
      <c r="AA71" s="386">
        <v>8257500.0</v>
      </c>
    </row>
    <row r="72" ht="15.75" customHeight="1">
      <c r="AA72" s="386"/>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I1:O1"/>
    <mergeCell ref="J2:O2"/>
    <mergeCell ref="R1:Y1"/>
    <mergeCell ref="S2:Y2"/>
    <mergeCell ref="R37:Y37"/>
    <mergeCell ref="R38:R39"/>
    <mergeCell ref="S38:Y38"/>
    <mergeCell ref="A1:F1"/>
    <mergeCell ref="G1:H3"/>
    <mergeCell ref="A2:A3"/>
    <mergeCell ref="B2:E2"/>
    <mergeCell ref="F2:F3"/>
    <mergeCell ref="I2:I3"/>
    <mergeCell ref="R2:R3"/>
  </mergeCells>
  <conditionalFormatting sqref="S4:Y33">
    <cfRule type="cellIs" dxfId="7" priority="1" operator="greaterThan">
      <formula>0</formula>
    </cfRule>
  </conditionalFormatting>
  <conditionalFormatting sqref="S40:Y70">
    <cfRule type="cellIs" dxfId="7" priority="2" operator="greaterThan">
      <formula>0</formula>
    </cfRule>
  </conditionalFormatting>
  <conditionalFormatting sqref="J4:O34">
    <cfRule type="cellIs" dxfId="1" priority="3" operator="greaterThan">
      <formula>0</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23.13"/>
    <col customWidth="1" min="3" max="3" width="23.0"/>
    <col customWidth="1" min="4" max="4" width="22.25"/>
    <col customWidth="1" min="5" max="5" width="26.0"/>
    <col customWidth="1" min="6" max="6" width="22.63"/>
    <col customWidth="1" min="7" max="7" width="27.0"/>
    <col customWidth="1" min="8" max="8" width="28.88"/>
    <col customWidth="1" min="9" max="9" width="26.38"/>
    <col customWidth="1" min="10" max="10" width="17.25"/>
  </cols>
  <sheetData>
    <row r="1" ht="15.75" customHeight="1">
      <c r="A1" s="424" t="s">
        <v>4729</v>
      </c>
      <c r="B1" s="424" t="s">
        <v>2</v>
      </c>
      <c r="C1" s="424" t="s">
        <v>4730</v>
      </c>
      <c r="D1" s="424" t="s">
        <v>4731</v>
      </c>
      <c r="E1" s="424" t="s">
        <v>4732</v>
      </c>
      <c r="F1" s="424" t="s">
        <v>4733</v>
      </c>
      <c r="G1" s="425" t="s">
        <v>4734</v>
      </c>
      <c r="H1" s="424" t="s">
        <v>4735</v>
      </c>
      <c r="I1" s="424" t="s">
        <v>4736</v>
      </c>
      <c r="J1" s="424" t="s">
        <v>4737</v>
      </c>
      <c r="K1" s="426"/>
      <c r="L1" s="426"/>
      <c r="M1" s="426"/>
      <c r="N1" s="426"/>
      <c r="O1" s="426"/>
      <c r="P1" s="426"/>
      <c r="Q1" s="426"/>
      <c r="R1" s="426"/>
      <c r="S1" s="426"/>
      <c r="T1" s="426"/>
      <c r="U1" s="426"/>
      <c r="V1" s="426"/>
      <c r="W1" s="426"/>
      <c r="X1" s="426"/>
      <c r="Y1" s="426"/>
      <c r="Z1" s="426"/>
      <c r="AA1" s="426"/>
      <c r="AB1" s="426"/>
    </row>
    <row r="2" ht="15.75" customHeight="1">
      <c r="A2" s="316"/>
      <c r="B2" s="316"/>
      <c r="C2" s="316"/>
      <c r="D2" s="427"/>
      <c r="E2" s="316"/>
      <c r="F2" s="316"/>
      <c r="G2" s="316"/>
      <c r="H2" s="316"/>
      <c r="I2" s="316"/>
      <c r="J2" s="316" t="s">
        <v>48</v>
      </c>
    </row>
    <row r="3" ht="15.75" customHeight="1">
      <c r="A3" s="316"/>
      <c r="B3" s="316"/>
      <c r="C3" s="316"/>
      <c r="D3" s="427"/>
      <c r="E3" s="316"/>
      <c r="F3" s="316"/>
      <c r="G3" s="428"/>
      <c r="H3" s="316"/>
      <c r="I3" s="316"/>
      <c r="J3" s="316" t="s">
        <v>111</v>
      </c>
    </row>
    <row r="4" ht="15.75" customHeight="1">
      <c r="A4" s="316"/>
      <c r="B4" s="316"/>
      <c r="C4" s="316"/>
      <c r="D4" s="427"/>
      <c r="E4" s="316"/>
      <c r="F4" s="316"/>
      <c r="G4" s="428"/>
      <c r="H4" s="316"/>
      <c r="I4" s="316"/>
      <c r="J4" s="316" t="s">
        <v>111</v>
      </c>
    </row>
    <row r="5" ht="15.75" customHeight="1">
      <c r="A5" s="429"/>
      <c r="B5" s="429"/>
      <c r="C5" s="429"/>
      <c r="D5" s="427"/>
      <c r="E5" s="430"/>
      <c r="F5" s="431"/>
      <c r="G5" s="431"/>
      <c r="H5" s="432"/>
      <c r="I5" s="432"/>
      <c r="J5" s="316" t="s">
        <v>111</v>
      </c>
    </row>
    <row r="6" ht="15.75" customHeight="1">
      <c r="A6" s="433"/>
      <c r="B6" s="433"/>
      <c r="C6" s="433"/>
      <c r="D6" s="434"/>
      <c r="E6" s="435"/>
      <c r="F6" s="433"/>
      <c r="G6" s="436"/>
      <c r="H6" s="433"/>
      <c r="I6" s="433"/>
      <c r="J6" s="433"/>
      <c r="K6" s="437"/>
      <c r="L6" s="437"/>
      <c r="M6" s="437"/>
      <c r="N6" s="437"/>
      <c r="O6" s="437"/>
      <c r="P6" s="437"/>
      <c r="Q6" s="437"/>
      <c r="R6" s="437"/>
      <c r="S6" s="437"/>
      <c r="T6" s="437"/>
      <c r="U6" s="437"/>
      <c r="V6" s="437"/>
      <c r="W6" s="437"/>
      <c r="X6" s="437"/>
      <c r="Y6" s="437"/>
      <c r="Z6" s="437"/>
      <c r="AA6" s="437"/>
      <c r="AB6" s="437"/>
    </row>
    <row r="7" ht="15.75" customHeight="1">
      <c r="A7" s="432"/>
      <c r="B7" s="432"/>
      <c r="C7" s="432"/>
      <c r="D7" s="430"/>
      <c r="E7" s="430"/>
      <c r="F7" s="432"/>
      <c r="G7" s="438"/>
      <c r="H7" s="432"/>
      <c r="I7" s="432"/>
      <c r="J7" s="432"/>
    </row>
    <row r="8" ht="15.75" customHeight="1">
      <c r="A8" s="432"/>
      <c r="B8" s="432"/>
      <c r="C8" s="432"/>
      <c r="D8" s="430"/>
      <c r="E8" s="430"/>
      <c r="F8" s="432"/>
      <c r="G8" s="438"/>
      <c r="H8" s="432"/>
      <c r="I8" s="432"/>
      <c r="J8" s="432"/>
    </row>
    <row r="9" ht="15.75" customHeight="1">
      <c r="A9" s="432"/>
      <c r="B9" s="432"/>
      <c r="C9" s="432"/>
      <c r="D9" s="430"/>
      <c r="E9" s="430"/>
      <c r="F9" s="432"/>
      <c r="G9" s="438"/>
      <c r="H9" s="432"/>
      <c r="I9" s="432"/>
      <c r="J9" s="432"/>
    </row>
    <row r="10" ht="15.75" customHeight="1">
      <c r="A10" s="432"/>
      <c r="B10" s="432"/>
      <c r="C10" s="432"/>
      <c r="D10" s="430"/>
      <c r="E10" s="430"/>
      <c r="F10" s="432"/>
      <c r="G10" s="438"/>
      <c r="H10" s="432"/>
      <c r="I10" s="432"/>
      <c r="J10" s="432"/>
    </row>
    <row r="11" ht="15.75" customHeight="1">
      <c r="A11" s="439"/>
      <c r="B11" s="439"/>
      <c r="C11" s="439"/>
      <c r="D11" s="440"/>
      <c r="E11" s="440"/>
      <c r="F11" s="439"/>
      <c r="G11" s="441"/>
      <c r="H11" s="439"/>
      <c r="I11" s="439"/>
      <c r="J11" s="439"/>
    </row>
    <row r="12" ht="15.75" customHeight="1">
      <c r="A12" s="439"/>
      <c r="B12" s="439"/>
      <c r="C12" s="439"/>
      <c r="D12" s="440"/>
      <c r="E12" s="440"/>
      <c r="F12" s="439"/>
      <c r="G12" s="441"/>
      <c r="H12" s="439"/>
      <c r="I12" s="439"/>
      <c r="J12" s="439"/>
    </row>
    <row r="13" ht="15.75" customHeight="1">
      <c r="A13" s="439"/>
      <c r="B13" s="439"/>
      <c r="C13" s="439"/>
      <c r="D13" s="440"/>
      <c r="E13" s="440"/>
      <c r="F13" s="439"/>
      <c r="G13" s="441"/>
      <c r="H13" s="439"/>
      <c r="I13" s="439"/>
      <c r="J13" s="439"/>
    </row>
    <row r="14" ht="15.75" customHeight="1">
      <c r="A14" s="439"/>
      <c r="B14" s="439"/>
      <c r="C14" s="439"/>
      <c r="D14" s="440"/>
      <c r="E14" s="440"/>
      <c r="F14" s="439"/>
      <c r="G14" s="441"/>
      <c r="H14" s="439"/>
      <c r="I14" s="439"/>
      <c r="J14" s="439"/>
    </row>
    <row r="15" ht="15.75" customHeight="1">
      <c r="A15" s="439"/>
      <c r="B15" s="439"/>
      <c r="C15" s="439"/>
      <c r="D15" s="440"/>
      <c r="E15" s="440"/>
      <c r="F15" s="439"/>
      <c r="G15" s="441"/>
      <c r="H15" s="439"/>
      <c r="I15" s="439"/>
      <c r="J15" s="439"/>
    </row>
    <row r="16" ht="15.75" customHeight="1">
      <c r="A16" s="439"/>
      <c r="B16" s="439"/>
      <c r="C16" s="439"/>
      <c r="D16" s="440"/>
      <c r="E16" s="440"/>
      <c r="F16" s="439"/>
      <c r="G16" s="441"/>
      <c r="H16" s="439"/>
      <c r="I16" s="439"/>
      <c r="J16" s="439"/>
    </row>
    <row r="17" ht="15.75" customHeight="1">
      <c r="A17" s="439"/>
      <c r="B17" s="439"/>
      <c r="C17" s="439"/>
      <c r="D17" s="440"/>
      <c r="E17" s="440"/>
      <c r="F17" s="439"/>
      <c r="G17" s="441"/>
      <c r="H17" s="439"/>
      <c r="I17" s="439"/>
      <c r="J17" s="439"/>
    </row>
    <row r="18" ht="15.75" customHeight="1">
      <c r="A18" s="439"/>
      <c r="B18" s="439"/>
      <c r="C18" s="439"/>
      <c r="D18" s="440"/>
      <c r="E18" s="440"/>
      <c r="F18" s="439"/>
      <c r="G18" s="441"/>
      <c r="H18" s="439"/>
      <c r="I18" s="439"/>
      <c r="J18" s="439"/>
    </row>
    <row r="19" ht="15.75" customHeight="1">
      <c r="A19" s="439"/>
      <c r="B19" s="439"/>
      <c r="C19" s="439"/>
      <c r="D19" s="440"/>
      <c r="E19" s="440"/>
      <c r="F19" s="439"/>
      <c r="G19" s="441"/>
      <c r="H19" s="439"/>
      <c r="I19" s="439"/>
      <c r="J19" s="439"/>
    </row>
    <row r="20" ht="15.75" customHeight="1">
      <c r="A20" s="439"/>
      <c r="B20" s="439"/>
      <c r="C20" s="439"/>
      <c r="D20" s="440"/>
      <c r="E20" s="440"/>
      <c r="F20" s="439"/>
      <c r="G20" s="441"/>
      <c r="H20" s="439"/>
      <c r="I20" s="439"/>
      <c r="J20" s="439"/>
    </row>
    <row r="21" ht="15.75" customHeight="1">
      <c r="A21" s="439"/>
      <c r="B21" s="439"/>
      <c r="C21" s="439"/>
      <c r="D21" s="440"/>
      <c r="E21" s="440"/>
      <c r="F21" s="439"/>
      <c r="G21" s="441"/>
      <c r="H21" s="439"/>
      <c r="I21" s="439"/>
      <c r="J21" s="439"/>
    </row>
    <row r="22" ht="15.75" customHeight="1">
      <c r="A22" s="439"/>
      <c r="B22" s="439"/>
      <c r="C22" s="439"/>
      <c r="D22" s="440"/>
      <c r="E22" s="440"/>
      <c r="F22" s="439"/>
      <c r="G22" s="441"/>
      <c r="H22" s="439"/>
      <c r="I22" s="439"/>
      <c r="J22" s="439"/>
    </row>
    <row r="23" ht="15.75" customHeight="1">
      <c r="A23" s="439"/>
      <c r="B23" s="439"/>
      <c r="C23" s="439"/>
      <c r="D23" s="440"/>
      <c r="E23" s="440"/>
      <c r="F23" s="439"/>
      <c r="G23" s="441"/>
      <c r="H23" s="439"/>
      <c r="I23" s="439"/>
      <c r="J23" s="439"/>
    </row>
    <row r="24" ht="15.75" customHeight="1">
      <c r="A24" s="439"/>
      <c r="B24" s="439"/>
      <c r="C24" s="439"/>
      <c r="D24" s="440"/>
      <c r="E24" s="440"/>
      <c r="F24" s="439"/>
      <c r="G24" s="441"/>
      <c r="H24" s="439"/>
      <c r="I24" s="439"/>
      <c r="J24" s="439"/>
    </row>
    <row r="25" ht="15.75" customHeight="1">
      <c r="A25" s="439"/>
      <c r="B25" s="439"/>
      <c r="C25" s="439"/>
      <c r="D25" s="440"/>
      <c r="E25" s="440"/>
      <c r="F25" s="439"/>
      <c r="G25" s="441"/>
      <c r="H25" s="439"/>
      <c r="I25" s="439"/>
      <c r="J25" s="439"/>
    </row>
    <row r="26" ht="15.75" customHeight="1">
      <c r="A26" s="439"/>
      <c r="B26" s="439"/>
      <c r="C26" s="439"/>
      <c r="D26" s="440"/>
      <c r="E26" s="440"/>
      <c r="F26" s="439"/>
      <c r="G26" s="441"/>
      <c r="H26" s="439"/>
      <c r="I26" s="439"/>
      <c r="J26" s="439"/>
    </row>
    <row r="27" ht="15.75" customHeight="1">
      <c r="A27" s="439"/>
      <c r="B27" s="439"/>
      <c r="C27" s="439"/>
      <c r="D27" s="440"/>
      <c r="E27" s="440"/>
      <c r="F27" s="439"/>
      <c r="G27" s="441"/>
      <c r="H27" s="439"/>
      <c r="I27" s="439"/>
      <c r="J27" s="439"/>
    </row>
    <row r="28" ht="15.75" customHeight="1">
      <c r="A28" s="439"/>
      <c r="B28" s="439"/>
      <c r="C28" s="439"/>
      <c r="D28" s="440"/>
      <c r="E28" s="440"/>
      <c r="F28" s="439"/>
      <c r="G28" s="441"/>
      <c r="H28" s="439"/>
      <c r="I28" s="439"/>
      <c r="J28" s="439"/>
    </row>
    <row r="29" ht="15.75" customHeight="1">
      <c r="A29" s="439"/>
      <c r="B29" s="439"/>
      <c r="C29" s="439"/>
      <c r="D29" s="440"/>
      <c r="E29" s="440"/>
      <c r="F29" s="439"/>
      <c r="G29" s="441"/>
      <c r="H29" s="439"/>
      <c r="I29" s="439"/>
      <c r="J29" s="439"/>
    </row>
    <row r="30" ht="15.75" customHeight="1">
      <c r="A30" s="439"/>
      <c r="B30" s="439"/>
      <c r="C30" s="439"/>
      <c r="D30" s="440"/>
      <c r="E30" s="440"/>
      <c r="F30" s="439"/>
      <c r="G30" s="441"/>
      <c r="H30" s="439"/>
      <c r="I30" s="439"/>
      <c r="J30" s="439"/>
    </row>
    <row r="31" ht="15.75" customHeight="1">
      <c r="A31" s="439"/>
      <c r="B31" s="439"/>
      <c r="C31" s="439"/>
      <c r="D31" s="440"/>
      <c r="E31" s="440"/>
      <c r="F31" s="439"/>
      <c r="G31" s="441"/>
      <c r="H31" s="439"/>
      <c r="I31" s="439"/>
      <c r="J31" s="439"/>
    </row>
    <row r="32" ht="15.75" customHeight="1">
      <c r="A32" s="439"/>
      <c r="B32" s="439"/>
      <c r="C32" s="439"/>
      <c r="D32" s="440"/>
      <c r="E32" s="440"/>
      <c r="F32" s="439"/>
      <c r="G32" s="441"/>
      <c r="H32" s="439"/>
      <c r="I32" s="439"/>
      <c r="J32" s="439"/>
    </row>
    <row r="33" ht="15.75" customHeight="1">
      <c r="A33" s="439"/>
      <c r="B33" s="439"/>
      <c r="C33" s="439"/>
      <c r="D33" s="440"/>
      <c r="E33" s="440"/>
      <c r="F33" s="439"/>
      <c r="G33" s="441"/>
      <c r="H33" s="439"/>
      <c r="I33" s="439"/>
      <c r="J33" s="439"/>
    </row>
    <row r="34" ht="15.75" customHeight="1">
      <c r="A34" s="439"/>
      <c r="B34" s="439"/>
      <c r="C34" s="439"/>
      <c r="D34" s="440"/>
      <c r="E34" s="440"/>
      <c r="F34" s="439"/>
      <c r="G34" s="441"/>
      <c r="H34" s="439"/>
      <c r="I34" s="439"/>
      <c r="J34" s="439"/>
    </row>
    <row r="35" ht="15.75" customHeight="1">
      <c r="A35" s="439"/>
      <c r="B35" s="439"/>
      <c r="C35" s="439"/>
      <c r="D35" s="440"/>
      <c r="E35" s="440"/>
      <c r="F35" s="439"/>
      <c r="G35" s="441"/>
      <c r="H35" s="439"/>
      <c r="I35" s="439"/>
      <c r="J35" s="439"/>
    </row>
    <row r="36" ht="15.75" customHeight="1">
      <c r="A36" s="439"/>
      <c r="B36" s="439"/>
      <c r="C36" s="439"/>
      <c r="D36" s="440"/>
      <c r="E36" s="440"/>
      <c r="F36" s="439"/>
      <c r="G36" s="441"/>
      <c r="H36" s="439"/>
      <c r="I36" s="439"/>
      <c r="J36" s="439"/>
    </row>
    <row r="37" ht="15.75" customHeight="1">
      <c r="A37" s="439"/>
      <c r="B37" s="439"/>
      <c r="C37" s="439"/>
      <c r="D37" s="440"/>
      <c r="E37" s="440"/>
      <c r="F37" s="439"/>
      <c r="G37" s="441"/>
      <c r="H37" s="439"/>
      <c r="I37" s="439"/>
      <c r="J37" s="439"/>
    </row>
    <row r="38" ht="15.75" customHeight="1">
      <c r="A38" s="439"/>
      <c r="B38" s="439"/>
      <c r="C38" s="439"/>
      <c r="D38" s="440"/>
      <c r="E38" s="440"/>
      <c r="F38" s="439"/>
      <c r="G38" s="441"/>
      <c r="H38" s="439"/>
      <c r="I38" s="439"/>
      <c r="J38" s="439"/>
    </row>
    <row r="39" ht="15.75" customHeight="1">
      <c r="A39" s="439"/>
      <c r="B39" s="439"/>
      <c r="C39" s="439"/>
      <c r="D39" s="440"/>
      <c r="E39" s="440"/>
      <c r="F39" s="439"/>
      <c r="G39" s="441"/>
      <c r="H39" s="439"/>
      <c r="I39" s="439"/>
      <c r="J39" s="439"/>
    </row>
    <row r="40" ht="15.75" customHeight="1">
      <c r="A40" s="439"/>
      <c r="B40" s="439"/>
      <c r="C40" s="439"/>
      <c r="D40" s="440"/>
      <c r="E40" s="440"/>
      <c r="F40" s="439"/>
      <c r="G40" s="441"/>
      <c r="H40" s="439"/>
      <c r="I40" s="439"/>
      <c r="J40" s="439"/>
    </row>
    <row r="41" ht="15.75" customHeight="1">
      <c r="A41" s="439"/>
      <c r="B41" s="439"/>
      <c r="C41" s="439"/>
      <c r="D41" s="440"/>
      <c r="E41" s="440"/>
      <c r="F41" s="439"/>
      <c r="G41" s="441"/>
      <c r="H41" s="439"/>
      <c r="I41" s="439"/>
      <c r="J41" s="439"/>
    </row>
    <row r="42" ht="15.75" customHeight="1">
      <c r="A42" s="439"/>
      <c r="B42" s="439"/>
      <c r="C42" s="439"/>
      <c r="D42" s="440"/>
      <c r="E42" s="440"/>
      <c r="F42" s="439"/>
      <c r="G42" s="441"/>
      <c r="H42" s="439"/>
      <c r="I42" s="439"/>
      <c r="J42" s="439"/>
    </row>
    <row r="43" ht="15.75" customHeight="1">
      <c r="A43" s="439"/>
      <c r="B43" s="439"/>
      <c r="C43" s="439"/>
      <c r="D43" s="440"/>
      <c r="E43" s="440"/>
      <c r="F43" s="439"/>
      <c r="G43" s="441"/>
      <c r="H43" s="439"/>
      <c r="I43" s="439"/>
      <c r="J43" s="439"/>
    </row>
    <row r="44" ht="15.75" customHeight="1">
      <c r="A44" s="439"/>
      <c r="B44" s="439"/>
      <c r="C44" s="439"/>
      <c r="D44" s="440"/>
      <c r="E44" s="440"/>
      <c r="F44" s="439"/>
      <c r="G44" s="441"/>
      <c r="H44" s="439"/>
      <c r="I44" s="439"/>
      <c r="J44" s="439"/>
    </row>
    <row r="45" ht="15.75" customHeight="1">
      <c r="A45" s="439"/>
      <c r="B45" s="439"/>
      <c r="C45" s="439"/>
      <c r="D45" s="440"/>
      <c r="E45" s="440"/>
      <c r="F45" s="439"/>
      <c r="G45" s="441"/>
      <c r="H45" s="439"/>
      <c r="I45" s="439"/>
      <c r="J45" s="439"/>
    </row>
    <row r="46" ht="15.75" customHeight="1">
      <c r="A46" s="439"/>
      <c r="B46" s="439"/>
      <c r="C46" s="439"/>
      <c r="D46" s="440"/>
      <c r="E46" s="440"/>
      <c r="F46" s="439"/>
      <c r="G46" s="441"/>
      <c r="H46" s="439"/>
      <c r="I46" s="439"/>
      <c r="J46" s="439"/>
    </row>
    <row r="47" ht="15.75" customHeight="1">
      <c r="A47" s="439"/>
      <c r="B47" s="439"/>
      <c r="C47" s="439"/>
      <c r="D47" s="440"/>
      <c r="E47" s="440"/>
      <c r="F47" s="439"/>
      <c r="G47" s="441"/>
      <c r="H47" s="439"/>
      <c r="I47" s="439"/>
      <c r="J47" s="439"/>
    </row>
    <row r="48" ht="15.75" customHeight="1">
      <c r="A48" s="439"/>
      <c r="B48" s="439"/>
      <c r="C48" s="439"/>
      <c r="D48" s="440"/>
      <c r="E48" s="440"/>
      <c r="F48" s="439"/>
      <c r="G48" s="441"/>
      <c r="H48" s="439"/>
      <c r="I48" s="439"/>
      <c r="J48" s="439"/>
    </row>
    <row r="49" ht="15.75" customHeight="1">
      <c r="A49" s="439"/>
      <c r="B49" s="439"/>
      <c r="C49" s="439"/>
      <c r="D49" s="440"/>
      <c r="E49" s="440"/>
      <c r="F49" s="439"/>
      <c r="G49" s="441"/>
      <c r="H49" s="439"/>
      <c r="I49" s="439"/>
      <c r="J49" s="439"/>
    </row>
    <row r="50" ht="15.75" customHeight="1">
      <c r="A50" s="439"/>
      <c r="B50" s="439"/>
      <c r="C50" s="439"/>
      <c r="D50" s="440"/>
      <c r="E50" s="440"/>
      <c r="F50" s="439"/>
      <c r="G50" s="441"/>
      <c r="H50" s="439"/>
      <c r="I50" s="439"/>
      <c r="J50" s="439"/>
    </row>
    <row r="51" ht="15.75" customHeight="1">
      <c r="A51" s="439"/>
      <c r="B51" s="439"/>
      <c r="C51" s="439"/>
      <c r="D51" s="440"/>
      <c r="E51" s="440"/>
      <c r="F51" s="439"/>
      <c r="G51" s="441"/>
      <c r="H51" s="439"/>
      <c r="I51" s="439"/>
      <c r="J51" s="439"/>
    </row>
    <row r="52" ht="15.75" customHeight="1">
      <c r="A52" s="439"/>
      <c r="B52" s="439"/>
      <c r="C52" s="439"/>
      <c r="D52" s="440"/>
      <c r="E52" s="440"/>
      <c r="F52" s="439"/>
      <c r="G52" s="441"/>
      <c r="H52" s="439"/>
      <c r="I52" s="439"/>
      <c r="J52" s="439"/>
    </row>
    <row r="53" ht="15.75" customHeight="1">
      <c r="A53" s="439"/>
      <c r="B53" s="439"/>
      <c r="C53" s="439"/>
      <c r="D53" s="440"/>
      <c r="E53" s="440"/>
      <c r="F53" s="439"/>
      <c r="G53" s="441"/>
      <c r="H53" s="439"/>
      <c r="I53" s="439"/>
      <c r="J53" s="439"/>
    </row>
    <row r="54" ht="15.75" customHeight="1">
      <c r="A54" s="439"/>
      <c r="B54" s="439"/>
      <c r="C54" s="439"/>
      <c r="D54" s="440"/>
      <c r="E54" s="440"/>
      <c r="F54" s="439"/>
      <c r="G54" s="441"/>
      <c r="H54" s="439"/>
      <c r="I54" s="439"/>
      <c r="J54" s="439"/>
    </row>
    <row r="55" ht="15.75" customHeight="1">
      <c r="A55" s="439"/>
      <c r="B55" s="439"/>
      <c r="C55" s="439"/>
      <c r="D55" s="440"/>
      <c r="E55" s="440"/>
      <c r="F55" s="439"/>
      <c r="G55" s="441"/>
      <c r="H55" s="439"/>
      <c r="I55" s="439"/>
      <c r="J55" s="439"/>
    </row>
    <row r="56" ht="15.75" customHeight="1">
      <c r="A56" s="439"/>
      <c r="B56" s="439"/>
      <c r="C56" s="439"/>
      <c r="D56" s="440"/>
      <c r="E56" s="440"/>
      <c r="F56" s="439"/>
      <c r="G56" s="441"/>
      <c r="H56" s="439"/>
      <c r="I56" s="439"/>
      <c r="J56" s="439"/>
    </row>
    <row r="57" ht="15.75" customHeight="1">
      <c r="A57" s="439"/>
      <c r="B57" s="439"/>
      <c r="C57" s="439"/>
      <c r="D57" s="440"/>
      <c r="E57" s="440"/>
      <c r="F57" s="439"/>
      <c r="G57" s="441"/>
      <c r="H57" s="439"/>
      <c r="I57" s="439"/>
      <c r="J57" s="439"/>
    </row>
    <row r="58" ht="15.75" customHeight="1">
      <c r="A58" s="439"/>
      <c r="B58" s="439"/>
      <c r="C58" s="439"/>
      <c r="D58" s="440"/>
      <c r="E58" s="440"/>
      <c r="F58" s="439"/>
      <c r="G58" s="441"/>
      <c r="H58" s="439"/>
      <c r="I58" s="439"/>
      <c r="J58" s="439"/>
    </row>
    <row r="59" ht="15.75" customHeight="1">
      <c r="A59" s="439"/>
      <c r="B59" s="439"/>
      <c r="C59" s="439"/>
      <c r="D59" s="440"/>
      <c r="E59" s="440"/>
      <c r="F59" s="439"/>
      <c r="G59" s="441"/>
      <c r="H59" s="439"/>
      <c r="I59" s="439"/>
      <c r="J59" s="439"/>
    </row>
    <row r="60" ht="15.75" customHeight="1">
      <c r="A60" s="439"/>
      <c r="B60" s="439"/>
      <c r="C60" s="439"/>
      <c r="D60" s="440"/>
      <c r="E60" s="440"/>
      <c r="F60" s="439"/>
      <c r="G60" s="441"/>
      <c r="H60" s="439"/>
      <c r="I60" s="439"/>
      <c r="J60" s="439"/>
    </row>
    <row r="61" ht="15.75" customHeight="1">
      <c r="A61" s="439"/>
      <c r="B61" s="439"/>
      <c r="C61" s="439"/>
      <c r="D61" s="440"/>
      <c r="E61" s="440"/>
      <c r="F61" s="439"/>
      <c r="G61" s="441"/>
      <c r="H61" s="439"/>
      <c r="I61" s="439"/>
      <c r="J61" s="439"/>
    </row>
    <row r="62" ht="15.75" customHeight="1">
      <c r="A62" s="439"/>
      <c r="B62" s="439"/>
      <c r="C62" s="439"/>
      <c r="D62" s="440"/>
      <c r="E62" s="440"/>
      <c r="F62" s="439"/>
      <c r="G62" s="441"/>
      <c r="H62" s="439"/>
      <c r="I62" s="439"/>
      <c r="J62" s="439"/>
    </row>
    <row r="63" ht="15.75" customHeight="1">
      <c r="A63" s="439"/>
      <c r="B63" s="439"/>
      <c r="C63" s="439"/>
      <c r="D63" s="440"/>
      <c r="E63" s="440"/>
      <c r="F63" s="439"/>
      <c r="G63" s="441"/>
      <c r="H63" s="439"/>
      <c r="I63" s="439"/>
      <c r="J63" s="439"/>
    </row>
    <row r="64" ht="15.75" customHeight="1">
      <c r="A64" s="439"/>
      <c r="B64" s="439"/>
      <c r="C64" s="439"/>
      <c r="D64" s="440"/>
      <c r="E64" s="440"/>
      <c r="F64" s="439"/>
      <c r="G64" s="441"/>
      <c r="H64" s="439"/>
      <c r="I64" s="439"/>
      <c r="J64" s="439"/>
    </row>
    <row r="65" ht="15.75" customHeight="1">
      <c r="A65" s="439"/>
      <c r="B65" s="439"/>
      <c r="C65" s="439"/>
      <c r="D65" s="440"/>
      <c r="E65" s="440"/>
      <c r="F65" s="439"/>
      <c r="G65" s="441"/>
      <c r="H65" s="439"/>
      <c r="I65" s="439"/>
      <c r="J65" s="439"/>
    </row>
    <row r="66" ht="15.75" customHeight="1">
      <c r="A66" s="439"/>
      <c r="B66" s="439"/>
      <c r="C66" s="439"/>
      <c r="D66" s="440"/>
      <c r="E66" s="440"/>
      <c r="F66" s="439"/>
      <c r="G66" s="441"/>
      <c r="H66" s="439"/>
      <c r="I66" s="439"/>
      <c r="J66" s="439"/>
    </row>
    <row r="67" ht="15.75" customHeight="1">
      <c r="A67" s="439"/>
      <c r="B67" s="439"/>
      <c r="C67" s="439"/>
      <c r="D67" s="440"/>
      <c r="E67" s="440"/>
      <c r="F67" s="439"/>
      <c r="G67" s="441"/>
      <c r="H67" s="439"/>
      <c r="I67" s="439"/>
      <c r="J67" s="439"/>
    </row>
    <row r="68" ht="15.75" customHeight="1">
      <c r="A68" s="439"/>
      <c r="B68" s="439"/>
      <c r="C68" s="439"/>
      <c r="D68" s="440"/>
      <c r="E68" s="440"/>
      <c r="F68" s="439"/>
      <c r="G68" s="441"/>
      <c r="H68" s="439"/>
      <c r="I68" s="439"/>
      <c r="J68" s="439"/>
    </row>
    <row r="69" ht="15.75" customHeight="1">
      <c r="A69" s="439"/>
      <c r="B69" s="439"/>
      <c r="C69" s="439"/>
      <c r="D69" s="440"/>
      <c r="E69" s="440"/>
      <c r="F69" s="439"/>
      <c r="G69" s="441"/>
      <c r="H69" s="439"/>
      <c r="I69" s="439"/>
      <c r="J69" s="439"/>
    </row>
    <row r="70" ht="15.75" customHeight="1">
      <c r="A70" s="439"/>
      <c r="B70" s="439"/>
      <c r="C70" s="439"/>
      <c r="D70" s="440"/>
      <c r="E70" s="440"/>
      <c r="F70" s="439"/>
      <c r="G70" s="441"/>
      <c r="H70" s="439"/>
      <c r="I70" s="439"/>
      <c r="J70" s="439"/>
    </row>
    <row r="71" ht="15.75" customHeight="1">
      <c r="A71" s="439"/>
      <c r="B71" s="439"/>
      <c r="C71" s="439"/>
      <c r="D71" s="440"/>
      <c r="E71" s="440"/>
      <c r="F71" s="439"/>
      <c r="G71" s="441"/>
      <c r="H71" s="439"/>
      <c r="I71" s="439"/>
      <c r="J71" s="439"/>
    </row>
    <row r="72" ht="15.75" customHeight="1">
      <c r="A72" s="439"/>
      <c r="B72" s="439"/>
      <c r="C72" s="439"/>
      <c r="D72" s="440"/>
      <c r="E72" s="440"/>
      <c r="F72" s="439"/>
      <c r="G72" s="441"/>
      <c r="H72" s="439"/>
      <c r="I72" s="439"/>
      <c r="J72" s="439"/>
    </row>
    <row r="73" ht="15.75" customHeight="1">
      <c r="A73" s="439"/>
      <c r="B73" s="439"/>
      <c r="C73" s="439"/>
      <c r="D73" s="440"/>
      <c r="E73" s="440"/>
      <c r="F73" s="439"/>
      <c r="G73" s="441"/>
      <c r="H73" s="439"/>
      <c r="I73" s="439"/>
      <c r="J73" s="439"/>
    </row>
    <row r="74" ht="15.75" customHeight="1">
      <c r="A74" s="439"/>
      <c r="B74" s="439"/>
      <c r="C74" s="439"/>
      <c r="D74" s="440"/>
      <c r="E74" s="440"/>
      <c r="F74" s="439"/>
      <c r="G74" s="441"/>
      <c r="H74" s="439"/>
      <c r="I74" s="439"/>
      <c r="J74" s="439"/>
    </row>
    <row r="75" ht="15.75" customHeight="1">
      <c r="A75" s="439"/>
      <c r="B75" s="439"/>
      <c r="C75" s="439"/>
      <c r="D75" s="440"/>
      <c r="E75" s="440"/>
      <c r="F75" s="439"/>
      <c r="G75" s="441"/>
      <c r="H75" s="439"/>
      <c r="I75" s="439"/>
      <c r="J75" s="439"/>
    </row>
    <row r="76" ht="15.75" customHeight="1">
      <c r="A76" s="439"/>
      <c r="B76" s="439"/>
      <c r="C76" s="439"/>
      <c r="D76" s="440"/>
      <c r="E76" s="440"/>
      <c r="F76" s="439"/>
      <c r="G76" s="441"/>
      <c r="H76" s="439"/>
      <c r="I76" s="439"/>
      <c r="J76" s="439"/>
    </row>
    <row r="77" ht="15.75" customHeight="1">
      <c r="A77" s="439"/>
      <c r="B77" s="439"/>
      <c r="C77" s="439"/>
      <c r="D77" s="440"/>
      <c r="E77" s="440"/>
      <c r="F77" s="439"/>
      <c r="G77" s="441"/>
      <c r="H77" s="439"/>
      <c r="I77" s="439"/>
      <c r="J77" s="439"/>
    </row>
    <row r="78" ht="15.75" customHeight="1">
      <c r="A78" s="439"/>
      <c r="B78" s="439"/>
      <c r="C78" s="439"/>
      <c r="D78" s="440"/>
      <c r="E78" s="440"/>
      <c r="F78" s="439"/>
      <c r="G78" s="441"/>
      <c r="H78" s="439"/>
      <c r="I78" s="439"/>
      <c r="J78" s="439"/>
    </row>
    <row r="79" ht="15.75" customHeight="1">
      <c r="A79" s="439"/>
      <c r="B79" s="439"/>
      <c r="C79" s="439"/>
      <c r="D79" s="440"/>
      <c r="E79" s="440"/>
      <c r="F79" s="439"/>
      <c r="G79" s="441"/>
      <c r="H79" s="439"/>
      <c r="I79" s="439"/>
      <c r="J79" s="439"/>
    </row>
    <row r="80" ht="15.75" customHeight="1">
      <c r="A80" s="439"/>
      <c r="B80" s="439"/>
      <c r="C80" s="439"/>
      <c r="D80" s="440"/>
      <c r="E80" s="440"/>
      <c r="F80" s="439"/>
      <c r="G80" s="441"/>
      <c r="H80" s="439"/>
      <c r="I80" s="439"/>
      <c r="J80" s="439"/>
    </row>
    <row r="81" ht="15.75" customHeight="1">
      <c r="A81" s="439"/>
      <c r="B81" s="439"/>
      <c r="C81" s="439"/>
      <c r="D81" s="440"/>
      <c r="E81" s="440"/>
      <c r="F81" s="439"/>
      <c r="G81" s="441"/>
      <c r="H81" s="439"/>
      <c r="I81" s="439"/>
      <c r="J81" s="439"/>
    </row>
    <row r="82" ht="15.75" customHeight="1">
      <c r="A82" s="439"/>
      <c r="B82" s="439"/>
      <c r="C82" s="439"/>
      <c r="D82" s="440"/>
      <c r="E82" s="440"/>
      <c r="F82" s="439"/>
      <c r="G82" s="441"/>
      <c r="H82" s="439"/>
      <c r="I82" s="439"/>
      <c r="J82" s="439"/>
    </row>
    <row r="83" ht="15.75" customHeight="1">
      <c r="A83" s="439"/>
      <c r="B83" s="439"/>
      <c r="C83" s="439"/>
      <c r="D83" s="440"/>
      <c r="E83" s="440"/>
      <c r="F83" s="439"/>
      <c r="G83" s="441"/>
      <c r="H83" s="439"/>
      <c r="I83" s="439"/>
      <c r="J83" s="439"/>
    </row>
    <row r="84" ht="15.75" customHeight="1">
      <c r="A84" s="439"/>
      <c r="B84" s="439"/>
      <c r="C84" s="439"/>
      <c r="D84" s="440"/>
      <c r="E84" s="440"/>
      <c r="F84" s="439"/>
      <c r="G84" s="441"/>
      <c r="H84" s="439"/>
      <c r="I84" s="439"/>
      <c r="J84" s="439"/>
    </row>
    <row r="85" ht="15.75" customHeight="1">
      <c r="A85" s="439"/>
      <c r="B85" s="439"/>
      <c r="C85" s="439"/>
      <c r="D85" s="440"/>
      <c r="E85" s="440"/>
      <c r="F85" s="439"/>
      <c r="G85" s="441"/>
      <c r="H85" s="439"/>
      <c r="I85" s="439"/>
      <c r="J85" s="439"/>
    </row>
    <row r="86" ht="15.75" customHeight="1">
      <c r="A86" s="439"/>
      <c r="B86" s="439"/>
      <c r="C86" s="439"/>
      <c r="D86" s="440"/>
      <c r="E86" s="440"/>
      <c r="F86" s="439"/>
      <c r="G86" s="441"/>
      <c r="H86" s="439"/>
      <c r="I86" s="439"/>
      <c r="J86" s="439"/>
    </row>
    <row r="87" ht="15.75" customHeight="1">
      <c r="A87" s="439"/>
      <c r="B87" s="439"/>
      <c r="C87" s="439"/>
      <c r="D87" s="440"/>
      <c r="E87" s="440"/>
      <c r="F87" s="439"/>
      <c r="G87" s="441"/>
      <c r="H87" s="439"/>
      <c r="I87" s="439"/>
      <c r="J87" s="439"/>
    </row>
    <row r="88" ht="15.75" customHeight="1">
      <c r="A88" s="439"/>
      <c r="B88" s="439"/>
      <c r="C88" s="439"/>
      <c r="D88" s="440"/>
      <c r="E88" s="440"/>
      <c r="F88" s="439"/>
      <c r="G88" s="441"/>
      <c r="H88" s="439"/>
      <c r="I88" s="439"/>
      <c r="J88" s="439"/>
    </row>
    <row r="89" ht="15.75" customHeight="1">
      <c r="A89" s="439"/>
      <c r="B89" s="439"/>
      <c r="C89" s="439"/>
      <c r="D89" s="440"/>
      <c r="E89" s="440"/>
      <c r="F89" s="439"/>
      <c r="G89" s="441"/>
      <c r="H89" s="439"/>
      <c r="I89" s="439"/>
      <c r="J89" s="439"/>
    </row>
    <row r="90" ht="15.75" customHeight="1">
      <c r="A90" s="439"/>
      <c r="B90" s="439"/>
      <c r="C90" s="439"/>
      <c r="D90" s="440"/>
      <c r="E90" s="440"/>
      <c r="F90" s="439"/>
      <c r="G90" s="441"/>
      <c r="H90" s="439"/>
      <c r="I90" s="439"/>
      <c r="J90" s="439"/>
    </row>
    <row r="91" ht="15.75" customHeight="1">
      <c r="A91" s="439"/>
      <c r="B91" s="439"/>
      <c r="C91" s="439"/>
      <c r="D91" s="440"/>
      <c r="E91" s="440"/>
      <c r="F91" s="439"/>
      <c r="G91" s="441"/>
      <c r="H91" s="439"/>
      <c r="I91" s="439"/>
      <c r="J91" s="439"/>
    </row>
    <row r="92" ht="15.75" customHeight="1">
      <c r="A92" s="439"/>
      <c r="B92" s="439"/>
      <c r="C92" s="439"/>
      <c r="D92" s="440"/>
      <c r="E92" s="440"/>
      <c r="F92" s="439"/>
      <c r="G92" s="441"/>
      <c r="H92" s="439"/>
      <c r="I92" s="439"/>
      <c r="J92" s="439"/>
    </row>
    <row r="93" ht="15.75" customHeight="1">
      <c r="A93" s="439"/>
      <c r="B93" s="439"/>
      <c r="C93" s="439"/>
      <c r="D93" s="440"/>
      <c r="E93" s="440"/>
      <c r="F93" s="439"/>
      <c r="G93" s="441"/>
      <c r="H93" s="439"/>
      <c r="I93" s="439"/>
      <c r="J93" s="439"/>
    </row>
    <row r="94" ht="15.75" customHeight="1">
      <c r="A94" s="439"/>
      <c r="B94" s="439"/>
      <c r="C94" s="439"/>
      <c r="D94" s="440"/>
      <c r="E94" s="440"/>
      <c r="F94" s="439"/>
      <c r="G94" s="441"/>
      <c r="H94" s="439"/>
      <c r="I94" s="439"/>
      <c r="J94" s="439"/>
    </row>
    <row r="95" ht="15.75" customHeight="1">
      <c r="A95" s="439"/>
      <c r="B95" s="439"/>
      <c r="C95" s="439"/>
      <c r="D95" s="440"/>
      <c r="E95" s="440"/>
      <c r="F95" s="439"/>
      <c r="G95" s="441"/>
      <c r="H95" s="439"/>
      <c r="I95" s="439"/>
      <c r="J95" s="439"/>
    </row>
    <row r="96" ht="15.75" customHeight="1">
      <c r="A96" s="439"/>
      <c r="B96" s="439"/>
      <c r="C96" s="439"/>
      <c r="D96" s="440"/>
      <c r="E96" s="440"/>
      <c r="F96" s="439"/>
      <c r="G96" s="441"/>
      <c r="H96" s="439"/>
      <c r="I96" s="439"/>
      <c r="J96" s="439"/>
    </row>
    <row r="97" ht="15.75" customHeight="1">
      <c r="A97" s="439"/>
      <c r="B97" s="439"/>
      <c r="C97" s="439"/>
      <c r="D97" s="440"/>
      <c r="E97" s="440"/>
      <c r="F97" s="439"/>
      <c r="G97" s="441"/>
      <c r="H97" s="439"/>
      <c r="I97" s="439"/>
      <c r="J97" s="439"/>
    </row>
    <row r="98" ht="15.75" customHeight="1">
      <c r="A98" s="439"/>
      <c r="B98" s="439"/>
      <c r="C98" s="439"/>
      <c r="D98" s="440"/>
      <c r="E98" s="440"/>
      <c r="F98" s="439"/>
      <c r="G98" s="441"/>
      <c r="H98" s="439"/>
      <c r="I98" s="439"/>
      <c r="J98" s="439"/>
    </row>
    <row r="99" ht="15.75" customHeight="1">
      <c r="A99" s="439"/>
      <c r="B99" s="439"/>
      <c r="C99" s="439"/>
      <c r="D99" s="440"/>
      <c r="E99" s="440"/>
      <c r="F99" s="439"/>
      <c r="G99" s="441"/>
      <c r="H99" s="439"/>
      <c r="I99" s="439"/>
      <c r="J99" s="439"/>
    </row>
    <row r="100" ht="15.75" customHeight="1">
      <c r="A100" s="439"/>
      <c r="B100" s="439"/>
      <c r="C100" s="439"/>
      <c r="D100" s="440"/>
      <c r="E100" s="440"/>
      <c r="F100" s="439"/>
      <c r="G100" s="441"/>
      <c r="H100" s="439"/>
      <c r="I100" s="439"/>
      <c r="J100" s="439"/>
    </row>
    <row r="101" ht="15.75" customHeight="1">
      <c r="A101" s="439"/>
      <c r="B101" s="439"/>
      <c r="C101" s="439"/>
      <c r="D101" s="440"/>
      <c r="E101" s="440"/>
      <c r="F101" s="439"/>
      <c r="G101" s="441"/>
      <c r="H101" s="439"/>
      <c r="I101" s="439"/>
      <c r="J101" s="439"/>
    </row>
    <row r="102" ht="15.75" customHeight="1">
      <c r="A102" s="439"/>
      <c r="B102" s="439"/>
      <c r="C102" s="439"/>
      <c r="D102" s="440"/>
      <c r="E102" s="440"/>
      <c r="F102" s="439"/>
      <c r="G102" s="441"/>
      <c r="H102" s="439"/>
      <c r="I102" s="439"/>
      <c r="J102" s="439"/>
    </row>
    <row r="103" ht="15.75" customHeight="1">
      <c r="A103" s="439"/>
      <c r="B103" s="439"/>
      <c r="C103" s="439"/>
      <c r="D103" s="440"/>
      <c r="E103" s="440"/>
      <c r="F103" s="439"/>
      <c r="G103" s="441"/>
      <c r="H103" s="439"/>
      <c r="I103" s="439"/>
      <c r="J103" s="439"/>
    </row>
    <row r="104" ht="15.75" customHeight="1">
      <c r="A104" s="439"/>
      <c r="B104" s="439"/>
      <c r="C104" s="439"/>
      <c r="D104" s="440"/>
      <c r="E104" s="440"/>
      <c r="F104" s="439"/>
      <c r="G104" s="441"/>
      <c r="H104" s="439"/>
      <c r="I104" s="439"/>
      <c r="J104" s="439"/>
    </row>
    <row r="105" ht="15.75" customHeight="1">
      <c r="A105" s="439"/>
      <c r="B105" s="439"/>
      <c r="C105" s="439"/>
      <c r="D105" s="440"/>
      <c r="E105" s="440"/>
      <c r="F105" s="439"/>
      <c r="G105" s="441"/>
      <c r="H105" s="439"/>
      <c r="I105" s="439"/>
      <c r="J105" s="439"/>
    </row>
    <row r="106" ht="15.75" customHeight="1">
      <c r="A106" s="439"/>
      <c r="B106" s="439"/>
      <c r="C106" s="439"/>
      <c r="D106" s="440"/>
      <c r="E106" s="440"/>
      <c r="F106" s="439"/>
      <c r="G106" s="441"/>
      <c r="H106" s="439"/>
      <c r="I106" s="439"/>
      <c r="J106" s="439"/>
    </row>
    <row r="107" ht="15.75" customHeight="1">
      <c r="A107" s="439"/>
      <c r="B107" s="439"/>
      <c r="C107" s="439"/>
      <c r="D107" s="440"/>
      <c r="E107" s="440"/>
      <c r="F107" s="439"/>
      <c r="G107" s="441"/>
      <c r="H107" s="439"/>
      <c r="I107" s="439"/>
      <c r="J107" s="439"/>
    </row>
    <row r="108" ht="15.75" customHeight="1">
      <c r="A108" s="439"/>
      <c r="B108" s="439"/>
      <c r="C108" s="439"/>
      <c r="D108" s="440"/>
      <c r="E108" s="440"/>
      <c r="F108" s="439"/>
      <c r="G108" s="441"/>
      <c r="H108" s="439"/>
      <c r="I108" s="439"/>
      <c r="J108" s="439"/>
    </row>
    <row r="109" ht="15.75" customHeight="1">
      <c r="A109" s="439"/>
      <c r="B109" s="439"/>
      <c r="C109" s="439"/>
      <c r="D109" s="440"/>
      <c r="E109" s="440"/>
      <c r="F109" s="439"/>
      <c r="G109" s="441"/>
      <c r="H109" s="439"/>
      <c r="I109" s="439"/>
      <c r="J109" s="439"/>
    </row>
    <row r="110" ht="15.75" customHeight="1">
      <c r="A110" s="439"/>
      <c r="B110" s="439"/>
      <c r="C110" s="439"/>
      <c r="D110" s="440"/>
      <c r="E110" s="440"/>
      <c r="F110" s="439"/>
      <c r="G110" s="441"/>
      <c r="H110" s="439"/>
      <c r="I110" s="439"/>
      <c r="J110" s="439"/>
    </row>
    <row r="111" ht="15.75" customHeight="1">
      <c r="A111" s="439"/>
      <c r="B111" s="439"/>
      <c r="C111" s="439"/>
      <c r="D111" s="440"/>
      <c r="E111" s="440"/>
      <c r="F111" s="439"/>
      <c r="G111" s="441"/>
      <c r="H111" s="439"/>
      <c r="I111" s="439"/>
      <c r="J111" s="439"/>
    </row>
    <row r="112" ht="15.75" customHeight="1">
      <c r="A112" s="439"/>
      <c r="B112" s="439"/>
      <c r="C112" s="439"/>
      <c r="D112" s="440"/>
      <c r="E112" s="440"/>
      <c r="F112" s="439"/>
      <c r="G112" s="441"/>
      <c r="H112" s="439"/>
      <c r="I112" s="439"/>
      <c r="J112" s="439"/>
    </row>
    <row r="113" ht="15.75" customHeight="1">
      <c r="A113" s="439"/>
      <c r="B113" s="439"/>
      <c r="C113" s="439"/>
      <c r="D113" s="440"/>
      <c r="E113" s="440"/>
      <c r="F113" s="439"/>
      <c r="G113" s="441"/>
      <c r="H113" s="439"/>
      <c r="I113" s="439"/>
      <c r="J113" s="439"/>
    </row>
    <row r="114" ht="15.75" customHeight="1">
      <c r="A114" s="439"/>
      <c r="B114" s="439"/>
      <c r="C114" s="439"/>
      <c r="D114" s="440"/>
      <c r="E114" s="440"/>
      <c r="F114" s="439"/>
      <c r="G114" s="441"/>
      <c r="H114" s="439"/>
      <c r="I114" s="439"/>
      <c r="J114" s="439"/>
    </row>
    <row r="115" ht="15.75" customHeight="1">
      <c r="A115" s="439"/>
      <c r="B115" s="439"/>
      <c r="C115" s="439"/>
      <c r="D115" s="440"/>
      <c r="E115" s="440"/>
      <c r="F115" s="439"/>
      <c r="G115" s="441"/>
      <c r="H115" s="439"/>
      <c r="I115" s="439"/>
      <c r="J115" s="439"/>
    </row>
    <row r="116" ht="15.75" customHeight="1">
      <c r="A116" s="439"/>
      <c r="B116" s="439"/>
      <c r="C116" s="439"/>
      <c r="D116" s="440"/>
      <c r="E116" s="440"/>
      <c r="F116" s="439"/>
      <c r="G116" s="441"/>
      <c r="H116" s="439"/>
      <c r="I116" s="439"/>
      <c r="J116" s="439"/>
    </row>
    <row r="117" ht="15.75" customHeight="1">
      <c r="A117" s="439"/>
      <c r="B117" s="439"/>
      <c r="C117" s="439"/>
      <c r="D117" s="440"/>
      <c r="E117" s="440"/>
      <c r="F117" s="439"/>
      <c r="G117" s="441"/>
      <c r="H117" s="439"/>
      <c r="I117" s="439"/>
      <c r="J117" s="439"/>
    </row>
    <row r="118" ht="15.75" customHeight="1">
      <c r="A118" s="439"/>
      <c r="B118" s="439"/>
      <c r="C118" s="439"/>
      <c r="D118" s="440"/>
      <c r="E118" s="440"/>
      <c r="F118" s="439"/>
      <c r="G118" s="441"/>
      <c r="H118" s="439"/>
      <c r="I118" s="439"/>
      <c r="J118" s="439"/>
    </row>
    <row r="119" ht="15.75" customHeight="1">
      <c r="A119" s="439"/>
      <c r="B119" s="439"/>
      <c r="C119" s="439"/>
      <c r="D119" s="440"/>
      <c r="E119" s="440"/>
      <c r="F119" s="439"/>
      <c r="G119" s="441"/>
      <c r="H119" s="439"/>
      <c r="I119" s="439"/>
      <c r="J119" s="439"/>
    </row>
    <row r="120" ht="15.75" customHeight="1">
      <c r="A120" s="439"/>
      <c r="B120" s="439"/>
      <c r="C120" s="439"/>
      <c r="D120" s="440"/>
      <c r="E120" s="440"/>
      <c r="F120" s="439"/>
      <c r="G120" s="441"/>
      <c r="H120" s="439"/>
      <c r="I120" s="439"/>
      <c r="J120" s="439"/>
    </row>
    <row r="121" ht="15.75" customHeight="1">
      <c r="A121" s="439"/>
      <c r="B121" s="439"/>
      <c r="C121" s="439"/>
      <c r="D121" s="440"/>
      <c r="E121" s="440"/>
      <c r="F121" s="439"/>
      <c r="G121" s="441"/>
      <c r="H121" s="439"/>
      <c r="I121" s="439"/>
      <c r="J121" s="439"/>
    </row>
    <row r="122" ht="15.75" customHeight="1">
      <c r="A122" s="439"/>
      <c r="B122" s="439"/>
      <c r="C122" s="439"/>
      <c r="D122" s="440"/>
      <c r="E122" s="440"/>
      <c r="F122" s="439"/>
      <c r="G122" s="441"/>
      <c r="H122" s="439"/>
      <c r="I122" s="439"/>
      <c r="J122" s="439"/>
    </row>
    <row r="123" ht="15.75" customHeight="1">
      <c r="A123" s="439"/>
      <c r="B123" s="439"/>
      <c r="C123" s="439"/>
      <c r="D123" s="440"/>
      <c r="E123" s="440"/>
      <c r="F123" s="439"/>
      <c r="G123" s="441"/>
      <c r="H123" s="439"/>
      <c r="I123" s="439"/>
      <c r="J123" s="439"/>
    </row>
    <row r="124" ht="15.75" customHeight="1">
      <c r="A124" s="439"/>
      <c r="B124" s="439"/>
      <c r="C124" s="439"/>
      <c r="D124" s="440"/>
      <c r="E124" s="440"/>
      <c r="F124" s="439"/>
      <c r="G124" s="441"/>
      <c r="H124" s="439"/>
      <c r="I124" s="439"/>
      <c r="J124" s="439"/>
    </row>
    <row r="125" ht="15.75" customHeight="1">
      <c r="A125" s="439"/>
      <c r="B125" s="439"/>
      <c r="C125" s="439"/>
      <c r="D125" s="440"/>
      <c r="E125" s="440"/>
      <c r="F125" s="439"/>
      <c r="G125" s="441"/>
      <c r="H125" s="439"/>
      <c r="I125" s="439"/>
      <c r="J125" s="439"/>
    </row>
    <row r="126" ht="15.75" customHeight="1">
      <c r="A126" s="439"/>
      <c r="B126" s="439"/>
      <c r="C126" s="439"/>
      <c r="D126" s="440"/>
      <c r="E126" s="440"/>
      <c r="F126" s="439"/>
      <c r="G126" s="441"/>
      <c r="H126" s="439"/>
      <c r="I126" s="439"/>
      <c r="J126" s="439"/>
    </row>
    <row r="127" ht="15.75" customHeight="1">
      <c r="A127" s="439"/>
      <c r="B127" s="439"/>
      <c r="C127" s="439"/>
      <c r="D127" s="440"/>
      <c r="E127" s="440"/>
      <c r="F127" s="439"/>
      <c r="G127" s="441"/>
      <c r="H127" s="439"/>
      <c r="I127" s="439"/>
      <c r="J127" s="439"/>
    </row>
    <row r="128" ht="15.75" customHeight="1">
      <c r="A128" s="439"/>
      <c r="B128" s="439"/>
      <c r="C128" s="439"/>
      <c r="D128" s="440"/>
      <c r="E128" s="440"/>
      <c r="F128" s="439"/>
      <c r="G128" s="441"/>
      <c r="H128" s="439"/>
      <c r="I128" s="439"/>
      <c r="J128" s="439"/>
    </row>
    <row r="129" ht="15.75" customHeight="1">
      <c r="A129" s="439"/>
      <c r="B129" s="439"/>
      <c r="C129" s="439"/>
      <c r="D129" s="440"/>
      <c r="E129" s="440"/>
      <c r="F129" s="439"/>
      <c r="G129" s="441"/>
      <c r="H129" s="439"/>
      <c r="I129" s="439"/>
      <c r="J129" s="439"/>
    </row>
    <row r="130" ht="15.75" customHeight="1">
      <c r="A130" s="439"/>
      <c r="B130" s="439"/>
      <c r="C130" s="439"/>
      <c r="D130" s="440"/>
      <c r="E130" s="440"/>
      <c r="F130" s="439"/>
      <c r="G130" s="441"/>
      <c r="H130" s="439"/>
      <c r="I130" s="439"/>
      <c r="J130" s="439"/>
    </row>
    <row r="131" ht="15.75" customHeight="1">
      <c r="A131" s="439"/>
      <c r="B131" s="439"/>
      <c r="C131" s="439"/>
      <c r="D131" s="440"/>
      <c r="E131" s="440"/>
      <c r="F131" s="439"/>
      <c r="G131" s="441"/>
      <c r="H131" s="439"/>
      <c r="I131" s="439"/>
      <c r="J131" s="439"/>
    </row>
    <row r="132" ht="15.75" customHeight="1">
      <c r="A132" s="439"/>
      <c r="B132" s="439"/>
      <c r="C132" s="439"/>
      <c r="D132" s="440"/>
      <c r="E132" s="440"/>
      <c r="F132" s="439"/>
      <c r="G132" s="441"/>
      <c r="H132" s="439"/>
      <c r="I132" s="439"/>
      <c r="J132" s="439"/>
    </row>
    <row r="133" ht="15.75" customHeight="1">
      <c r="A133" s="439"/>
      <c r="B133" s="439"/>
      <c r="C133" s="439"/>
      <c r="D133" s="440"/>
      <c r="E133" s="440"/>
      <c r="F133" s="439"/>
      <c r="G133" s="441"/>
      <c r="H133" s="439"/>
      <c r="I133" s="439"/>
      <c r="J133" s="439"/>
    </row>
    <row r="134" ht="15.75" customHeight="1">
      <c r="A134" s="439"/>
      <c r="B134" s="439"/>
      <c r="C134" s="439"/>
      <c r="D134" s="440"/>
      <c r="E134" s="440"/>
      <c r="F134" s="439"/>
      <c r="G134" s="441"/>
      <c r="H134" s="439"/>
      <c r="I134" s="439"/>
      <c r="J134" s="439"/>
    </row>
    <row r="135" ht="15.75" customHeight="1">
      <c r="A135" s="439"/>
      <c r="B135" s="439"/>
      <c r="C135" s="439"/>
      <c r="D135" s="440"/>
      <c r="E135" s="440"/>
      <c r="F135" s="439"/>
      <c r="G135" s="441"/>
      <c r="H135" s="439"/>
      <c r="I135" s="439"/>
      <c r="J135" s="439"/>
    </row>
    <row r="136" ht="15.75" customHeight="1">
      <c r="A136" s="439"/>
      <c r="B136" s="439"/>
      <c r="C136" s="439"/>
      <c r="D136" s="440"/>
      <c r="E136" s="440"/>
      <c r="F136" s="439"/>
      <c r="G136" s="441"/>
      <c r="H136" s="439"/>
      <c r="I136" s="439"/>
      <c r="J136" s="439"/>
    </row>
    <row r="137" ht="15.75" customHeight="1">
      <c r="A137" s="439"/>
      <c r="B137" s="439"/>
      <c r="C137" s="439"/>
      <c r="D137" s="440"/>
      <c r="E137" s="440"/>
      <c r="F137" s="439"/>
      <c r="G137" s="441"/>
      <c r="H137" s="439"/>
      <c r="I137" s="439"/>
      <c r="J137" s="439"/>
    </row>
    <row r="138" ht="15.75" customHeight="1">
      <c r="A138" s="439"/>
      <c r="B138" s="439"/>
      <c r="C138" s="439"/>
      <c r="D138" s="440"/>
      <c r="E138" s="440"/>
      <c r="F138" s="439"/>
      <c r="G138" s="441"/>
      <c r="H138" s="439"/>
      <c r="I138" s="439"/>
      <c r="J138" s="439"/>
    </row>
    <row r="139" ht="15.75" customHeight="1">
      <c r="A139" s="439"/>
      <c r="B139" s="439"/>
      <c r="C139" s="439"/>
      <c r="D139" s="440"/>
      <c r="E139" s="440"/>
      <c r="F139" s="439"/>
      <c r="G139" s="441"/>
      <c r="H139" s="439"/>
      <c r="I139" s="439"/>
      <c r="J139" s="439"/>
    </row>
    <row r="140" ht="15.75" customHeight="1">
      <c r="A140" s="439"/>
      <c r="B140" s="439"/>
      <c r="C140" s="439"/>
      <c r="D140" s="440"/>
      <c r="E140" s="440"/>
      <c r="F140" s="439"/>
      <c r="G140" s="441"/>
      <c r="H140" s="439"/>
      <c r="I140" s="439"/>
      <c r="J140" s="439"/>
    </row>
    <row r="141" ht="15.75" customHeight="1">
      <c r="A141" s="439"/>
      <c r="B141" s="439"/>
      <c r="C141" s="439"/>
      <c r="D141" s="440"/>
      <c r="E141" s="440"/>
      <c r="F141" s="439"/>
      <c r="G141" s="441"/>
      <c r="H141" s="439"/>
      <c r="I141" s="439"/>
      <c r="J141" s="439"/>
    </row>
    <row r="142" ht="15.75" customHeight="1">
      <c r="A142" s="439"/>
      <c r="B142" s="439"/>
      <c r="C142" s="439"/>
      <c r="D142" s="440"/>
      <c r="E142" s="440"/>
      <c r="F142" s="439"/>
      <c r="G142" s="441"/>
      <c r="H142" s="439"/>
      <c r="I142" s="439"/>
      <c r="J142" s="439"/>
    </row>
    <row r="143" ht="15.75" customHeight="1">
      <c r="A143" s="439"/>
      <c r="B143" s="439"/>
      <c r="C143" s="439"/>
      <c r="D143" s="440"/>
      <c r="E143" s="440"/>
      <c r="F143" s="439"/>
      <c r="G143" s="441"/>
      <c r="H143" s="439"/>
      <c r="I143" s="439"/>
      <c r="J143" s="439"/>
    </row>
    <row r="144" ht="15.75" customHeight="1">
      <c r="A144" s="439"/>
      <c r="B144" s="439"/>
      <c r="C144" s="439"/>
      <c r="D144" s="440"/>
      <c r="E144" s="440"/>
      <c r="F144" s="439"/>
      <c r="G144" s="441"/>
      <c r="H144" s="439"/>
      <c r="I144" s="439"/>
      <c r="J144" s="439"/>
    </row>
    <row r="145" ht="15.75" customHeight="1">
      <c r="A145" s="439"/>
      <c r="B145" s="439"/>
      <c r="C145" s="439"/>
      <c r="D145" s="440"/>
      <c r="E145" s="440"/>
      <c r="F145" s="439"/>
      <c r="G145" s="441"/>
      <c r="H145" s="439"/>
      <c r="I145" s="439"/>
      <c r="J145" s="439"/>
    </row>
    <row r="146" ht="15.75" customHeight="1">
      <c r="A146" s="439"/>
      <c r="B146" s="439"/>
      <c r="C146" s="439"/>
      <c r="D146" s="440"/>
      <c r="E146" s="440"/>
      <c r="F146" s="439"/>
      <c r="G146" s="441"/>
      <c r="H146" s="439"/>
      <c r="I146" s="439"/>
      <c r="J146" s="439"/>
    </row>
    <row r="147" ht="15.75" customHeight="1">
      <c r="A147" s="439"/>
      <c r="B147" s="439"/>
      <c r="C147" s="439"/>
      <c r="D147" s="440"/>
      <c r="E147" s="440"/>
      <c r="F147" s="439"/>
      <c r="G147" s="441"/>
      <c r="H147" s="439"/>
      <c r="I147" s="439"/>
      <c r="J147" s="439"/>
    </row>
    <row r="148" ht="15.75" customHeight="1">
      <c r="A148" s="439"/>
      <c r="B148" s="439"/>
      <c r="C148" s="439"/>
      <c r="D148" s="440"/>
      <c r="E148" s="440"/>
      <c r="F148" s="439"/>
      <c r="G148" s="441"/>
      <c r="H148" s="439"/>
      <c r="I148" s="439"/>
      <c r="J148" s="439"/>
    </row>
    <row r="149" ht="15.75" customHeight="1">
      <c r="A149" s="439"/>
      <c r="B149" s="439"/>
      <c r="C149" s="439"/>
      <c r="D149" s="440"/>
      <c r="E149" s="440"/>
      <c r="F149" s="439"/>
      <c r="G149" s="441"/>
      <c r="H149" s="439"/>
      <c r="I149" s="439"/>
      <c r="J149" s="439"/>
    </row>
    <row r="150" ht="15.75" customHeight="1">
      <c r="A150" s="439"/>
      <c r="B150" s="439"/>
      <c r="C150" s="439"/>
      <c r="D150" s="440"/>
      <c r="E150" s="440"/>
      <c r="F150" s="439"/>
      <c r="G150" s="441"/>
      <c r="H150" s="439"/>
      <c r="I150" s="439"/>
      <c r="J150" s="439"/>
    </row>
    <row r="151" ht="15.75" customHeight="1">
      <c r="A151" s="439"/>
      <c r="B151" s="439"/>
      <c r="C151" s="439"/>
      <c r="D151" s="440"/>
      <c r="E151" s="440"/>
      <c r="F151" s="439"/>
      <c r="G151" s="441"/>
      <c r="H151" s="439"/>
      <c r="I151" s="439"/>
      <c r="J151" s="439"/>
    </row>
    <row r="152" ht="15.75" customHeight="1">
      <c r="A152" s="439"/>
      <c r="B152" s="439"/>
      <c r="C152" s="439"/>
      <c r="D152" s="440"/>
      <c r="E152" s="440"/>
      <c r="F152" s="439"/>
      <c r="G152" s="441"/>
      <c r="H152" s="439"/>
      <c r="I152" s="439"/>
      <c r="J152" s="439"/>
    </row>
    <row r="153" ht="15.75" customHeight="1">
      <c r="A153" s="439"/>
      <c r="B153" s="439"/>
      <c r="C153" s="439"/>
      <c r="D153" s="440"/>
      <c r="E153" s="440"/>
      <c r="F153" s="439"/>
      <c r="G153" s="441"/>
      <c r="H153" s="439"/>
      <c r="I153" s="439"/>
      <c r="J153" s="439"/>
    </row>
    <row r="154" ht="15.75" customHeight="1">
      <c r="A154" s="439"/>
      <c r="B154" s="439"/>
      <c r="C154" s="439"/>
      <c r="D154" s="440"/>
      <c r="E154" s="440"/>
      <c r="F154" s="439"/>
      <c r="G154" s="441"/>
      <c r="H154" s="439"/>
      <c r="I154" s="439"/>
      <c r="J154" s="439"/>
    </row>
    <row r="155" ht="15.75" customHeight="1">
      <c r="A155" s="439"/>
      <c r="B155" s="439"/>
      <c r="C155" s="439"/>
      <c r="D155" s="440"/>
      <c r="E155" s="440"/>
      <c r="F155" s="439"/>
      <c r="G155" s="441"/>
      <c r="H155" s="439"/>
      <c r="I155" s="439"/>
      <c r="J155" s="439"/>
    </row>
    <row r="156" ht="15.75" customHeight="1">
      <c r="A156" s="439"/>
      <c r="B156" s="439"/>
      <c r="C156" s="439"/>
      <c r="D156" s="440"/>
      <c r="E156" s="440"/>
      <c r="F156" s="439"/>
      <c r="G156" s="441"/>
      <c r="H156" s="439"/>
      <c r="I156" s="439"/>
      <c r="J156" s="439"/>
    </row>
    <row r="157" ht="15.75" customHeight="1">
      <c r="A157" s="439"/>
      <c r="B157" s="439"/>
      <c r="C157" s="439"/>
      <c r="D157" s="440"/>
      <c r="E157" s="440"/>
      <c r="F157" s="439"/>
      <c r="G157" s="441"/>
      <c r="H157" s="439"/>
      <c r="I157" s="439"/>
      <c r="J157" s="439"/>
    </row>
    <row r="158" ht="15.75" customHeight="1">
      <c r="A158" s="439"/>
      <c r="B158" s="439"/>
      <c r="C158" s="439"/>
      <c r="D158" s="440"/>
      <c r="E158" s="440"/>
      <c r="F158" s="439"/>
      <c r="G158" s="441"/>
      <c r="H158" s="439"/>
      <c r="I158" s="439"/>
      <c r="J158" s="439"/>
    </row>
    <row r="159" ht="15.75" customHeight="1">
      <c r="A159" s="439"/>
      <c r="B159" s="439"/>
      <c r="C159" s="439"/>
      <c r="D159" s="440"/>
      <c r="E159" s="440"/>
      <c r="F159" s="439"/>
      <c r="G159" s="441"/>
      <c r="H159" s="439"/>
      <c r="I159" s="439"/>
      <c r="J159" s="439"/>
    </row>
    <row r="160" ht="15.75" customHeight="1">
      <c r="A160" s="439"/>
      <c r="B160" s="439"/>
      <c r="C160" s="439"/>
      <c r="D160" s="440"/>
      <c r="E160" s="440"/>
      <c r="F160" s="439"/>
      <c r="G160" s="441"/>
      <c r="H160" s="439"/>
      <c r="I160" s="439"/>
      <c r="J160" s="439"/>
    </row>
    <row r="161" ht="15.75" customHeight="1">
      <c r="A161" s="439"/>
      <c r="B161" s="439"/>
      <c r="C161" s="439"/>
      <c r="D161" s="440"/>
      <c r="E161" s="440"/>
      <c r="F161" s="439"/>
      <c r="G161" s="441"/>
      <c r="H161" s="439"/>
      <c r="I161" s="439"/>
      <c r="J161" s="439"/>
    </row>
    <row r="162" ht="15.75" customHeight="1">
      <c r="A162" s="439"/>
      <c r="B162" s="439"/>
      <c r="C162" s="439"/>
      <c r="D162" s="440"/>
      <c r="E162" s="440"/>
      <c r="F162" s="439"/>
      <c r="G162" s="441"/>
      <c r="H162" s="439"/>
      <c r="I162" s="439"/>
      <c r="J162" s="439"/>
    </row>
    <row r="163" ht="15.75" customHeight="1">
      <c r="A163" s="439"/>
      <c r="B163" s="439"/>
      <c r="C163" s="439"/>
      <c r="D163" s="440"/>
      <c r="E163" s="440"/>
      <c r="F163" s="439"/>
      <c r="G163" s="441"/>
      <c r="H163" s="439"/>
      <c r="I163" s="439"/>
      <c r="J163" s="439"/>
    </row>
    <row r="164" ht="15.75" customHeight="1">
      <c r="A164" s="439"/>
      <c r="B164" s="439"/>
      <c r="C164" s="439"/>
      <c r="D164" s="440"/>
      <c r="E164" s="440"/>
      <c r="F164" s="439"/>
      <c r="G164" s="441"/>
      <c r="H164" s="439"/>
      <c r="I164" s="439"/>
      <c r="J164" s="439"/>
    </row>
    <row r="165" ht="15.75" customHeight="1">
      <c r="A165" s="439"/>
      <c r="B165" s="439"/>
      <c r="C165" s="439"/>
      <c r="D165" s="440"/>
      <c r="E165" s="440"/>
      <c r="F165" s="439"/>
      <c r="G165" s="441"/>
      <c r="H165" s="439"/>
      <c r="I165" s="439"/>
      <c r="J165" s="439"/>
    </row>
    <row r="166" ht="15.75" customHeight="1">
      <c r="A166" s="439"/>
      <c r="B166" s="439"/>
      <c r="C166" s="439"/>
      <c r="D166" s="440"/>
      <c r="E166" s="440"/>
      <c r="F166" s="439"/>
      <c r="G166" s="441"/>
      <c r="H166" s="439"/>
      <c r="I166" s="439"/>
      <c r="J166" s="439"/>
    </row>
    <row r="167" ht="15.75" customHeight="1">
      <c r="A167" s="439"/>
      <c r="B167" s="439"/>
      <c r="C167" s="439"/>
      <c r="D167" s="440"/>
      <c r="E167" s="440"/>
      <c r="F167" s="439"/>
      <c r="G167" s="441"/>
      <c r="H167" s="439"/>
      <c r="I167" s="439"/>
      <c r="J167" s="439"/>
    </row>
    <row r="168" ht="15.75" customHeight="1">
      <c r="A168" s="439"/>
      <c r="B168" s="439"/>
      <c r="C168" s="439"/>
      <c r="D168" s="440"/>
      <c r="E168" s="440"/>
      <c r="F168" s="439"/>
      <c r="G168" s="441"/>
      <c r="H168" s="439"/>
      <c r="I168" s="439"/>
      <c r="J168" s="439"/>
    </row>
    <row r="169" ht="15.75" customHeight="1">
      <c r="A169" s="439"/>
      <c r="B169" s="439"/>
      <c r="C169" s="439"/>
      <c r="D169" s="440"/>
      <c r="E169" s="440"/>
      <c r="F169" s="439"/>
      <c r="G169" s="441"/>
      <c r="H169" s="439"/>
      <c r="I169" s="439"/>
      <c r="J169" s="439"/>
    </row>
    <row r="170" ht="15.75" customHeight="1">
      <c r="A170" s="439"/>
      <c r="B170" s="439"/>
      <c r="C170" s="439"/>
      <c r="D170" s="440"/>
      <c r="E170" s="440"/>
      <c r="F170" s="439"/>
      <c r="G170" s="441"/>
      <c r="H170" s="439"/>
      <c r="I170" s="439"/>
      <c r="J170" s="439"/>
    </row>
    <row r="171" ht="15.75" customHeight="1">
      <c r="A171" s="439"/>
      <c r="B171" s="439"/>
      <c r="C171" s="439"/>
      <c r="D171" s="440"/>
      <c r="E171" s="440"/>
      <c r="F171" s="439"/>
      <c r="G171" s="441"/>
      <c r="H171" s="439"/>
      <c r="I171" s="439"/>
      <c r="J171" s="439"/>
    </row>
    <row r="172" ht="15.75" customHeight="1">
      <c r="A172" s="439"/>
      <c r="B172" s="439"/>
      <c r="C172" s="439"/>
      <c r="D172" s="440"/>
      <c r="E172" s="440"/>
      <c r="F172" s="439"/>
      <c r="G172" s="441"/>
      <c r="H172" s="439"/>
      <c r="I172" s="439"/>
      <c r="J172" s="439"/>
    </row>
    <row r="173" ht="15.75" customHeight="1">
      <c r="A173" s="439"/>
      <c r="B173" s="439"/>
      <c r="C173" s="439"/>
      <c r="D173" s="440"/>
      <c r="E173" s="440"/>
      <c r="F173" s="439"/>
      <c r="G173" s="441"/>
      <c r="H173" s="439"/>
      <c r="I173" s="439"/>
      <c r="J173" s="439"/>
    </row>
    <row r="174" ht="15.75" customHeight="1">
      <c r="A174" s="439"/>
      <c r="B174" s="439"/>
      <c r="C174" s="439"/>
      <c r="D174" s="440"/>
      <c r="E174" s="440"/>
      <c r="F174" s="439"/>
      <c r="G174" s="441"/>
      <c r="H174" s="439"/>
      <c r="I174" s="439"/>
      <c r="J174" s="439"/>
    </row>
    <row r="175" ht="15.75" customHeight="1">
      <c r="A175" s="439"/>
      <c r="B175" s="439"/>
      <c r="C175" s="439"/>
      <c r="D175" s="440"/>
      <c r="E175" s="440"/>
      <c r="F175" s="439"/>
      <c r="G175" s="441"/>
      <c r="H175" s="439"/>
      <c r="I175" s="439"/>
      <c r="J175" s="439"/>
    </row>
    <row r="176" ht="15.75" customHeight="1">
      <c r="A176" s="439"/>
      <c r="B176" s="439"/>
      <c r="C176" s="439"/>
      <c r="D176" s="440"/>
      <c r="E176" s="440"/>
      <c r="F176" s="439"/>
      <c r="G176" s="441"/>
      <c r="H176" s="439"/>
      <c r="I176" s="439"/>
      <c r="J176" s="439"/>
    </row>
    <row r="177" ht="15.75" customHeight="1">
      <c r="A177" s="439"/>
      <c r="B177" s="439"/>
      <c r="C177" s="439"/>
      <c r="D177" s="440"/>
      <c r="E177" s="440"/>
      <c r="F177" s="439"/>
      <c r="G177" s="441"/>
      <c r="H177" s="439"/>
      <c r="I177" s="439"/>
      <c r="J177" s="439"/>
    </row>
    <row r="178" ht="15.75" customHeight="1">
      <c r="A178" s="439"/>
      <c r="B178" s="439"/>
      <c r="C178" s="439"/>
      <c r="D178" s="440"/>
      <c r="E178" s="440"/>
      <c r="F178" s="439"/>
      <c r="G178" s="441"/>
      <c r="H178" s="439"/>
      <c r="I178" s="439"/>
      <c r="J178" s="439"/>
    </row>
    <row r="179" ht="15.75" customHeight="1">
      <c r="A179" s="439"/>
      <c r="B179" s="439"/>
      <c r="C179" s="439"/>
      <c r="D179" s="440"/>
      <c r="E179" s="440"/>
      <c r="F179" s="439"/>
      <c r="G179" s="441"/>
      <c r="H179" s="439"/>
      <c r="I179" s="439"/>
      <c r="J179" s="439"/>
    </row>
    <row r="180" ht="15.75" customHeight="1">
      <c r="A180" s="439"/>
      <c r="B180" s="439"/>
      <c r="C180" s="439"/>
      <c r="D180" s="440"/>
      <c r="E180" s="440"/>
      <c r="F180" s="439"/>
      <c r="G180" s="441"/>
      <c r="H180" s="439"/>
      <c r="I180" s="439"/>
      <c r="J180" s="439"/>
    </row>
    <row r="181" ht="15.75" customHeight="1">
      <c r="A181" s="439"/>
      <c r="B181" s="439"/>
      <c r="C181" s="439"/>
      <c r="D181" s="440"/>
      <c r="E181" s="440"/>
      <c r="F181" s="439"/>
      <c r="G181" s="441"/>
      <c r="H181" s="439"/>
      <c r="I181" s="439"/>
      <c r="J181" s="439"/>
    </row>
    <row r="182" ht="15.75" customHeight="1">
      <c r="A182" s="439"/>
      <c r="B182" s="439"/>
      <c r="C182" s="439"/>
      <c r="D182" s="440"/>
      <c r="E182" s="440"/>
      <c r="F182" s="439"/>
      <c r="G182" s="441"/>
      <c r="H182" s="439"/>
      <c r="I182" s="439"/>
      <c r="J182" s="439"/>
    </row>
    <row r="183" ht="15.75" customHeight="1">
      <c r="A183" s="439"/>
      <c r="B183" s="439"/>
      <c r="C183" s="439"/>
      <c r="D183" s="440"/>
      <c r="E183" s="440"/>
      <c r="F183" s="439"/>
      <c r="G183" s="441"/>
      <c r="H183" s="439"/>
      <c r="I183" s="439"/>
      <c r="J183" s="439"/>
    </row>
    <row r="184" ht="15.75" customHeight="1">
      <c r="A184" s="439"/>
      <c r="B184" s="439"/>
      <c r="C184" s="439"/>
      <c r="D184" s="440"/>
      <c r="E184" s="440"/>
      <c r="F184" s="439"/>
      <c r="G184" s="441"/>
      <c r="H184" s="439"/>
      <c r="I184" s="439"/>
      <c r="J184" s="439"/>
    </row>
    <row r="185" ht="15.75" customHeight="1">
      <c r="A185" s="439"/>
      <c r="B185" s="439"/>
      <c r="C185" s="439"/>
      <c r="D185" s="440"/>
      <c r="E185" s="440"/>
      <c r="F185" s="439"/>
      <c r="G185" s="441"/>
      <c r="H185" s="439"/>
      <c r="I185" s="439"/>
      <c r="J185" s="439"/>
    </row>
    <row r="186" ht="15.75" customHeight="1">
      <c r="A186" s="439"/>
      <c r="B186" s="439"/>
      <c r="C186" s="439"/>
      <c r="D186" s="440"/>
      <c r="E186" s="440"/>
      <c r="F186" s="439"/>
      <c r="G186" s="441"/>
      <c r="H186" s="439"/>
      <c r="I186" s="439"/>
      <c r="J186" s="439"/>
    </row>
    <row r="187" ht="15.75" customHeight="1">
      <c r="A187" s="439"/>
      <c r="B187" s="439"/>
      <c r="C187" s="439"/>
      <c r="D187" s="440"/>
      <c r="E187" s="440"/>
      <c r="F187" s="439"/>
      <c r="G187" s="441"/>
      <c r="H187" s="439"/>
      <c r="I187" s="439"/>
      <c r="J187" s="439"/>
    </row>
    <row r="188" ht="15.75" customHeight="1">
      <c r="A188" s="439"/>
      <c r="B188" s="439"/>
      <c r="C188" s="439"/>
      <c r="D188" s="440"/>
      <c r="E188" s="440"/>
      <c r="F188" s="439"/>
      <c r="G188" s="441"/>
      <c r="H188" s="439"/>
      <c r="I188" s="439"/>
      <c r="J188" s="439"/>
    </row>
    <row r="189" ht="15.75" customHeight="1">
      <c r="A189" s="439"/>
      <c r="B189" s="439"/>
      <c r="C189" s="439"/>
      <c r="D189" s="440"/>
      <c r="E189" s="440"/>
      <c r="F189" s="439"/>
      <c r="G189" s="441"/>
      <c r="H189" s="439"/>
      <c r="I189" s="439"/>
      <c r="J189" s="439"/>
    </row>
    <row r="190" ht="15.75" customHeight="1">
      <c r="A190" s="439"/>
      <c r="B190" s="439"/>
      <c r="C190" s="439"/>
      <c r="D190" s="440"/>
      <c r="E190" s="440"/>
      <c r="F190" s="439"/>
      <c r="G190" s="441"/>
      <c r="H190" s="439"/>
      <c r="I190" s="439"/>
      <c r="J190" s="439"/>
    </row>
    <row r="191" ht="15.75" customHeight="1">
      <c r="A191" s="439"/>
      <c r="B191" s="439"/>
      <c r="C191" s="439"/>
      <c r="D191" s="440"/>
      <c r="E191" s="440"/>
      <c r="F191" s="439"/>
      <c r="G191" s="441"/>
      <c r="H191" s="439"/>
      <c r="I191" s="439"/>
      <c r="J191" s="439"/>
    </row>
    <row r="192" ht="15.75" customHeight="1">
      <c r="A192" s="439"/>
      <c r="B192" s="439"/>
      <c r="C192" s="439"/>
      <c r="D192" s="440"/>
      <c r="E192" s="440"/>
      <c r="F192" s="439"/>
      <c r="G192" s="441"/>
      <c r="H192" s="439"/>
      <c r="I192" s="439"/>
      <c r="J192" s="439"/>
    </row>
    <row r="193" ht="15.75" customHeight="1">
      <c r="A193" s="439"/>
      <c r="B193" s="439"/>
      <c r="C193" s="439"/>
      <c r="D193" s="440"/>
      <c r="E193" s="440"/>
      <c r="F193" s="439"/>
      <c r="G193" s="441"/>
      <c r="H193" s="439"/>
      <c r="I193" s="439"/>
      <c r="J193" s="439"/>
    </row>
    <row r="194" ht="15.75" customHeight="1">
      <c r="A194" s="439"/>
      <c r="B194" s="439"/>
      <c r="C194" s="439"/>
      <c r="D194" s="440"/>
      <c r="E194" s="440"/>
      <c r="F194" s="439"/>
      <c r="G194" s="441"/>
      <c r="H194" s="439"/>
      <c r="I194" s="439"/>
      <c r="J194" s="439"/>
    </row>
    <row r="195" ht="15.75" customHeight="1">
      <c r="A195" s="439"/>
      <c r="B195" s="439"/>
      <c r="C195" s="439"/>
      <c r="D195" s="440"/>
      <c r="E195" s="440"/>
      <c r="F195" s="439"/>
      <c r="G195" s="441"/>
      <c r="H195" s="439"/>
      <c r="I195" s="439"/>
      <c r="J195" s="439"/>
    </row>
    <row r="196" ht="15.75" customHeight="1">
      <c r="A196" s="439"/>
      <c r="B196" s="439"/>
      <c r="C196" s="439"/>
      <c r="D196" s="440"/>
      <c r="E196" s="440"/>
      <c r="F196" s="439"/>
      <c r="G196" s="441"/>
      <c r="H196" s="439"/>
      <c r="I196" s="439"/>
      <c r="J196" s="439"/>
    </row>
    <row r="197" ht="15.75" customHeight="1">
      <c r="A197" s="439"/>
      <c r="B197" s="439"/>
      <c r="C197" s="439"/>
      <c r="D197" s="440"/>
      <c r="E197" s="440"/>
      <c r="F197" s="439"/>
      <c r="G197" s="441"/>
      <c r="H197" s="439"/>
      <c r="I197" s="439"/>
      <c r="J197" s="439"/>
    </row>
    <row r="198" ht="15.75" customHeight="1">
      <c r="A198" s="439"/>
      <c r="B198" s="439"/>
      <c r="C198" s="439"/>
      <c r="D198" s="440"/>
      <c r="E198" s="440"/>
      <c r="F198" s="439"/>
      <c r="G198" s="441"/>
      <c r="H198" s="439"/>
      <c r="I198" s="439"/>
      <c r="J198" s="439"/>
    </row>
    <row r="199" ht="15.75" customHeight="1">
      <c r="A199" s="439"/>
      <c r="B199" s="439"/>
      <c r="C199" s="439"/>
      <c r="D199" s="440"/>
      <c r="E199" s="440"/>
      <c r="F199" s="439"/>
      <c r="G199" s="441"/>
      <c r="H199" s="439"/>
      <c r="I199" s="439"/>
      <c r="J199" s="439"/>
    </row>
    <row r="200" ht="15.75" customHeight="1">
      <c r="A200" s="439"/>
      <c r="B200" s="439"/>
      <c r="C200" s="439"/>
      <c r="D200" s="440"/>
      <c r="E200" s="440"/>
      <c r="F200" s="439"/>
      <c r="G200" s="441"/>
      <c r="H200" s="439"/>
      <c r="I200" s="439"/>
      <c r="J200" s="439"/>
    </row>
    <row r="201" ht="15.75" customHeight="1">
      <c r="A201" s="439"/>
      <c r="B201" s="439"/>
      <c r="C201" s="439"/>
      <c r="D201" s="440"/>
      <c r="E201" s="440"/>
      <c r="F201" s="439"/>
      <c r="G201" s="441"/>
      <c r="H201" s="439"/>
      <c r="I201" s="439"/>
      <c r="J201" s="439"/>
    </row>
    <row r="202" ht="15.75" customHeight="1">
      <c r="A202" s="439"/>
      <c r="B202" s="439"/>
      <c r="C202" s="439"/>
      <c r="D202" s="440"/>
      <c r="E202" s="440"/>
      <c r="F202" s="439"/>
      <c r="G202" s="441"/>
      <c r="H202" s="439"/>
      <c r="I202" s="439"/>
      <c r="J202" s="439"/>
    </row>
    <row r="203" ht="15.75" customHeight="1">
      <c r="A203" s="439"/>
      <c r="B203" s="439"/>
      <c r="C203" s="439"/>
      <c r="D203" s="440"/>
      <c r="E203" s="440"/>
      <c r="F203" s="439"/>
      <c r="G203" s="441"/>
      <c r="H203" s="439"/>
      <c r="I203" s="439"/>
      <c r="J203" s="439"/>
    </row>
    <row r="204" ht="15.75" customHeight="1">
      <c r="A204" s="439"/>
      <c r="B204" s="439"/>
      <c r="C204" s="439"/>
      <c r="D204" s="440"/>
      <c r="E204" s="440"/>
      <c r="F204" s="439"/>
      <c r="G204" s="441"/>
      <c r="H204" s="439"/>
      <c r="I204" s="439"/>
      <c r="J204" s="439"/>
    </row>
    <row r="205" ht="15.75" customHeight="1">
      <c r="A205" s="439"/>
      <c r="B205" s="439"/>
      <c r="C205" s="439"/>
      <c r="D205" s="440"/>
      <c r="E205" s="440"/>
      <c r="F205" s="439"/>
      <c r="G205" s="441"/>
      <c r="H205" s="439"/>
      <c r="I205" s="439"/>
      <c r="J205" s="439"/>
    </row>
    <row r="206" ht="15.75" customHeight="1">
      <c r="A206" s="439"/>
      <c r="B206" s="439"/>
      <c r="C206" s="439"/>
      <c r="D206" s="440"/>
      <c r="E206" s="440"/>
      <c r="F206" s="439"/>
      <c r="G206" s="441"/>
      <c r="H206" s="439"/>
      <c r="I206" s="439"/>
      <c r="J206" s="439"/>
    </row>
    <row r="207" ht="15.75" customHeight="1">
      <c r="A207" s="439"/>
      <c r="B207" s="439"/>
      <c r="C207" s="439"/>
      <c r="D207" s="440"/>
      <c r="E207" s="440"/>
      <c r="F207" s="439"/>
      <c r="G207" s="441"/>
      <c r="H207" s="439"/>
      <c r="I207" s="439"/>
      <c r="J207" s="439"/>
    </row>
    <row r="208" ht="15.75" customHeight="1">
      <c r="A208" s="439"/>
      <c r="B208" s="439"/>
      <c r="C208" s="439"/>
      <c r="D208" s="440"/>
      <c r="E208" s="440"/>
      <c r="F208" s="439"/>
      <c r="G208" s="441"/>
      <c r="H208" s="439"/>
      <c r="I208" s="439"/>
      <c r="J208" s="439"/>
    </row>
    <row r="209" ht="15.75" customHeight="1">
      <c r="A209" s="439"/>
      <c r="B209" s="439"/>
      <c r="C209" s="439"/>
      <c r="D209" s="440"/>
      <c r="E209" s="440"/>
      <c r="F209" s="439"/>
      <c r="G209" s="441"/>
      <c r="H209" s="439"/>
      <c r="I209" s="439"/>
      <c r="J209" s="439"/>
    </row>
    <row r="210" ht="15.75" customHeight="1">
      <c r="A210" s="439"/>
      <c r="B210" s="439"/>
      <c r="C210" s="439"/>
      <c r="D210" s="440"/>
      <c r="E210" s="440"/>
      <c r="F210" s="439"/>
      <c r="G210" s="441"/>
      <c r="H210" s="439"/>
      <c r="I210" s="439"/>
      <c r="J210" s="439"/>
    </row>
    <row r="211" ht="15.75" customHeight="1">
      <c r="A211" s="439"/>
      <c r="B211" s="439"/>
      <c r="C211" s="439"/>
      <c r="D211" s="440"/>
      <c r="E211" s="440"/>
      <c r="F211" s="439"/>
      <c r="G211" s="441"/>
      <c r="H211" s="439"/>
      <c r="I211" s="439"/>
      <c r="J211" s="439"/>
    </row>
    <row r="212" ht="15.75" customHeight="1">
      <c r="A212" s="439"/>
      <c r="B212" s="439"/>
      <c r="C212" s="439"/>
      <c r="D212" s="440"/>
      <c r="E212" s="440"/>
      <c r="F212" s="439"/>
      <c r="G212" s="441"/>
      <c r="H212" s="439"/>
      <c r="I212" s="439"/>
      <c r="J212" s="439"/>
    </row>
    <row r="213" ht="15.75" customHeight="1">
      <c r="A213" s="439"/>
      <c r="B213" s="439"/>
      <c r="C213" s="439"/>
      <c r="D213" s="440"/>
      <c r="E213" s="440"/>
      <c r="F213" s="439"/>
      <c r="G213" s="441"/>
      <c r="H213" s="439"/>
      <c r="I213" s="439"/>
      <c r="J213" s="439"/>
    </row>
    <row r="214" ht="15.75" customHeight="1">
      <c r="A214" s="439"/>
      <c r="B214" s="439"/>
      <c r="C214" s="439"/>
      <c r="D214" s="440"/>
      <c r="E214" s="440"/>
      <c r="F214" s="439"/>
      <c r="G214" s="441"/>
      <c r="H214" s="439"/>
      <c r="I214" s="439"/>
      <c r="J214" s="439"/>
    </row>
    <row r="215" ht="15.75" customHeight="1">
      <c r="A215" s="439"/>
      <c r="B215" s="439"/>
      <c r="C215" s="439"/>
      <c r="D215" s="440"/>
      <c r="E215" s="440"/>
      <c r="F215" s="439"/>
      <c r="G215" s="441"/>
      <c r="H215" s="439"/>
      <c r="I215" s="439"/>
      <c r="J215" s="439"/>
    </row>
    <row r="216" ht="15.75" customHeight="1">
      <c r="A216" s="439"/>
      <c r="B216" s="439"/>
      <c r="C216" s="439"/>
      <c r="D216" s="440"/>
      <c r="E216" s="440"/>
      <c r="F216" s="439"/>
      <c r="G216" s="441"/>
      <c r="H216" s="439"/>
      <c r="I216" s="439"/>
      <c r="J216" s="439"/>
    </row>
    <row r="217" ht="15.75" customHeight="1">
      <c r="A217" s="439"/>
      <c r="B217" s="439"/>
      <c r="C217" s="439"/>
      <c r="D217" s="440"/>
      <c r="E217" s="440"/>
      <c r="F217" s="439"/>
      <c r="G217" s="441"/>
      <c r="H217" s="439"/>
      <c r="I217" s="439"/>
      <c r="J217" s="439"/>
    </row>
    <row r="218" ht="15.75" customHeight="1">
      <c r="A218" s="439"/>
      <c r="B218" s="439"/>
      <c r="C218" s="439"/>
      <c r="D218" s="440"/>
      <c r="E218" s="440"/>
      <c r="F218" s="439"/>
      <c r="G218" s="441"/>
      <c r="H218" s="439"/>
      <c r="I218" s="439"/>
      <c r="J218" s="439"/>
    </row>
    <row r="219" ht="15.75" customHeight="1">
      <c r="A219" s="439"/>
      <c r="B219" s="439"/>
      <c r="C219" s="439"/>
      <c r="D219" s="440"/>
      <c r="E219" s="440"/>
      <c r="F219" s="439"/>
      <c r="G219" s="441"/>
      <c r="H219" s="439"/>
      <c r="I219" s="439"/>
      <c r="J219" s="439"/>
    </row>
    <row r="220" ht="15.75" customHeight="1">
      <c r="A220" s="439"/>
      <c r="B220" s="439"/>
      <c r="C220" s="439"/>
      <c r="D220" s="440"/>
      <c r="E220" s="440"/>
      <c r="F220" s="439"/>
      <c r="G220" s="441"/>
      <c r="H220" s="439"/>
      <c r="I220" s="439"/>
      <c r="J220" s="43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1"/>
  <conditionalFormatting sqref="G1:G1000">
    <cfRule type="containsText" dxfId="7" priority="1" operator="containsText" text="chờ">
      <formula>NOT(ISERROR(SEARCH(("chờ"),(G1))))</formula>
    </cfRule>
  </conditionalFormatting>
  <dataValidations>
    <dataValidation type="list" allowBlank="1" showErrorMessage="1" sqref="G2 G5:G6">
      <formula1>"Chờ xếp lớp,Đã xếp lớp"</formula1>
    </dataValidation>
    <dataValidation type="list" allowBlank="1" showErrorMessage="1" sqref="F3:F4">
      <formula1>"Chờ,Đã đóng phí,Đóng phí học thử 3 buổi"</formula1>
    </dataValidation>
    <dataValidation type="list" allowBlank="1" showErrorMessage="1" sqref="G3:G4">
      <formula1>"Chờ xếp lớp,Đã xếp lớp,Đã xếp lớp tạm 3 buổi"</formula1>
    </dataValidation>
    <dataValidation type="list" allowBlank="1" showErrorMessage="1" sqref="F2 F5">
      <formula1>"Chờ,Đã đóng phí"</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5.25"/>
    <col customWidth="1" min="3" max="14" width="8.5"/>
    <col customWidth="1" min="15" max="15" width="12.0"/>
    <col customWidth="1" min="18" max="18" width="9.75"/>
    <col customWidth="1" min="19" max="20" width="12.0"/>
    <col customWidth="1" min="21" max="31" width="11.0"/>
  </cols>
  <sheetData>
    <row r="1" ht="15.75" customHeight="1">
      <c r="A1" s="442" t="s">
        <v>4738</v>
      </c>
      <c r="B1" s="442"/>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c r="AD1" s="442"/>
      <c r="AE1" s="442"/>
      <c r="AF1" s="442"/>
      <c r="AG1" s="442"/>
      <c r="AH1" s="442"/>
      <c r="AI1" s="442"/>
      <c r="AJ1" s="442"/>
      <c r="AK1" s="442"/>
      <c r="AL1" s="442"/>
      <c r="AM1" s="442"/>
      <c r="AN1" s="442"/>
      <c r="AO1" s="442"/>
      <c r="AP1" s="442"/>
      <c r="AQ1" s="442"/>
      <c r="AR1" s="442"/>
      <c r="AS1" s="442"/>
      <c r="AT1" s="442"/>
      <c r="AU1" s="442"/>
      <c r="AV1" s="442"/>
    </row>
    <row r="2" ht="15.75" customHeight="1">
      <c r="A2" s="442" t="s">
        <v>4739</v>
      </c>
      <c r="B2" s="442" t="s">
        <v>152</v>
      </c>
      <c r="C2" s="442"/>
      <c r="D2" s="442"/>
      <c r="E2" s="442"/>
      <c r="F2" s="442"/>
      <c r="G2" s="442"/>
      <c r="H2" s="442"/>
      <c r="I2" s="442"/>
      <c r="J2" s="442"/>
      <c r="K2" s="442"/>
      <c r="L2" s="442"/>
      <c r="M2" s="442"/>
      <c r="N2" s="442"/>
      <c r="O2" s="442"/>
      <c r="P2" s="442"/>
      <c r="Q2" s="442"/>
      <c r="R2" s="442"/>
      <c r="S2" s="442"/>
      <c r="T2" s="442"/>
      <c r="U2" s="442"/>
      <c r="V2" s="442"/>
      <c r="W2" s="442"/>
      <c r="X2" s="442"/>
      <c r="Y2" s="442"/>
      <c r="Z2" s="442"/>
      <c r="AA2" s="442"/>
      <c r="AB2" s="442"/>
      <c r="AC2" s="442"/>
      <c r="AD2" s="442"/>
      <c r="AE2" s="442"/>
      <c r="AF2" s="442"/>
      <c r="AG2" s="442"/>
      <c r="AH2" s="442"/>
      <c r="AI2" s="442"/>
      <c r="AJ2" s="442"/>
      <c r="AK2" s="442"/>
      <c r="AL2" s="442"/>
      <c r="AM2" s="442"/>
      <c r="AN2" s="442"/>
      <c r="AO2" s="442"/>
      <c r="AP2" s="442"/>
      <c r="AQ2" s="442"/>
      <c r="AR2" s="442"/>
      <c r="AS2" s="442"/>
      <c r="AT2" s="442"/>
      <c r="AU2" s="442"/>
      <c r="AV2" s="442"/>
    </row>
    <row r="3" ht="15.75" customHeight="1">
      <c r="A3" s="443"/>
      <c r="B3" s="443"/>
      <c r="C3" s="443"/>
      <c r="D3" s="443"/>
      <c r="E3" s="443"/>
      <c r="F3" s="443"/>
      <c r="G3" s="443"/>
      <c r="H3" s="443"/>
      <c r="I3" s="443"/>
      <c r="J3" s="443"/>
      <c r="K3" s="443"/>
      <c r="L3" s="443"/>
      <c r="M3" s="443"/>
      <c r="N3" s="443"/>
      <c r="O3" s="443"/>
      <c r="P3" s="442"/>
      <c r="Q3" s="442"/>
      <c r="R3" s="442"/>
      <c r="S3" s="442"/>
      <c r="T3" s="442"/>
      <c r="U3" s="442"/>
      <c r="V3" s="442"/>
      <c r="W3" s="442"/>
      <c r="X3" s="442"/>
      <c r="Y3" s="442"/>
      <c r="Z3" s="442"/>
      <c r="AA3" s="442"/>
      <c r="AB3" s="442"/>
      <c r="AC3" s="442"/>
      <c r="AD3" s="442"/>
      <c r="AE3" s="442"/>
      <c r="AF3" s="442"/>
      <c r="AG3" s="442"/>
      <c r="AH3" s="442"/>
      <c r="AI3" s="442"/>
      <c r="AJ3" s="442"/>
      <c r="AK3" s="442"/>
      <c r="AL3" s="442"/>
      <c r="AM3" s="442"/>
      <c r="AN3" s="442"/>
      <c r="AO3" s="442"/>
      <c r="AP3" s="442"/>
      <c r="AQ3" s="442"/>
      <c r="AR3" s="442"/>
      <c r="AS3" s="442"/>
      <c r="AT3" s="442"/>
      <c r="AU3" s="442"/>
      <c r="AV3" s="442"/>
    </row>
    <row r="4" ht="15.75" customHeight="1">
      <c r="A4" s="444">
        <v>0.0</v>
      </c>
      <c r="B4" s="445"/>
      <c r="C4" s="445"/>
      <c r="D4" s="445"/>
      <c r="E4" s="445"/>
      <c r="F4" s="445"/>
      <c r="G4" s="445"/>
      <c r="H4" s="445"/>
      <c r="I4" s="445"/>
      <c r="J4" s="445"/>
      <c r="K4" s="445"/>
      <c r="L4" s="445"/>
      <c r="M4" s="445"/>
      <c r="N4" s="445"/>
      <c r="O4" s="446"/>
      <c r="P4" s="442"/>
      <c r="Q4" s="442"/>
      <c r="R4" s="444" t="s">
        <v>4740</v>
      </c>
      <c r="S4" s="445"/>
      <c r="T4" s="445"/>
      <c r="U4" s="445"/>
      <c r="V4" s="445"/>
      <c r="W4" s="445"/>
      <c r="X4" s="445"/>
      <c r="Y4" s="445"/>
      <c r="Z4" s="445"/>
      <c r="AA4" s="445"/>
      <c r="AB4" s="445"/>
      <c r="AC4" s="445"/>
      <c r="AD4" s="445"/>
      <c r="AE4" s="445"/>
      <c r="AF4" s="446"/>
      <c r="AG4" s="442"/>
      <c r="AH4" s="442"/>
      <c r="AI4" s="442"/>
      <c r="AJ4" s="442"/>
      <c r="AK4" s="442"/>
      <c r="AL4" s="442"/>
      <c r="AM4" s="442"/>
      <c r="AN4" s="442"/>
      <c r="AO4" s="442"/>
      <c r="AP4" s="442"/>
      <c r="AQ4" s="442"/>
      <c r="AR4" s="442"/>
      <c r="AS4" s="442"/>
      <c r="AT4" s="442"/>
      <c r="AU4" s="442"/>
      <c r="AV4" s="442"/>
    </row>
    <row r="5" ht="15.75" customHeight="1">
      <c r="A5" s="447">
        <v>5.0</v>
      </c>
      <c r="B5" s="448" t="s">
        <v>4733</v>
      </c>
      <c r="C5" s="449" t="s">
        <v>4741</v>
      </c>
      <c r="D5" s="449" t="s">
        <v>4741</v>
      </c>
      <c r="E5" s="449" t="s">
        <v>4741</v>
      </c>
      <c r="F5" s="449" t="s">
        <v>4741</v>
      </c>
      <c r="G5" s="449" t="s">
        <v>4741</v>
      </c>
      <c r="H5" s="449" t="s">
        <v>4741</v>
      </c>
      <c r="I5" s="449" t="s">
        <v>4741</v>
      </c>
      <c r="J5" s="449" t="s">
        <v>4741</v>
      </c>
      <c r="K5" s="449" t="s">
        <v>4741</v>
      </c>
      <c r="L5" s="449" t="s">
        <v>4741</v>
      </c>
      <c r="M5" s="449" t="s">
        <v>4741</v>
      </c>
      <c r="N5" s="449" t="s">
        <v>4741</v>
      </c>
      <c r="O5" s="450" t="s">
        <v>4742</v>
      </c>
      <c r="P5" s="442"/>
      <c r="Q5" s="442"/>
      <c r="R5" s="447" t="s">
        <v>4743</v>
      </c>
      <c r="S5" s="447" t="s">
        <v>4744</v>
      </c>
      <c r="T5" s="449" t="s">
        <v>4741</v>
      </c>
      <c r="U5" s="449" t="s">
        <v>4741</v>
      </c>
      <c r="V5" s="449" t="s">
        <v>4741</v>
      </c>
      <c r="W5" s="449" t="s">
        <v>4741</v>
      </c>
      <c r="X5" s="449" t="s">
        <v>4741</v>
      </c>
      <c r="Y5" s="449" t="s">
        <v>4741</v>
      </c>
      <c r="Z5" s="449" t="s">
        <v>4741</v>
      </c>
      <c r="AA5" s="449" t="s">
        <v>4741</v>
      </c>
      <c r="AB5" s="449" t="s">
        <v>4741</v>
      </c>
      <c r="AC5" s="449" t="s">
        <v>4741</v>
      </c>
      <c r="AD5" s="449" t="s">
        <v>4741</v>
      </c>
      <c r="AE5" s="449" t="s">
        <v>4741</v>
      </c>
      <c r="AF5" s="450" t="s">
        <v>4742</v>
      </c>
      <c r="AG5" s="451"/>
      <c r="AH5" s="451"/>
      <c r="AI5" s="451"/>
      <c r="AJ5" s="451"/>
      <c r="AK5" s="451"/>
      <c r="AL5" s="451"/>
      <c r="AM5" s="451"/>
      <c r="AN5" s="451"/>
      <c r="AO5" s="451"/>
      <c r="AP5" s="451"/>
      <c r="AQ5" s="451"/>
      <c r="AR5" s="451"/>
      <c r="AS5" s="451"/>
      <c r="AT5" s="451"/>
      <c r="AU5" s="451"/>
      <c r="AV5" s="451"/>
    </row>
    <row r="6" ht="15.75" customHeight="1">
      <c r="A6" s="452"/>
      <c r="B6" s="11"/>
      <c r="C6" s="453">
        <v>1.0</v>
      </c>
      <c r="D6" s="453">
        <v>2.0</v>
      </c>
      <c r="E6" s="453">
        <v>3.0</v>
      </c>
      <c r="F6" s="453">
        <v>4.0</v>
      </c>
      <c r="G6" s="453">
        <v>5.0</v>
      </c>
      <c r="H6" s="453">
        <v>6.0</v>
      </c>
      <c r="I6" s="453">
        <v>7.0</v>
      </c>
      <c r="J6" s="453">
        <v>8.0</v>
      </c>
      <c r="K6" s="453">
        <v>9.0</v>
      </c>
      <c r="L6" s="453">
        <v>10.0</v>
      </c>
      <c r="M6" s="453">
        <v>11.0</v>
      </c>
      <c r="N6" s="453">
        <v>12.0</v>
      </c>
      <c r="O6" s="454"/>
      <c r="P6" s="442"/>
      <c r="Q6" s="442"/>
      <c r="R6" s="452"/>
      <c r="S6" s="452"/>
      <c r="T6" s="453">
        <v>1.0</v>
      </c>
      <c r="U6" s="453">
        <v>2.0</v>
      </c>
      <c r="V6" s="453">
        <v>3.0</v>
      </c>
      <c r="W6" s="453">
        <v>4.0</v>
      </c>
      <c r="X6" s="453">
        <v>5.0</v>
      </c>
      <c r="Y6" s="453">
        <v>6.0</v>
      </c>
      <c r="Z6" s="453">
        <v>7.0</v>
      </c>
      <c r="AA6" s="453">
        <v>8.0</v>
      </c>
      <c r="AB6" s="453">
        <v>9.0</v>
      </c>
      <c r="AC6" s="453">
        <v>10.0</v>
      </c>
      <c r="AD6" s="453">
        <v>11.0</v>
      </c>
      <c r="AE6" s="453">
        <v>12.0</v>
      </c>
      <c r="AF6" s="454"/>
      <c r="AG6" s="442"/>
      <c r="AH6" s="442" t="s">
        <v>4745</v>
      </c>
      <c r="AI6" s="442"/>
      <c r="AJ6" s="442"/>
      <c r="AK6" s="442"/>
      <c r="AL6" s="442"/>
      <c r="AM6" s="442"/>
      <c r="AN6" s="442"/>
      <c r="AO6" s="442"/>
      <c r="AP6" s="442"/>
      <c r="AQ6" s="442"/>
      <c r="AR6" s="442"/>
      <c r="AS6" s="442"/>
      <c r="AT6" s="442"/>
      <c r="AU6" s="442"/>
      <c r="AV6" s="442"/>
    </row>
    <row r="7" ht="15.75" customHeight="1">
      <c r="A7" s="455">
        <v>6.0</v>
      </c>
      <c r="B7" s="456" t="s">
        <v>1484</v>
      </c>
      <c r="C7" s="456">
        <f>COUNTIFS('KIDS&amp;ADULTS'!$N$1:$N$1998, $B7, 'KIDS&amp;ADULTS'!$AA$1:$AA$1998, C$6)
</f>
        <v>0</v>
      </c>
      <c r="D7" s="456">
        <f>COUNTIFS('KIDS&amp;ADULTS'!$N$1:$N$1998, $B7, 'KIDS&amp;ADULTS'!$AA$1:$AA$1998, D$6)
</f>
        <v>0</v>
      </c>
      <c r="E7" s="456">
        <f>COUNTIFS('KIDS&amp;ADULTS'!$N$1:$N$1998, $B7, 'KIDS&amp;ADULTS'!$AA$1:$AA$1998, E$6)
</f>
        <v>0</v>
      </c>
      <c r="F7" s="456">
        <f>COUNTIFS('KIDS&amp;ADULTS'!$N$1:$N$1998, $B7, 'KIDS&amp;ADULTS'!$AA$1:$AA$1998, F$6)
</f>
        <v>0</v>
      </c>
      <c r="G7" s="456">
        <f>COUNTIFS('KIDS&amp;ADULTS'!$N$1:$N$1998, $B7, 'KIDS&amp;ADULTS'!$AA$1:$AA$1998, G$6)
</f>
        <v>0</v>
      </c>
      <c r="H7" s="456">
        <f>COUNTIFS('KIDS&amp;ADULTS'!$N$1:$N$1998, $B7, 'KIDS&amp;ADULTS'!$AA$1:$AA$1998, H$6)
</f>
        <v>1</v>
      </c>
      <c r="I7" s="456">
        <f>COUNTIFS('KIDS&amp;ADULTS'!$N$1:$N$1998, $B7, 'KIDS&amp;ADULTS'!$AA$1:$AA$1998, I$6)
</f>
        <v>5</v>
      </c>
      <c r="J7" s="456">
        <f>COUNTIFS('KIDS&amp;ADULTS'!$N$1:$N$1998, $B7, 'KIDS&amp;ADULTS'!$AA$1:$AA$1998, J$6)
</f>
        <v>3</v>
      </c>
      <c r="K7" s="456">
        <f>COUNTIFS('KIDS&amp;ADULTS'!$N$1:$N$1998, $B7, 'KIDS&amp;ADULTS'!$AA$1:$AA$1998, K$6)
</f>
        <v>1</v>
      </c>
      <c r="L7" s="456">
        <f>COUNTIFS('KIDS&amp;ADULTS'!$N$1:$N$1998, $B7, 'KIDS&amp;ADULTS'!$AA$1:$AA$1998, L$6)
</f>
        <v>0</v>
      </c>
      <c r="M7" s="456">
        <f>COUNTIFS('KIDS&amp;ADULTS'!$N$1:$N$1998, $B7, 'KIDS&amp;ADULTS'!$AA$1:$AA$1998, M$6)
</f>
        <v>0</v>
      </c>
      <c r="N7" s="456">
        <f>COUNTIFS('KIDS&amp;ADULTS'!$N$1:$N$1998, $B7, 'KIDS&amp;ADULTS'!$AA$1:$AA$1998, N$6)
</f>
        <v>0</v>
      </c>
      <c r="O7" s="457">
        <f t="shared" ref="O7:O18" si="1">sum(C7:N7)</f>
        <v>10</v>
      </c>
      <c r="P7" s="442"/>
      <c r="Q7" s="442"/>
      <c r="R7" s="455">
        <v>1.0</v>
      </c>
      <c r="S7" s="456" t="s">
        <v>111</v>
      </c>
      <c r="T7" s="456">
        <f>COUNTIFS('KIDS&amp;ADULTS'!$M$1:$M$2007, $S7, 'KIDS&amp;ADULTS'!$AA$1:$AA$2007, T$6,'KIDS&amp;ADULTS'!$N$1:$N$2007,"Đã đóng học phí")
</f>
        <v>0</v>
      </c>
      <c r="U7" s="456">
        <f>COUNTIFS('KIDS&amp;ADULTS'!$M$1:$M$2007, $S7, 'KIDS&amp;ADULTS'!$AB$1:$AB$2007, U$6,'KIDS&amp;ADULTS'!$N$1:$N$2007,"Đã đóng học phí")
</f>
        <v>0</v>
      </c>
      <c r="V7" s="456">
        <f>COUNTIFS('KIDS&amp;ADULTS'!$M$1:$M$2007, $S7, 'KIDS&amp;ADULTS'!$AB$1:$AB$2007, V$6,'KIDS&amp;ADULTS'!$N$1:$N$2007,"Đã đóng học phí")
</f>
        <v>0</v>
      </c>
      <c r="W7" s="456">
        <f>COUNTIFS('KIDS&amp;ADULTS'!$M$1:$M$2007, $S7, 'KIDS&amp;ADULTS'!$AB$1:$AB$2007, W$6,'KIDS&amp;ADULTS'!$N$1:$N$2007,"Đã đóng học phí")
</f>
        <v>0</v>
      </c>
      <c r="X7" s="456">
        <f>COUNTIFS('KIDS&amp;ADULTS'!$M$1:$M$2007, $S7, 'KIDS&amp;ADULTS'!$AB$1:$AB$2007, X$6,'KIDS&amp;ADULTS'!$N$1:$N$2007,"Đã đóng học phí")
</f>
        <v>0</v>
      </c>
      <c r="Y7" s="456">
        <f>COUNTIFS('KIDS&amp;ADULTS'!$M$1:$M$2007, $S7, 'KIDS&amp;ADULTS'!$AB$1:$AB$2007, Y$6,'KIDS&amp;ADULTS'!$N$1:$N$2007,"Đã đóng học phí")
</f>
        <v>15</v>
      </c>
      <c r="Z7" s="458">
        <f>COUNTIFS('KIDS&amp;ADULTS'!$M$1:$M$2007, $S7, 'KIDS&amp;ADULTS'!$AB$1:$AB$2007, Z$6,'KIDS&amp;ADULTS'!$N$1:$N$2007,"Đã đóng học phí")
</f>
        <v>20</v>
      </c>
      <c r="AA7" s="456">
        <f>COUNTIFS('KIDS&amp;ADULTS'!$M$1:$M$2007, $S7, 'KIDS&amp;ADULTS'!$AB$1:$AB$2007, AA$6,'KIDS&amp;ADULTS'!$N$1:$N$2007,"Đã đóng học phí")
</f>
        <v>12</v>
      </c>
      <c r="AB7" s="456">
        <f>COUNTIFS('KIDS&amp;ADULTS'!$M$1:$M$2007, $S7, 'KIDS&amp;ADULTS'!$AB$1:$AB$2007, AB$6,'KIDS&amp;ADULTS'!$N$1:$N$2007,"Đã đóng học phí")
</f>
        <v>14</v>
      </c>
      <c r="AC7" s="456">
        <f>COUNTIFS('KIDS&amp;ADULTS'!$M$1:$M$2007, $S7, 'KIDS&amp;ADULTS'!$AB$1:$AB$2007, AC$6,'KIDS&amp;ADULTS'!$N$1:$N$2007,"Đã đóng học phí")
</f>
        <v>10</v>
      </c>
      <c r="AD7" s="456">
        <f>COUNTIFS('KIDS&amp;ADULTS'!$M$1:$M$2007, $S7, 'KIDS&amp;ADULTS'!$AB$1:$AB$2007, AD$6,'KIDS&amp;ADULTS'!$N$1:$N$2007,"Đã đóng học phí")
</f>
        <v>6</v>
      </c>
      <c r="AE7" s="456">
        <f>COUNTIFS('KIDS&amp;ADULTS'!$M$1:$M$2007, $S7, 'KIDS&amp;ADULTS'!$AB$1:$AB$2007, AE$6,'KIDS&amp;ADULTS'!$N$1:$N$2007,"Đã đóng học phí")
</f>
        <v>8</v>
      </c>
      <c r="AF7" s="457">
        <f t="shared" ref="AF7:AF13" si="2">sum(T7:AE7)</f>
        <v>85</v>
      </c>
      <c r="AG7" s="442"/>
      <c r="AH7" s="442" t="s">
        <v>4746</v>
      </c>
      <c r="AI7" s="442"/>
      <c r="AJ7" s="442"/>
      <c r="AK7" s="442"/>
      <c r="AL7" s="442"/>
      <c r="AM7" s="442"/>
      <c r="AN7" s="442"/>
      <c r="AO7" s="442"/>
      <c r="AP7" s="442"/>
      <c r="AQ7" s="442"/>
      <c r="AR7" s="442"/>
      <c r="AS7" s="442"/>
      <c r="AT7" s="442"/>
      <c r="AU7" s="442"/>
      <c r="AV7" s="442"/>
    </row>
    <row r="8" ht="15.75" customHeight="1">
      <c r="A8" s="455">
        <v>2.0</v>
      </c>
      <c r="B8" s="456" t="s">
        <v>216</v>
      </c>
      <c r="C8" s="456">
        <f>COUNTIFS('KIDS&amp;ADULTS'!$N$1:$N$1998, $B8, 'KIDS&amp;ADULTS'!$AA$1:$AA$1998, C$6)
</f>
        <v>0</v>
      </c>
      <c r="D8" s="456">
        <f>COUNTIFS('KIDS&amp;ADULTS'!$N$1:$N$1998, $B8, 'KIDS&amp;ADULTS'!$AA$1:$AA$1998, D$6)
</f>
        <v>0</v>
      </c>
      <c r="E8" s="456">
        <f>COUNTIFS('KIDS&amp;ADULTS'!$N$1:$N$1998, $B8, 'KIDS&amp;ADULTS'!$AA$1:$AA$1998, E$6)
</f>
        <v>0</v>
      </c>
      <c r="F8" s="456">
        <f>COUNTIFS('KIDS&amp;ADULTS'!$N$1:$N$1998, $B8, 'KIDS&amp;ADULTS'!$AA$1:$AA$1998, F$6)
</f>
        <v>0</v>
      </c>
      <c r="G8" s="456">
        <f>COUNTIFS('KIDS&amp;ADULTS'!$N$1:$N$1998, $B8, 'KIDS&amp;ADULTS'!$AA$1:$AA$1998, G$6)
</f>
        <v>5</v>
      </c>
      <c r="H8" s="456">
        <f>COUNTIFS('KIDS&amp;ADULTS'!$N$1:$N$1998, $B8, 'KIDS&amp;ADULTS'!$AA$1:$AA$1998, H$6)
</f>
        <v>25</v>
      </c>
      <c r="I8" s="456">
        <f>COUNTIFS('KIDS&amp;ADULTS'!$N$1:$N$1998, $B8, 'KIDS&amp;ADULTS'!$AA$1:$AA$1998, I$6)
</f>
        <v>44</v>
      </c>
      <c r="J8" s="456">
        <f>COUNTIFS('KIDS&amp;ADULTS'!$N$1:$N$1998, $B8, 'KIDS&amp;ADULTS'!$AA$1:$AA$1998, J$6)
</f>
        <v>14</v>
      </c>
      <c r="K8" s="456">
        <f>COUNTIFS('KIDS&amp;ADULTS'!$N$1:$N$1998, $B8, 'KIDS&amp;ADULTS'!$AA$1:$AA$1998, K$6)
</f>
        <v>25</v>
      </c>
      <c r="L8" s="456">
        <f>COUNTIFS('KIDS&amp;ADULTS'!$N$1:$N$1998, $B8, 'KIDS&amp;ADULTS'!$AA$1:$AA$1998, L$6)
</f>
        <v>9</v>
      </c>
      <c r="M8" s="456">
        <f>COUNTIFS('KIDS&amp;ADULTS'!$N$1:$N$1998, $B8, 'KIDS&amp;ADULTS'!$AA$1:$AA$1998, M$6)
</f>
        <v>1</v>
      </c>
      <c r="N8" s="456">
        <f>COUNTIFS('KIDS&amp;ADULTS'!$N$1:$N$1998, $B8, 'KIDS&amp;ADULTS'!$AA$1:$AA$1998, N$6)
</f>
        <v>9</v>
      </c>
      <c r="O8" s="457">
        <f t="shared" si="1"/>
        <v>132</v>
      </c>
      <c r="P8" s="442"/>
      <c r="Q8" s="442"/>
      <c r="R8" s="455">
        <v>2.0</v>
      </c>
      <c r="S8" s="456" t="s">
        <v>89</v>
      </c>
      <c r="T8" s="456">
        <f>COUNTIFS('KIDS&amp;ADULTS'!$M$1:$M$2007, $S8, 'KIDS&amp;ADULTS'!$AB$1:$AB$2007, T$6,'KIDS&amp;ADULTS'!$N$1:$N$2007,"Đã đóng học phí")
</f>
        <v>0</v>
      </c>
      <c r="U8" s="456">
        <f>COUNTIFS('KIDS&amp;ADULTS'!$M$1:$M$2007, $S8, 'KIDS&amp;ADULTS'!$AB$1:$AB$2007, U$6,'KIDS&amp;ADULTS'!$N$1:$N$2007,"Đã đóng học phí")
</f>
        <v>0</v>
      </c>
      <c r="V8" s="456">
        <f>COUNTIFS('KIDS&amp;ADULTS'!$M$1:$M$2007, $S8, 'KIDS&amp;ADULTS'!$AB$1:$AB$2007, V$6,'KIDS&amp;ADULTS'!$N$1:$N$2007,"Đã đóng học phí")
</f>
        <v>0</v>
      </c>
      <c r="W8" s="456">
        <f>COUNTIFS('KIDS&amp;ADULTS'!$M$1:$M$2007, $S8, 'KIDS&amp;ADULTS'!$AB$1:$AB$2007, W$6,'KIDS&amp;ADULTS'!$N$1:$N$2007,"Đã đóng học phí")
</f>
        <v>0</v>
      </c>
      <c r="X8" s="456">
        <f>COUNTIFS('KIDS&amp;ADULTS'!$M$1:$M$2007, $S8, 'KIDS&amp;ADULTS'!$AB$1:$AB$2007, X$6,'KIDS&amp;ADULTS'!$N$1:$N$2007,"Đã đóng học phí")
</f>
        <v>3</v>
      </c>
      <c r="Y8" s="456">
        <f>COUNTIFS('KIDS&amp;ADULTS'!$M$1:$M$2007, $S8, 'KIDS&amp;ADULTS'!$AB$1:$AB$2007, Y$6,'KIDS&amp;ADULTS'!$N$1:$N$2007,"Đã đóng học phí")
</f>
        <v>8</v>
      </c>
      <c r="Z8" s="456">
        <f>COUNTIFS('KIDS&amp;ADULTS'!$M$1:$M$2007, $S8, 'KIDS&amp;ADULTS'!$AB$1:$AB$2007, Z$6,'KIDS&amp;ADULTS'!$N$1:$N$2007,"Đã đóng học phí")
</f>
        <v>0</v>
      </c>
      <c r="AA8" s="456">
        <f>COUNTIFS('KIDS&amp;ADULTS'!$M$1:$M$2007, $S8, 'KIDS&amp;ADULTS'!$AB$1:$AB$2007, AA$6,'KIDS&amp;ADULTS'!$N$1:$N$2007,"Đã đóng học phí")
</f>
        <v>0</v>
      </c>
      <c r="AB8" s="456">
        <f>COUNTIFS('KIDS&amp;ADULTS'!$M$1:$M$2007, $S8, 'KIDS&amp;ADULTS'!$AB$1:$AB$2007, AB$6,'KIDS&amp;ADULTS'!$N$1:$N$2007,"Đã đóng học phí")
</f>
        <v>0</v>
      </c>
      <c r="AC8" s="456">
        <f>COUNTIFS('KIDS&amp;ADULTS'!$M$1:$M$2007, $S8, 'KIDS&amp;ADULTS'!$AB$1:$AB$2007, AC$6,'KIDS&amp;ADULTS'!$N$1:$N$2007,"Đã đóng học phí")
</f>
        <v>0</v>
      </c>
      <c r="AD8" s="456">
        <f>COUNTIFS('KIDS&amp;ADULTS'!$M$1:$M$2007, $S8, 'KIDS&amp;ADULTS'!$AB$1:$AB$2007, AD$6,'KIDS&amp;ADULTS'!$N$1:$N$2007,"Đã đóng học phí")
</f>
        <v>0</v>
      </c>
      <c r="AE8" s="456">
        <f>COUNTIFS('KIDS&amp;ADULTS'!$M$1:$M$2007, $S8, 'KIDS&amp;ADULTS'!$AB$1:$AB$2007, AE$6,'KIDS&amp;ADULTS'!$N$1:$N$2007,"Đã đóng học phí")
</f>
        <v>0</v>
      </c>
      <c r="AF8" s="457">
        <f t="shared" si="2"/>
        <v>11</v>
      </c>
      <c r="AG8" s="442"/>
      <c r="AH8" s="442"/>
      <c r="AI8" s="442"/>
      <c r="AJ8" s="442"/>
      <c r="AK8" s="442"/>
      <c r="AL8" s="442"/>
      <c r="AM8" s="442"/>
      <c r="AN8" s="442"/>
      <c r="AO8" s="442"/>
      <c r="AP8" s="442"/>
      <c r="AQ8" s="442"/>
      <c r="AR8" s="442"/>
      <c r="AS8" s="442"/>
      <c r="AT8" s="442"/>
      <c r="AU8" s="442"/>
      <c r="AV8" s="442"/>
    </row>
    <row r="9" ht="15.75" customHeight="1">
      <c r="A9" s="455">
        <v>3.0</v>
      </c>
      <c r="B9" s="456" t="s">
        <v>565</v>
      </c>
      <c r="C9" s="456">
        <f>COUNTIFS('KIDS&amp;ADULTS'!$N$1:$N$1998, $B9, 'KIDS&amp;ADULTS'!$AA$1:$AA$1998, C$6)
</f>
        <v>0</v>
      </c>
      <c r="D9" s="456">
        <f>COUNTIFS('KIDS&amp;ADULTS'!$N$1:$N$1998, $B9, 'KIDS&amp;ADULTS'!$AA$1:$AA$1998, D$6)
</f>
        <v>0</v>
      </c>
      <c r="E9" s="456">
        <f>COUNTIFS('KIDS&amp;ADULTS'!$N$1:$N$1998, $B9, 'KIDS&amp;ADULTS'!$AA$1:$AA$1998, E$6)
</f>
        <v>0</v>
      </c>
      <c r="F9" s="456">
        <f>COUNTIFS('KIDS&amp;ADULTS'!$N$1:$N$1998, $B9, 'KIDS&amp;ADULTS'!$AA$1:$AA$1998, F$6)
</f>
        <v>0</v>
      </c>
      <c r="G9" s="456">
        <f>COUNTIFS('KIDS&amp;ADULTS'!$N$1:$N$1998, $B9, 'KIDS&amp;ADULTS'!$AA$1:$AA$1998, G$6)
</f>
        <v>4</v>
      </c>
      <c r="H9" s="456">
        <f>COUNTIFS('KIDS&amp;ADULTS'!$N$1:$N$1998, $B9, 'KIDS&amp;ADULTS'!$AA$1:$AA$1998, H$6)
</f>
        <v>29</v>
      </c>
      <c r="I9" s="456">
        <f>COUNTIFS('KIDS&amp;ADULTS'!$N$1:$N$1998, $B9, 'KIDS&amp;ADULTS'!$AA$1:$AA$1998, I$6)
</f>
        <v>62</v>
      </c>
      <c r="J9" s="456">
        <f>COUNTIFS('KIDS&amp;ADULTS'!$N$1:$N$1998, $B9, 'KIDS&amp;ADULTS'!$AA$1:$AA$1998, J$6)
</f>
        <v>24</v>
      </c>
      <c r="K9" s="456">
        <f>COUNTIFS('KIDS&amp;ADULTS'!$N$1:$N$1998, $B9, 'KIDS&amp;ADULTS'!$AA$1:$AA$1998, K$6)
</f>
        <v>59</v>
      </c>
      <c r="L9" s="456">
        <f>COUNTIFS('KIDS&amp;ADULTS'!$N$1:$N$1998, $B9, 'KIDS&amp;ADULTS'!$AA$1:$AA$1998, L$6)
</f>
        <v>36</v>
      </c>
      <c r="M9" s="456">
        <f>COUNTIFS('KIDS&amp;ADULTS'!$N$1:$N$1998, $B9, 'KIDS&amp;ADULTS'!$AA$1:$AA$1998, M$6)
</f>
        <v>15</v>
      </c>
      <c r="N9" s="456">
        <f>COUNTIFS('KIDS&amp;ADULTS'!$N$1:$N$1998, $B9, 'KIDS&amp;ADULTS'!$AA$1:$AA$1998, N$6)
</f>
        <v>13</v>
      </c>
      <c r="O9" s="457">
        <f t="shared" si="1"/>
        <v>242</v>
      </c>
      <c r="P9" s="442"/>
      <c r="Q9" s="442"/>
      <c r="R9" s="455">
        <v>3.0</v>
      </c>
      <c r="S9" s="456" t="s">
        <v>66</v>
      </c>
      <c r="T9" s="456">
        <f>COUNTIFS('KIDS&amp;ADULTS'!$M$1:$M$2007, $S9, 'KIDS&amp;ADULTS'!$AB$1:$AB$2007, T$6,'KIDS&amp;ADULTS'!$N$1:$N$2007,"Đã đóng học phí")
</f>
        <v>0</v>
      </c>
      <c r="U9" s="456">
        <f>COUNTIFS('KIDS&amp;ADULTS'!$M$1:$M$2007, $S9, 'KIDS&amp;ADULTS'!$AB$1:$AB$2007, U$6,'KIDS&amp;ADULTS'!$N$1:$N$2007,"Đã đóng học phí")
</f>
        <v>0</v>
      </c>
      <c r="V9" s="456">
        <f>COUNTIFS('KIDS&amp;ADULTS'!$M$1:$M$2007, $S9, 'KIDS&amp;ADULTS'!$AB$1:$AB$2007, V$6,'KIDS&amp;ADULTS'!$N$1:$N$2007,"Đã đóng học phí")
</f>
        <v>0</v>
      </c>
      <c r="W9" s="456">
        <f>COUNTIFS('KIDS&amp;ADULTS'!$M$1:$M$2007, $S9, 'KIDS&amp;ADULTS'!$AB$1:$AB$2007, W$6,'KIDS&amp;ADULTS'!$N$1:$N$2007,"Đã đóng học phí")
</f>
        <v>0</v>
      </c>
      <c r="X9" s="456">
        <f>COUNTIFS('KIDS&amp;ADULTS'!$M$1:$M$2007, $S9, 'KIDS&amp;ADULTS'!$AB$1:$AB$2007, X$6,'KIDS&amp;ADULTS'!$N$1:$N$2007,"Đã đóng học phí")
</f>
        <v>6</v>
      </c>
      <c r="Y9" s="456">
        <f>COUNTIFS('KIDS&amp;ADULTS'!$M$1:$M$2007, $S9, 'KIDS&amp;ADULTS'!$AB$1:$AB$2007, Y$6,'KIDS&amp;ADULTS'!$N$1:$N$2007,"Đã đóng học phí")
</f>
        <v>7</v>
      </c>
      <c r="Z9" s="456">
        <f>COUNTIFS('KIDS&amp;ADULTS'!$M$1:$M$2007, $S9, 'KIDS&amp;ADULTS'!$AB$1:$AB$2007, Z$6,'KIDS&amp;ADULTS'!$N$1:$N$2007,"Đã đóng học phí")
</f>
        <v>0</v>
      </c>
      <c r="AA9" s="456">
        <f>COUNTIFS('KIDS&amp;ADULTS'!$M$1:$M$2007, $S9, 'KIDS&amp;ADULTS'!$AB$1:$AB$2007, AA$6,'KIDS&amp;ADULTS'!$N$1:$N$2007,"Đã đóng học phí")
</f>
        <v>0</v>
      </c>
      <c r="AB9" s="456">
        <f>COUNTIFS('KIDS&amp;ADULTS'!$M$1:$M$2007, $S9, 'KIDS&amp;ADULTS'!$AB$1:$AB$2007, AB$6,'KIDS&amp;ADULTS'!$N$1:$N$2007,"Đã đóng học phí")
</f>
        <v>0</v>
      </c>
      <c r="AC9" s="456">
        <f>COUNTIFS('KIDS&amp;ADULTS'!$M$1:$M$2007, $S9, 'KIDS&amp;ADULTS'!$AB$1:$AB$2007, AC$6,'KIDS&amp;ADULTS'!$N$1:$N$2007,"Đã đóng học phí")
</f>
        <v>0</v>
      </c>
      <c r="AD9" s="456">
        <f>COUNTIFS('KIDS&amp;ADULTS'!$M$1:$M$2007, $S9, 'KIDS&amp;ADULTS'!$AB$1:$AB$2007, AD$6,'KIDS&amp;ADULTS'!$N$1:$N$2007,"Đã đóng học phí")
</f>
        <v>0</v>
      </c>
      <c r="AE9" s="456">
        <f>COUNTIFS('KIDS&amp;ADULTS'!$M$1:$M$2007, $S9, 'KIDS&amp;ADULTS'!$AB$1:$AB$2007, AE$6,'KIDS&amp;ADULTS'!$N$1:$N$2007,"Đã đóng học phí")
</f>
        <v>0</v>
      </c>
      <c r="AF9" s="457">
        <f t="shared" si="2"/>
        <v>13</v>
      </c>
      <c r="AG9" s="442"/>
      <c r="AH9" s="442"/>
      <c r="AI9" s="442"/>
      <c r="AJ9" s="442"/>
      <c r="AK9" s="442"/>
      <c r="AL9" s="442"/>
      <c r="AM9" s="442"/>
      <c r="AN9" s="442"/>
      <c r="AO9" s="442"/>
      <c r="AP9" s="442"/>
      <c r="AQ9" s="442"/>
      <c r="AR9" s="442"/>
      <c r="AS9" s="442"/>
      <c r="AT9" s="442"/>
      <c r="AU9" s="442"/>
      <c r="AV9" s="442"/>
    </row>
    <row r="10" ht="15.75" customHeight="1">
      <c r="A10" s="455">
        <v>4.0</v>
      </c>
      <c r="B10" s="456" t="s">
        <v>158</v>
      </c>
      <c r="C10" s="456">
        <f>COUNTIFS('KIDS&amp;ADULTS'!$N$1:$N$1998, $B10, 'KIDS&amp;ADULTS'!$AA$1:$AA$1998, C$6)
</f>
        <v>0</v>
      </c>
      <c r="D10" s="456">
        <f>COUNTIFS('KIDS&amp;ADULTS'!$N$1:$N$1998, $B10, 'KIDS&amp;ADULTS'!$AA$1:$AA$1998, D$6)
</f>
        <v>0</v>
      </c>
      <c r="E10" s="456">
        <f>COUNTIFS('KIDS&amp;ADULTS'!$N$1:$N$1998, $B10, 'KIDS&amp;ADULTS'!$AA$1:$AA$1998, E$6)
</f>
        <v>0</v>
      </c>
      <c r="F10" s="456">
        <f>COUNTIFS('KIDS&amp;ADULTS'!$N$1:$N$1998, $B10, 'KIDS&amp;ADULTS'!$AA$1:$AA$1998, F$6)
</f>
        <v>0</v>
      </c>
      <c r="G10" s="456">
        <f>COUNTIFS('KIDS&amp;ADULTS'!$N$1:$N$1998, $B10, 'KIDS&amp;ADULTS'!$AA$1:$AA$1998, G$6)
</f>
        <v>6</v>
      </c>
      <c r="H10" s="456">
        <f>COUNTIFS('KIDS&amp;ADULTS'!$N$1:$N$1998, $B10, 'KIDS&amp;ADULTS'!$AA$1:$AA$1998, H$6)
</f>
        <v>14</v>
      </c>
      <c r="I10" s="456">
        <f>COUNTIFS('KIDS&amp;ADULTS'!$N$1:$N$1998, $B10, 'KIDS&amp;ADULTS'!$AA$1:$AA$1998, I$6)
</f>
        <v>2</v>
      </c>
      <c r="J10" s="456">
        <f>COUNTIFS('KIDS&amp;ADULTS'!$N$1:$N$1998, $B10, 'KIDS&amp;ADULTS'!$AA$1:$AA$1998, J$6)
</f>
        <v>0</v>
      </c>
      <c r="K10" s="456">
        <f>COUNTIFS('KIDS&amp;ADULTS'!$N$1:$N$1998, $B10, 'KIDS&amp;ADULTS'!$AA$1:$AA$1998, K$6)
</f>
        <v>1</v>
      </c>
      <c r="L10" s="456">
        <f>COUNTIFS('KIDS&amp;ADULTS'!$N$1:$N$1998, $B10, 'KIDS&amp;ADULTS'!$AA$1:$AA$1998, L$6)
</f>
        <v>0</v>
      </c>
      <c r="M10" s="456">
        <f>COUNTIFS('KIDS&amp;ADULTS'!$N$1:$N$1998, $B10, 'KIDS&amp;ADULTS'!$AA$1:$AA$1998, M$6)
</f>
        <v>0</v>
      </c>
      <c r="N10" s="456">
        <f>COUNTIFS('KIDS&amp;ADULTS'!$N$1:$N$1998, $B10, 'KIDS&amp;ADULTS'!$AA$1:$AA$1998, N$6)
</f>
        <v>0</v>
      </c>
      <c r="O10" s="457">
        <f t="shared" si="1"/>
        <v>23</v>
      </c>
      <c r="P10" s="442"/>
      <c r="Q10" s="442"/>
      <c r="R10" s="455">
        <v>4.0</v>
      </c>
      <c r="S10" s="456" t="s">
        <v>580</v>
      </c>
      <c r="T10" s="456">
        <f>COUNTIFS('KIDS&amp;ADULTS'!$M$1:$M$2007, $S10, 'KIDS&amp;ADULTS'!$AB$1:$AB$2007, T$6,'KIDS&amp;ADULTS'!$N$1:$N$2007,"Đã đóng học phí")
</f>
        <v>0</v>
      </c>
      <c r="U10" s="456">
        <f>COUNTIFS('KIDS&amp;ADULTS'!$M$1:$M$2007, $S10, 'KIDS&amp;ADULTS'!$AB$1:$AB$2007, U$6,'KIDS&amp;ADULTS'!$N$1:$N$2007,"Đã đóng học phí")
</f>
        <v>0</v>
      </c>
      <c r="V10" s="456">
        <f>COUNTIFS('KIDS&amp;ADULTS'!$M$1:$M$2007, $S10, 'KIDS&amp;ADULTS'!$AB$1:$AB$2007, V$6,'KIDS&amp;ADULTS'!$N$1:$N$2007,"Đã đóng học phí")
</f>
        <v>0</v>
      </c>
      <c r="W10" s="456">
        <f>COUNTIFS('KIDS&amp;ADULTS'!$M$1:$M$2007, $S10, 'KIDS&amp;ADULTS'!$AB$1:$AB$2007, W$6,'KIDS&amp;ADULTS'!$N$1:$N$2007,"Đã đóng học phí")
</f>
        <v>0</v>
      </c>
      <c r="X10" s="456">
        <f>COUNTIFS('KIDS&amp;ADULTS'!$M$1:$M$2007, $S10, 'KIDS&amp;ADULTS'!$AB$1:$AB$2007, X$6,'KIDS&amp;ADULTS'!$N$1:$N$2007,"Đã đóng học phí")
</f>
        <v>1</v>
      </c>
      <c r="Y10" s="456">
        <f>COUNTIFS('KIDS&amp;ADULTS'!$M$1:$M$2007, $S10, 'KIDS&amp;ADULTS'!$AB$1:$AB$2007, Y$6,'KIDS&amp;ADULTS'!$N$1:$N$2007,"Đã đóng học phí")
</f>
        <v>0</v>
      </c>
      <c r="Z10" s="456">
        <f>COUNTIFS('KIDS&amp;ADULTS'!$M$1:$M$2007, $S10, 'KIDS&amp;ADULTS'!$AB$1:$AB$2007, Z$6,'KIDS&amp;ADULTS'!$N$1:$N$2007,"Đã đóng học phí")
</f>
        <v>0</v>
      </c>
      <c r="AA10" s="456">
        <f>COUNTIFS('KIDS&amp;ADULTS'!$M$1:$M$2007, $S10, 'KIDS&amp;ADULTS'!$AB$1:$AB$2007, AA$6,'KIDS&amp;ADULTS'!$N$1:$N$2007,"Đã đóng học phí")
</f>
        <v>0</v>
      </c>
      <c r="AB10" s="456">
        <f>COUNTIFS('KIDS&amp;ADULTS'!$M$1:$M$2007, $S10, 'KIDS&amp;ADULTS'!$AB$1:$AB$2007, AB$6,'KIDS&amp;ADULTS'!$N$1:$N$2007,"Đã đóng học phí")
</f>
        <v>0</v>
      </c>
      <c r="AC10" s="456">
        <f>COUNTIFS('KIDS&amp;ADULTS'!$M$1:$M$2007, $S10, 'KIDS&amp;ADULTS'!$AB$1:$AB$2007, AC$6,'KIDS&amp;ADULTS'!$N$1:$N$2007,"Đã đóng học phí")
</f>
        <v>0</v>
      </c>
      <c r="AD10" s="456">
        <f>COUNTIFS('KIDS&amp;ADULTS'!$M$1:$M$2007, $S10, 'KIDS&amp;ADULTS'!$AB$1:$AB$2007, AD$6,'KIDS&amp;ADULTS'!$N$1:$N$2007,"Đã đóng học phí")
</f>
        <v>0</v>
      </c>
      <c r="AE10" s="456">
        <f>COUNTIFS('KIDS&amp;ADULTS'!$M$1:$M$2007, $S10, 'KIDS&amp;ADULTS'!$AB$1:$AB$2007, AE$6,'KIDS&amp;ADULTS'!$N$1:$N$2007,"Đã đóng học phí")
</f>
        <v>0</v>
      </c>
      <c r="AF10" s="457">
        <f t="shared" si="2"/>
        <v>1</v>
      </c>
      <c r="AG10" s="442"/>
      <c r="AH10" s="442"/>
      <c r="AI10" s="442"/>
      <c r="AJ10" s="442"/>
      <c r="AK10" s="442"/>
      <c r="AL10" s="442"/>
      <c r="AM10" s="442"/>
      <c r="AN10" s="442"/>
      <c r="AO10" s="442"/>
      <c r="AP10" s="442"/>
      <c r="AQ10" s="442"/>
      <c r="AR10" s="442"/>
      <c r="AS10" s="442"/>
      <c r="AT10" s="442"/>
      <c r="AU10" s="442"/>
      <c r="AV10" s="442"/>
    </row>
    <row r="11" ht="15.75" customHeight="1">
      <c r="A11" s="455">
        <v>5.0</v>
      </c>
      <c r="B11" s="456" t="s">
        <v>333</v>
      </c>
      <c r="C11" s="456">
        <f>COUNTIFS('KIDS&amp;ADULTS'!$N$1:$N$1998, $B11, 'KIDS&amp;ADULTS'!$AA$1:$AA$1998, C$6)
</f>
        <v>0</v>
      </c>
      <c r="D11" s="456">
        <f>COUNTIFS('KIDS&amp;ADULTS'!$N$1:$N$1998, $B11, 'KIDS&amp;ADULTS'!$AA$1:$AA$1998, D$6)
</f>
        <v>0</v>
      </c>
      <c r="E11" s="456">
        <f>COUNTIFS('KIDS&amp;ADULTS'!$N$1:$N$1998, $B11, 'KIDS&amp;ADULTS'!$AA$1:$AA$1998, E$6)
</f>
        <v>0</v>
      </c>
      <c r="F11" s="456">
        <f>COUNTIFS('KIDS&amp;ADULTS'!$N$1:$N$1998, $B11, 'KIDS&amp;ADULTS'!$AA$1:$AA$1998, F$6)
</f>
        <v>0</v>
      </c>
      <c r="G11" s="456">
        <f>COUNTIFS('KIDS&amp;ADULTS'!$N$1:$N$1998, $B11, 'KIDS&amp;ADULTS'!$AA$1:$AA$1998, G$6)
</f>
        <v>6</v>
      </c>
      <c r="H11" s="456">
        <f>COUNTIFS('KIDS&amp;ADULTS'!$N$1:$N$1998, $B11, 'KIDS&amp;ADULTS'!$AA$1:$AA$1998, H$6)
</f>
        <v>7</v>
      </c>
      <c r="I11" s="456">
        <f>COUNTIFS('KIDS&amp;ADULTS'!$N$1:$N$1998, $B11, 'KIDS&amp;ADULTS'!$AA$1:$AA$1998, I$6)
</f>
        <v>1</v>
      </c>
      <c r="J11" s="456">
        <f>COUNTIFS('KIDS&amp;ADULTS'!$N$1:$N$1998, $B11, 'KIDS&amp;ADULTS'!$AA$1:$AA$1998, J$6)
</f>
        <v>0</v>
      </c>
      <c r="K11" s="456">
        <f>COUNTIFS('KIDS&amp;ADULTS'!$N$1:$N$1998, $B11, 'KIDS&amp;ADULTS'!$AA$1:$AA$1998, K$6)
</f>
        <v>0</v>
      </c>
      <c r="L11" s="456">
        <f>COUNTIFS('KIDS&amp;ADULTS'!$N$1:$N$1998, $B11, 'KIDS&amp;ADULTS'!$AA$1:$AA$1998, L$6)
</f>
        <v>0</v>
      </c>
      <c r="M11" s="456">
        <f>COUNTIFS('KIDS&amp;ADULTS'!$N$1:$N$1998, $B11, 'KIDS&amp;ADULTS'!$AA$1:$AA$1998, M$6)
</f>
        <v>0</v>
      </c>
      <c r="N11" s="456">
        <f>COUNTIFS('KIDS&amp;ADULTS'!$N$1:$N$1998, $B11, 'KIDS&amp;ADULTS'!$AA$1:$AA$1998, N$6)
</f>
        <v>0</v>
      </c>
      <c r="O11" s="457">
        <f t="shared" si="1"/>
        <v>14</v>
      </c>
      <c r="P11" s="442"/>
      <c r="Q11" s="442"/>
      <c r="R11" s="455">
        <v>5.0</v>
      </c>
      <c r="S11" s="456" t="s">
        <v>412</v>
      </c>
      <c r="T11" s="456">
        <f>COUNTIFS('KIDS&amp;ADULTS'!$M$1:$M$2007, $S11, 'KIDS&amp;ADULTS'!$AB$1:$AB$2007, T$6,'KIDS&amp;ADULTS'!$N$1:$N$2007,"Đã đóng học phí")
</f>
        <v>0</v>
      </c>
      <c r="U11" s="456">
        <f>COUNTIFS('KIDS&amp;ADULTS'!$M$1:$M$2007, $S11, 'KIDS&amp;ADULTS'!$AB$1:$AB$2007, U$6,'KIDS&amp;ADULTS'!$N$1:$N$2007,"Đã đóng học phí")
</f>
        <v>0</v>
      </c>
      <c r="V11" s="456">
        <f>COUNTIFS('KIDS&amp;ADULTS'!$M$1:$M$2007, $S11, 'KIDS&amp;ADULTS'!$AB$1:$AB$2007, V$6,'KIDS&amp;ADULTS'!$N$1:$N$2007,"Đã đóng học phí")
</f>
        <v>0</v>
      </c>
      <c r="W11" s="456">
        <f>COUNTIFS('KIDS&amp;ADULTS'!$M$1:$M$2007, $S11, 'KIDS&amp;ADULTS'!$AB$1:$AB$2007, W$6,'KIDS&amp;ADULTS'!$N$1:$N$2007,"Đã đóng học phí")
</f>
        <v>0</v>
      </c>
      <c r="X11" s="456">
        <f>COUNTIFS('KIDS&amp;ADULTS'!$M$1:$M$2007, $S11, 'KIDS&amp;ADULTS'!$AB$1:$AB$2007, X$6,'KIDS&amp;ADULTS'!$N$1:$N$2007,"Đã đóng học phí")
</f>
        <v>0</v>
      </c>
      <c r="Y11" s="456">
        <f>COUNTIFS('KIDS&amp;ADULTS'!$M$1:$M$2007, $S11, 'KIDS&amp;ADULTS'!$AB$1:$AB$2007, Y$6,'KIDS&amp;ADULTS'!$N$1:$N$2007,"Đã đóng học phí")
</f>
        <v>4</v>
      </c>
      <c r="Z11" s="456">
        <f>COUNTIFS('KIDS&amp;ADULTS'!$M$1:$M$2007, $S11, 'KIDS&amp;ADULTS'!$AB$1:$AB$2007, Z$6,'KIDS&amp;ADULTS'!$N$1:$N$2007,"Đã đóng học phí")
</f>
        <v>0</v>
      </c>
      <c r="AA11" s="456">
        <f>COUNTIFS('KIDS&amp;ADULTS'!$M$1:$M$2007, $S11, 'KIDS&amp;ADULTS'!$AB$1:$AB$2007, AA$6,'KIDS&amp;ADULTS'!$N$1:$N$2007,"Đã đóng học phí")
</f>
        <v>2</v>
      </c>
      <c r="AB11" s="456">
        <f>COUNTIFS('KIDS&amp;ADULTS'!$M$1:$M$2007, $S11, 'KIDS&amp;ADULTS'!$AB$1:$AB$2007, AB$6,'KIDS&amp;ADULTS'!$N$1:$N$2007,"Đã đóng học phí")
</f>
        <v>0</v>
      </c>
      <c r="AC11" s="456">
        <f>COUNTIFS('KIDS&amp;ADULTS'!$M$1:$M$2007, $S11, 'KIDS&amp;ADULTS'!$AB$1:$AB$2007, AC$6,'KIDS&amp;ADULTS'!$N$1:$N$2007,"Đã đóng học phí")
</f>
        <v>0</v>
      </c>
      <c r="AD11" s="456">
        <f>COUNTIFS('KIDS&amp;ADULTS'!$M$1:$M$2007, $S11, 'KIDS&amp;ADULTS'!$AB$1:$AB$2007, AD$6,'KIDS&amp;ADULTS'!$N$1:$N$2007,"Đã đóng học phí")
</f>
        <v>0</v>
      </c>
      <c r="AE11" s="456">
        <f>COUNTIFS('KIDS&amp;ADULTS'!$M$1:$M$2007, $S11, 'KIDS&amp;ADULTS'!$AB$1:$AB$2007, AE$6,'KIDS&amp;ADULTS'!$N$1:$N$2007,"Đã đóng học phí")
</f>
        <v>0</v>
      </c>
      <c r="AF11" s="457">
        <f t="shared" si="2"/>
        <v>6</v>
      </c>
      <c r="AG11" s="442"/>
      <c r="AH11" s="442"/>
      <c r="AI11" s="442"/>
      <c r="AJ11" s="442"/>
      <c r="AK11" s="442"/>
      <c r="AL11" s="442"/>
      <c r="AM11" s="442"/>
      <c r="AN11" s="442"/>
      <c r="AO11" s="442"/>
      <c r="AP11" s="442"/>
      <c r="AQ11" s="442"/>
      <c r="AR11" s="442"/>
      <c r="AS11" s="442"/>
      <c r="AT11" s="442"/>
      <c r="AU11" s="442"/>
      <c r="AV11" s="442"/>
    </row>
    <row r="12" ht="16.5" customHeight="1">
      <c r="A12" s="455">
        <v>6.0</v>
      </c>
      <c r="B12" s="456" t="s">
        <v>1049</v>
      </c>
      <c r="C12" s="456">
        <f>COUNTIFS('KIDS&amp;ADULTS'!$N$1:$N$1998, $B12, 'KIDS&amp;ADULTS'!$AA$1:$AA$1998, C$6)
</f>
        <v>0</v>
      </c>
      <c r="D12" s="456">
        <f>COUNTIFS('KIDS&amp;ADULTS'!$N$1:$N$1998, $B12, 'KIDS&amp;ADULTS'!$AA$1:$AA$1998, D$6)
</f>
        <v>0</v>
      </c>
      <c r="E12" s="456">
        <f>COUNTIFS('KIDS&amp;ADULTS'!$N$1:$N$1998, $B12, 'KIDS&amp;ADULTS'!$AA$1:$AA$1998, E$6)
</f>
        <v>0</v>
      </c>
      <c r="F12" s="456">
        <f>COUNTIFS('KIDS&amp;ADULTS'!$N$1:$N$1998, $B12, 'KIDS&amp;ADULTS'!$AA$1:$AA$1998, F$6)
</f>
        <v>0</v>
      </c>
      <c r="G12" s="456">
        <f>COUNTIFS('KIDS&amp;ADULTS'!$N$1:$N$1998, $B12, 'KIDS&amp;ADULTS'!$AA$1:$AA$1998, G$6)
</f>
        <v>0</v>
      </c>
      <c r="H12" s="456">
        <f>COUNTIFS('KIDS&amp;ADULTS'!$N$1:$N$1998, $B12, 'KIDS&amp;ADULTS'!$AA$1:$AA$1998, H$6)
</f>
        <v>4</v>
      </c>
      <c r="I12" s="456">
        <f>COUNTIFS('KIDS&amp;ADULTS'!$N$1:$N$1998, $B12, 'KIDS&amp;ADULTS'!$AA$1:$AA$1998, I$6)
</f>
        <v>0</v>
      </c>
      <c r="J12" s="456">
        <f>COUNTIFS('KIDS&amp;ADULTS'!$N$1:$N$1998, $B12, 'KIDS&amp;ADULTS'!$AA$1:$AA$1998, J$6)
</f>
        <v>0</v>
      </c>
      <c r="K12" s="456">
        <f>COUNTIFS('KIDS&amp;ADULTS'!$N$1:$N$1998, $B12, 'KIDS&amp;ADULTS'!$AA$1:$AA$1998, K$6)
</f>
        <v>0</v>
      </c>
      <c r="L12" s="456">
        <f>COUNTIFS('KIDS&amp;ADULTS'!$N$1:$N$1998, $B12, 'KIDS&amp;ADULTS'!$AA$1:$AA$1998, L$6)
</f>
        <v>0</v>
      </c>
      <c r="M12" s="456">
        <f>COUNTIFS('KIDS&amp;ADULTS'!$N$1:$N$1998, $B12, 'KIDS&amp;ADULTS'!$AA$1:$AA$1998, M$6)
</f>
        <v>0</v>
      </c>
      <c r="N12" s="456">
        <f>COUNTIFS('KIDS&amp;ADULTS'!$N$1:$N$1998, $B12, 'KIDS&amp;ADULTS'!$AA$1:$AA$1998, N$6)
</f>
        <v>0</v>
      </c>
      <c r="O12" s="457">
        <f t="shared" si="1"/>
        <v>4</v>
      </c>
      <c r="P12" s="442"/>
      <c r="Q12" s="442"/>
      <c r="R12" s="455">
        <v>6.0</v>
      </c>
      <c r="S12" s="456" t="s">
        <v>48</v>
      </c>
      <c r="T12" s="456">
        <f>COUNTIFS('KIDS&amp;ADULTS'!$M$1:$M$2007, $S12, 'KIDS&amp;ADULTS'!$AB$1:$AB$2007, T$6,'KIDS&amp;ADULTS'!$N$1:$N$2007,"Đã đóng học phí")
</f>
        <v>0</v>
      </c>
      <c r="U12" s="456">
        <f>COUNTIFS('KIDS&amp;ADULTS'!$M$1:$M$2007, $S12, 'KIDS&amp;ADULTS'!$AB$1:$AB$2007, U$6,'KIDS&amp;ADULTS'!$N$1:$N$2007,"Đã đóng học phí")
</f>
        <v>0</v>
      </c>
      <c r="V12" s="456">
        <f>COUNTIFS('KIDS&amp;ADULTS'!$M$1:$M$2007, $S12, 'KIDS&amp;ADULTS'!$AB$1:$AB$2007, V$6,'KIDS&amp;ADULTS'!$N$1:$N$2007,"Đã đóng học phí")
</f>
        <v>0</v>
      </c>
      <c r="W12" s="456">
        <f>COUNTIFS('KIDS&amp;ADULTS'!$M$1:$M$2007, $S12, 'KIDS&amp;ADULTS'!$AB$1:$AB$2007, W$6,'KIDS&amp;ADULTS'!$N$1:$N$2007,"Đã đóng học phí")
</f>
        <v>0</v>
      </c>
      <c r="X12" s="456">
        <f>COUNTIFS('KIDS&amp;ADULTS'!$M$1:$M$2007, $S12, 'KIDS&amp;ADULTS'!$AB$1:$AB$2007, X$6,'KIDS&amp;ADULTS'!$N$1:$N$2007,"Đã đóng học phí")
</f>
        <v>0</v>
      </c>
      <c r="Y12" s="456">
        <f>COUNTIFS('KIDS&amp;ADULTS'!$M$1:$M$2007, $S12, 'KIDS&amp;ADULTS'!$AB$1:$AB$2007, Y$6,'KIDS&amp;ADULTS'!$N$1:$N$2007,"Đã đóng học phí")
</f>
        <v>12</v>
      </c>
      <c r="Z12" s="456">
        <f>COUNTIFS('KIDS&amp;ADULTS'!$M$1:$M$2007, $S12, 'KIDS&amp;ADULTS'!$AB$1:$AB$2007, Z$6,'KIDS&amp;ADULTS'!$N$1:$N$2007,"Đã đóng học phí")
</f>
        <v>20</v>
      </c>
      <c r="AA12" s="456">
        <f>COUNTIFS('KIDS&amp;ADULTS'!$M$1:$M$2007, $S12, 'KIDS&amp;ADULTS'!$AB$1:$AB$2007, AA$6,'KIDS&amp;ADULTS'!$N$1:$N$2007,"Đã đóng học phí")
</f>
        <v>2</v>
      </c>
      <c r="AB12" s="456">
        <f>COUNTIFS('KIDS&amp;ADULTS'!$M$1:$M$2007, $S12, 'KIDS&amp;ADULTS'!$AB$1:$AB$2007, AB$6,'KIDS&amp;ADULTS'!$N$1:$N$2007,"Đã đóng học phí")
</f>
        <v>0</v>
      </c>
      <c r="AC12" s="456">
        <f>COUNTIFS('KIDS&amp;ADULTS'!$M$1:$M$2007, $S12, 'KIDS&amp;ADULTS'!$AB$1:$AB$2007, AC$6,'KIDS&amp;ADULTS'!$N$1:$N$2007,"Đã đóng học phí")
</f>
        <v>0</v>
      </c>
      <c r="AD12" s="456">
        <f>COUNTIFS('KIDS&amp;ADULTS'!$M$1:$M$2007, $S12, 'KIDS&amp;ADULTS'!$AB$1:$AB$2007, AD$6,'KIDS&amp;ADULTS'!$N$1:$N$2007,"Đã đóng học phí")
</f>
        <v>0</v>
      </c>
      <c r="AE12" s="456">
        <f>COUNTIFS('KIDS&amp;ADULTS'!$M$1:$M$2007, $S12, 'KIDS&amp;ADULTS'!$AB$1:$AB$2007, AE$6,'KIDS&amp;ADULTS'!$N$1:$N$2007,"Đã đóng học phí")
</f>
        <v>0</v>
      </c>
      <c r="AF12" s="457">
        <f t="shared" si="2"/>
        <v>34</v>
      </c>
      <c r="AG12" s="442"/>
      <c r="AH12" s="459" t="s">
        <v>4747</v>
      </c>
      <c r="AI12" s="442"/>
      <c r="AJ12" s="442"/>
      <c r="AK12" s="442"/>
      <c r="AL12" s="442"/>
      <c r="AM12" s="442"/>
      <c r="AN12" s="442"/>
      <c r="AO12" s="442"/>
      <c r="AP12" s="442"/>
      <c r="AQ12" s="442"/>
      <c r="AR12" s="442"/>
      <c r="AS12" s="442"/>
      <c r="AT12" s="442"/>
      <c r="AU12" s="442"/>
      <c r="AV12" s="442"/>
    </row>
    <row r="13" ht="15.75" customHeight="1">
      <c r="A13" s="455">
        <v>7.0</v>
      </c>
      <c r="B13" s="456" t="s">
        <v>13</v>
      </c>
      <c r="C13" s="456">
        <f>COUNTIFS('KIDS&amp;ADULTS'!$N$1:$N$1998, $B13, 'KIDS&amp;ADULTS'!$AA$1:$AA$1998, C$6)
</f>
        <v>0</v>
      </c>
      <c r="D13" s="456">
        <f>COUNTIFS('KIDS&amp;ADULTS'!$N$1:$N$1998, $B13, 'KIDS&amp;ADULTS'!$AA$1:$AA$1998, D$6)
</f>
        <v>0</v>
      </c>
      <c r="E13" s="456">
        <f>COUNTIFS('KIDS&amp;ADULTS'!$N$1:$N$1998, $B13, 'KIDS&amp;ADULTS'!$AA$1:$AA$1998, E$6)
</f>
        <v>0</v>
      </c>
      <c r="F13" s="456">
        <f>COUNTIFS('KIDS&amp;ADULTS'!$N$1:$N$1998, $B13, 'KIDS&amp;ADULTS'!$AA$1:$AA$1998, F$6)
</f>
        <v>0</v>
      </c>
      <c r="G13" s="456">
        <f>COUNTIFS('KIDS&amp;ADULTS'!$N$1:$N$1998, $B13, 'KIDS&amp;ADULTS'!$AA$1:$AA$1998, G$6)
</f>
        <v>9</v>
      </c>
      <c r="H13" s="456">
        <f>COUNTIFS('KIDS&amp;ADULTS'!$N$1:$N$1998, $B13, 'KIDS&amp;ADULTS'!$AA$1:$AA$1998, H$6)
</f>
        <v>28</v>
      </c>
      <c r="I13" s="456">
        <f>COUNTIFS('KIDS&amp;ADULTS'!$N$1:$N$1998, $B13, 'KIDS&amp;ADULTS'!$AA$1:$AA$1998, I$6)
</f>
        <v>20</v>
      </c>
      <c r="J13" s="456">
        <f>COUNTIFS('KIDS&amp;ADULTS'!$N$1:$N$1998, $B13, 'KIDS&amp;ADULTS'!$AA$1:$AA$1998, J$6)
</f>
        <v>16</v>
      </c>
      <c r="K13" s="456">
        <f>COUNTIFS('KIDS&amp;ADULTS'!$N$1:$N$1998, $B13, 'KIDS&amp;ADULTS'!$AA$1:$AA$1998, K$6)
</f>
        <v>18</v>
      </c>
      <c r="L13" s="456">
        <f>COUNTIFS('KIDS&amp;ADULTS'!$N$1:$N$1998, $B13, 'KIDS&amp;ADULTS'!$AA$1:$AA$1998, L$6)
</f>
        <v>14</v>
      </c>
      <c r="M13" s="456">
        <f>COUNTIFS('KIDS&amp;ADULTS'!$N$1:$N$1998, $B13, 'KIDS&amp;ADULTS'!$AA$1:$AA$1998, M$6)
</f>
        <v>9</v>
      </c>
      <c r="N13" s="456">
        <f>COUNTIFS('KIDS&amp;ADULTS'!$N$1:$N$1998, $B13, 'KIDS&amp;ADULTS'!$AA$1:$AA$1998, N$6)
</f>
        <v>3</v>
      </c>
      <c r="O13" s="457">
        <f t="shared" si="1"/>
        <v>117</v>
      </c>
      <c r="P13" s="442"/>
      <c r="Q13" s="442"/>
      <c r="R13" s="455">
        <v>7.0</v>
      </c>
      <c r="S13" s="456" t="s">
        <v>33</v>
      </c>
      <c r="T13" s="456">
        <f>COUNTIFS('KIDS&amp;ADULTS'!$M$1:$M$2007, $S13, 'KIDS&amp;ADULTS'!$AB$1:$AB$2007, T$6,'KIDS&amp;ADULTS'!$N$1:$N$2007,"Đã đóng học phí")
</f>
        <v>0</v>
      </c>
      <c r="U13" s="456">
        <f>COUNTIFS('KIDS&amp;ADULTS'!$M$1:$M$2007, $S13, 'KIDS&amp;ADULTS'!$AB$1:$AB$2007, U$6,'KIDS&amp;ADULTS'!$N$1:$N$2007,"Đã đóng học phí")
</f>
        <v>0</v>
      </c>
      <c r="V13" s="456">
        <f>COUNTIFS('KIDS&amp;ADULTS'!$M$1:$M$2007, $S13, 'KIDS&amp;ADULTS'!$AB$1:$AB$2007, V$6,'KIDS&amp;ADULTS'!$N$1:$N$2007,"Đã đóng học phí")
</f>
        <v>0</v>
      </c>
      <c r="W13" s="456">
        <f>COUNTIFS('KIDS&amp;ADULTS'!$M$1:$M$2007, $S13, 'KIDS&amp;ADULTS'!$AB$1:$AB$2007, W$6,'KIDS&amp;ADULTS'!$N$1:$N$2007,"Đã đóng học phí")
</f>
        <v>0</v>
      </c>
      <c r="X13" s="456">
        <f>COUNTIFS('KIDS&amp;ADULTS'!$M$1:$M$2007, $S13, 'KIDS&amp;ADULTS'!$AB$1:$AB$2007, X$6,'KIDS&amp;ADULTS'!$N$1:$N$2007,"Đã đóng học phí")
</f>
        <v>1</v>
      </c>
      <c r="Y13" s="456">
        <f>COUNTIFS('KIDS&amp;ADULTS'!$M$1:$M$2007, $S13, 'KIDS&amp;ADULTS'!$AB$1:$AB$2007, Y$6,'KIDS&amp;ADULTS'!$N$1:$N$2007,"Đã đóng học phí")
</f>
        <v>0</v>
      </c>
      <c r="Z13" s="456">
        <f>COUNTIFS('KIDS&amp;ADULTS'!$M$1:$M$2007, $S13, 'KIDS&amp;ADULTS'!$AB$1:$AB$2007, Z$6,'KIDS&amp;ADULTS'!$N$1:$N$2007,"Đã đóng học phí")
</f>
        <v>0</v>
      </c>
      <c r="AA13" s="456">
        <f>COUNTIFS('KIDS&amp;ADULTS'!$M$1:$M$2007, $S13, 'KIDS&amp;ADULTS'!$AB$1:$AB$2007, AA$6,'KIDS&amp;ADULTS'!$N$1:$N$2007,"Đã đóng học phí")
</f>
        <v>0</v>
      </c>
      <c r="AB13" s="456">
        <f>COUNTIFS('KIDS&amp;ADULTS'!$M$1:$M$2007, $S13, 'KIDS&amp;ADULTS'!$AB$1:$AB$2007, AB$6,'KIDS&amp;ADULTS'!$N$1:$N$2007,"Đã đóng học phí")
</f>
        <v>0</v>
      </c>
      <c r="AC13" s="456">
        <f>COUNTIFS('KIDS&amp;ADULTS'!$M$1:$M$2007, $S13, 'KIDS&amp;ADULTS'!$AB$1:$AB$2007, AC$6,'KIDS&amp;ADULTS'!$N$1:$N$2007,"Đã đóng học phí")
</f>
        <v>0</v>
      </c>
      <c r="AD13" s="456">
        <f>COUNTIFS('KIDS&amp;ADULTS'!$M$1:$M$2007, $S13, 'KIDS&amp;ADULTS'!$AB$1:$AB$2007, AD$6,'KIDS&amp;ADULTS'!$N$1:$N$2007,"Đã đóng học phí")
</f>
        <v>0</v>
      </c>
      <c r="AE13" s="456">
        <f>COUNTIFS('KIDS&amp;ADULTS'!$M$1:$M$2007, $S13, 'KIDS&amp;ADULTS'!$AB$1:$AB$2007, AE$6,'KIDS&amp;ADULTS'!$N$1:$N$2007,"Đã đóng học phí")
</f>
        <v>0</v>
      </c>
      <c r="AF13" s="457">
        <f t="shared" si="2"/>
        <v>1</v>
      </c>
      <c r="AG13" s="442"/>
      <c r="AH13" s="442"/>
      <c r="AI13" s="442"/>
      <c r="AJ13" s="442"/>
      <c r="AK13" s="442"/>
      <c r="AL13" s="442"/>
      <c r="AM13" s="442"/>
      <c r="AN13" s="442"/>
      <c r="AO13" s="442"/>
      <c r="AP13" s="442"/>
      <c r="AQ13" s="442"/>
      <c r="AR13" s="442"/>
      <c r="AS13" s="442"/>
      <c r="AT13" s="442"/>
      <c r="AU13" s="442"/>
      <c r="AV13" s="442"/>
    </row>
    <row r="14" ht="15.75" customHeight="1">
      <c r="A14" s="455">
        <v>8.0</v>
      </c>
      <c r="B14" s="456" t="s">
        <v>4748</v>
      </c>
      <c r="C14" s="456">
        <f>COUNTIFS('KIDS&amp;ADULTS'!$N$1:$N$1998, $B14, 'KIDS&amp;ADULTS'!$AA$1:$AA$1998, C$6)
</f>
        <v>0</v>
      </c>
      <c r="D14" s="456">
        <f>COUNTIFS('KIDS&amp;ADULTS'!$N$1:$N$1998, $B14, 'KIDS&amp;ADULTS'!$AA$1:$AA$1998, D$6)
</f>
        <v>0</v>
      </c>
      <c r="E14" s="456">
        <f>COUNTIFS('KIDS&amp;ADULTS'!$N$1:$N$1998, $B14, 'KIDS&amp;ADULTS'!$AA$1:$AA$1998, E$6)
</f>
        <v>0</v>
      </c>
      <c r="F14" s="456">
        <f>COUNTIFS('KIDS&amp;ADULTS'!$N$1:$N$1998, $B14, 'KIDS&amp;ADULTS'!$AA$1:$AA$1998, F$6)
</f>
        <v>0</v>
      </c>
      <c r="G14" s="456">
        <f>COUNTIFS('KIDS&amp;ADULTS'!$N$1:$N$1998, $B14, 'KIDS&amp;ADULTS'!$AA$1:$AA$1998, G$6)
</f>
        <v>0</v>
      </c>
      <c r="H14" s="456">
        <f>COUNTIFS('KIDS&amp;ADULTS'!$N$1:$N$1998, $B14, 'KIDS&amp;ADULTS'!$AA$1:$AA$1998, H$6)
</f>
        <v>0</v>
      </c>
      <c r="I14" s="456">
        <f>COUNTIFS('KIDS&amp;ADULTS'!$N$1:$N$1998, $B14, 'KIDS&amp;ADULTS'!$AA$1:$AA$1998, I$6)
</f>
        <v>0</v>
      </c>
      <c r="J14" s="456">
        <f>COUNTIFS('KIDS&amp;ADULTS'!$N$1:$N$1998, $B14, 'KIDS&amp;ADULTS'!$AA$1:$AA$1998, J$6)
</f>
        <v>0</v>
      </c>
      <c r="K14" s="456">
        <f>COUNTIFS('KIDS&amp;ADULTS'!$N$1:$N$1998, $B14, 'KIDS&amp;ADULTS'!$AA$1:$AA$1998, K$6)
</f>
        <v>0</v>
      </c>
      <c r="L14" s="456">
        <f>COUNTIFS('KIDS&amp;ADULTS'!$N$1:$N$1998, $B14, 'KIDS&amp;ADULTS'!$AA$1:$AA$1998, L$6)
</f>
        <v>0</v>
      </c>
      <c r="M14" s="456">
        <f>COUNTIFS('KIDS&amp;ADULTS'!$N$1:$N$1998, $B14, 'KIDS&amp;ADULTS'!$AA$1:$AA$1998, M$6)
</f>
        <v>0</v>
      </c>
      <c r="N14" s="456">
        <f>COUNTIFS('KIDS&amp;ADULTS'!$N$1:$N$1998, $B14, 'KIDS&amp;ADULTS'!$AA$1:$AA$1998, N$6)
</f>
        <v>0</v>
      </c>
      <c r="O14" s="457">
        <f t="shared" si="1"/>
        <v>0</v>
      </c>
      <c r="P14" s="442"/>
      <c r="Q14" s="442"/>
      <c r="R14" s="460" t="s">
        <v>4742</v>
      </c>
      <c r="S14" s="461"/>
      <c r="T14" s="462">
        <f t="shared" ref="T14:AF14" si="3">sum(T7:T13)</f>
        <v>0</v>
      </c>
      <c r="U14" s="462">
        <f t="shared" si="3"/>
        <v>0</v>
      </c>
      <c r="V14" s="462">
        <f t="shared" si="3"/>
        <v>0</v>
      </c>
      <c r="W14" s="462">
        <f t="shared" si="3"/>
        <v>0</v>
      </c>
      <c r="X14" s="462">
        <f t="shared" si="3"/>
        <v>11</v>
      </c>
      <c r="Y14" s="462">
        <f t="shared" si="3"/>
        <v>46</v>
      </c>
      <c r="Z14" s="462">
        <f t="shared" si="3"/>
        <v>40</v>
      </c>
      <c r="AA14" s="462">
        <f t="shared" si="3"/>
        <v>16</v>
      </c>
      <c r="AB14" s="462">
        <f t="shared" si="3"/>
        <v>14</v>
      </c>
      <c r="AC14" s="462">
        <f t="shared" si="3"/>
        <v>10</v>
      </c>
      <c r="AD14" s="462">
        <f t="shared" si="3"/>
        <v>6</v>
      </c>
      <c r="AE14" s="462">
        <f t="shared" si="3"/>
        <v>8</v>
      </c>
      <c r="AF14" s="463">
        <f t="shared" si="3"/>
        <v>151</v>
      </c>
      <c r="AG14" s="442"/>
      <c r="AH14" s="442"/>
      <c r="AI14" s="442"/>
      <c r="AJ14" s="442"/>
      <c r="AK14" s="442"/>
      <c r="AL14" s="442"/>
      <c r="AM14" s="442"/>
      <c r="AN14" s="442"/>
      <c r="AO14" s="442"/>
      <c r="AP14" s="442"/>
      <c r="AQ14" s="442"/>
      <c r="AR14" s="442"/>
      <c r="AS14" s="442"/>
      <c r="AT14" s="442"/>
      <c r="AU14" s="442"/>
      <c r="AV14" s="442"/>
    </row>
    <row r="15" ht="15.75" customHeight="1">
      <c r="A15" s="455">
        <v>9.0</v>
      </c>
      <c r="B15" s="456" t="s">
        <v>1131</v>
      </c>
      <c r="C15" s="456">
        <f>COUNTIFS('KIDS&amp;ADULTS'!$N$1:$N$1998, $B15, 'KIDS&amp;ADULTS'!$AA$1:$AA$1998, C$6)
</f>
        <v>0</v>
      </c>
      <c r="D15" s="456">
        <f>COUNTIFS('KIDS&amp;ADULTS'!$N$1:$N$1998, $B15, 'KIDS&amp;ADULTS'!$AA$1:$AA$1998, D$6)
</f>
        <v>0</v>
      </c>
      <c r="E15" s="456">
        <f>COUNTIFS('KIDS&amp;ADULTS'!$N$1:$N$1998, $B15, 'KIDS&amp;ADULTS'!$AA$1:$AA$1998, E$6)
</f>
        <v>0</v>
      </c>
      <c r="F15" s="456">
        <f>COUNTIFS('KIDS&amp;ADULTS'!$N$1:$N$1998, $B15, 'KIDS&amp;ADULTS'!$AA$1:$AA$1998, F$6)
</f>
        <v>0</v>
      </c>
      <c r="G15" s="456">
        <f>COUNTIFS('KIDS&amp;ADULTS'!$N$1:$N$1998, $B15, 'KIDS&amp;ADULTS'!$AA$1:$AA$1998, G$6)
</f>
        <v>0</v>
      </c>
      <c r="H15" s="456">
        <f>COUNTIFS('KIDS&amp;ADULTS'!$N$1:$N$1998, $B15, 'KIDS&amp;ADULTS'!$AA$1:$AA$1998, H$6)
</f>
        <v>1</v>
      </c>
      <c r="I15" s="456">
        <f>COUNTIFS('KIDS&amp;ADULTS'!$N$1:$N$1998, $B15, 'KIDS&amp;ADULTS'!$AA$1:$AA$1998, I$6)
</f>
        <v>0</v>
      </c>
      <c r="J15" s="456">
        <f>COUNTIFS('KIDS&amp;ADULTS'!$N$1:$N$1998, $B15, 'KIDS&amp;ADULTS'!$AA$1:$AA$1998, J$6)
</f>
        <v>0</v>
      </c>
      <c r="K15" s="456">
        <f>COUNTIFS('KIDS&amp;ADULTS'!$N$1:$N$1998, $B15, 'KIDS&amp;ADULTS'!$AA$1:$AA$1998, K$6)
</f>
        <v>0</v>
      </c>
      <c r="L15" s="456">
        <f>COUNTIFS('KIDS&amp;ADULTS'!$N$1:$N$1998, $B15, 'KIDS&amp;ADULTS'!$AA$1:$AA$1998, L$6)
</f>
        <v>0</v>
      </c>
      <c r="M15" s="456">
        <f>COUNTIFS('KIDS&amp;ADULTS'!$N$1:$N$1998, $B15, 'KIDS&amp;ADULTS'!$AA$1:$AA$1998, M$6)
</f>
        <v>0</v>
      </c>
      <c r="N15" s="456">
        <f>COUNTIFS('KIDS&amp;ADULTS'!$N$1:$N$1998, $B15, 'KIDS&amp;ADULTS'!$AA$1:$AA$1998, N$6)
</f>
        <v>0</v>
      </c>
      <c r="O15" s="457">
        <f t="shared" si="1"/>
        <v>1</v>
      </c>
      <c r="P15" s="442"/>
      <c r="Q15" s="442"/>
      <c r="R15" s="442"/>
      <c r="S15" s="442"/>
      <c r="T15" s="442"/>
      <c r="U15" s="442"/>
      <c r="V15" s="442"/>
      <c r="W15" s="442"/>
      <c r="X15" s="442"/>
      <c r="Y15" s="442"/>
      <c r="Z15" s="442"/>
      <c r="AA15" s="442"/>
      <c r="AB15" s="442"/>
      <c r="AC15" s="442"/>
      <c r="AD15" s="442"/>
      <c r="AE15" s="442"/>
      <c r="AF15" s="442"/>
      <c r="AG15" s="442"/>
      <c r="AH15" s="442"/>
      <c r="AI15" s="442"/>
      <c r="AJ15" s="442"/>
      <c r="AK15" s="442"/>
      <c r="AL15" s="442"/>
      <c r="AM15" s="442"/>
      <c r="AN15" s="442"/>
      <c r="AO15" s="442"/>
      <c r="AP15" s="442"/>
      <c r="AQ15" s="442"/>
      <c r="AR15" s="442"/>
      <c r="AS15" s="442"/>
      <c r="AT15" s="442"/>
      <c r="AU15" s="442"/>
      <c r="AV15" s="442"/>
    </row>
    <row r="16" ht="15.75" customHeight="1">
      <c r="A16" s="455">
        <v>10.0</v>
      </c>
      <c r="B16" s="456" t="s">
        <v>72</v>
      </c>
      <c r="C16" s="456">
        <f>COUNTIFS('KIDS&amp;ADULTS'!$N$1:$N$1998, $B16, 'KIDS&amp;ADULTS'!$AA$1:$AA$1998, C$6)
</f>
        <v>0</v>
      </c>
      <c r="D16" s="456">
        <f>COUNTIFS('KIDS&amp;ADULTS'!$N$1:$N$1998, $B16, 'KIDS&amp;ADULTS'!$AA$1:$AA$1998, D$6)
</f>
        <v>0</v>
      </c>
      <c r="E16" s="456">
        <f>COUNTIFS('KIDS&amp;ADULTS'!$N$1:$N$1998, $B16, 'KIDS&amp;ADULTS'!$AA$1:$AA$1998, E$6)
</f>
        <v>0</v>
      </c>
      <c r="F16" s="456">
        <f>COUNTIFS('KIDS&amp;ADULTS'!$N$1:$N$1998, $B16, 'KIDS&amp;ADULTS'!$AA$1:$AA$1998, F$6)
</f>
        <v>0</v>
      </c>
      <c r="G16" s="456">
        <f>COUNTIFS('KIDS&amp;ADULTS'!$N$1:$N$1998, $B16, 'KIDS&amp;ADULTS'!$AA$1:$AA$1998, G$6)
</f>
        <v>2</v>
      </c>
      <c r="H16" s="456">
        <f>COUNTIFS('KIDS&amp;ADULTS'!$N$1:$N$1998, $B16, 'KIDS&amp;ADULTS'!$AA$1:$AA$1998, H$6)
</f>
        <v>2</v>
      </c>
      <c r="I16" s="456">
        <f>COUNTIFS('KIDS&amp;ADULTS'!$N$1:$N$1998, $B16, 'KIDS&amp;ADULTS'!$AA$1:$AA$1998, I$6)
</f>
        <v>0</v>
      </c>
      <c r="J16" s="456">
        <f>COUNTIFS('KIDS&amp;ADULTS'!$N$1:$N$1998, $B16, 'KIDS&amp;ADULTS'!$AA$1:$AA$1998, J$6)
</f>
        <v>0</v>
      </c>
      <c r="K16" s="456">
        <f>COUNTIFS('KIDS&amp;ADULTS'!$N$1:$N$1998, $B16, 'KIDS&amp;ADULTS'!$AA$1:$AA$1998, K$6)
</f>
        <v>0</v>
      </c>
      <c r="L16" s="456">
        <f>COUNTIFS('KIDS&amp;ADULTS'!$N$1:$N$1998, $B16, 'KIDS&amp;ADULTS'!$AA$1:$AA$1998, L$6)
</f>
        <v>0</v>
      </c>
      <c r="M16" s="456">
        <f>COUNTIFS('KIDS&amp;ADULTS'!$N$1:$N$1998, $B16, 'KIDS&amp;ADULTS'!$AA$1:$AA$1998, M$6)
</f>
        <v>0</v>
      </c>
      <c r="N16" s="456">
        <f>COUNTIFS('KIDS&amp;ADULTS'!$N$1:$N$1998, $B16, 'KIDS&amp;ADULTS'!$AA$1:$AA$1998, N$6)
</f>
        <v>0</v>
      </c>
      <c r="O16" s="457">
        <f t="shared" si="1"/>
        <v>4</v>
      </c>
      <c r="P16" s="442"/>
      <c r="Q16" s="442"/>
      <c r="R16" s="442"/>
      <c r="S16" s="442"/>
      <c r="T16" s="442"/>
      <c r="U16" s="442"/>
      <c r="V16" s="442"/>
      <c r="W16" s="442"/>
      <c r="X16" s="442"/>
      <c r="Y16" s="442"/>
      <c r="Z16" s="442"/>
      <c r="AA16" s="442"/>
      <c r="AB16" s="442"/>
      <c r="AC16" s="442"/>
      <c r="AD16" s="442"/>
      <c r="AE16" s="442"/>
      <c r="AF16" s="442"/>
      <c r="AG16" s="442"/>
      <c r="AH16" s="442"/>
      <c r="AI16" s="442"/>
      <c r="AJ16" s="442"/>
      <c r="AK16" s="442"/>
      <c r="AL16" s="442"/>
      <c r="AM16" s="442"/>
      <c r="AN16" s="442"/>
      <c r="AO16" s="442"/>
      <c r="AP16" s="442"/>
      <c r="AQ16" s="442"/>
      <c r="AR16" s="442"/>
      <c r="AS16" s="442"/>
      <c r="AT16" s="442"/>
      <c r="AU16" s="442"/>
      <c r="AV16" s="442"/>
    </row>
    <row r="17" ht="15.75" customHeight="1">
      <c r="A17" s="455">
        <v>11.0</v>
      </c>
      <c r="B17" s="456" t="s">
        <v>67</v>
      </c>
      <c r="C17" s="456">
        <f>COUNTIFS('KIDS&amp;ADULTS'!$N$1:$N$1998, $B17, 'KIDS&amp;ADULTS'!$AA$1:$AA$1998, C$6)
</f>
        <v>0</v>
      </c>
      <c r="D17" s="456">
        <f>COUNTIFS('KIDS&amp;ADULTS'!$N$1:$N$1998, $B17, 'KIDS&amp;ADULTS'!$AA$1:$AA$1998, D$6)
</f>
        <v>0</v>
      </c>
      <c r="E17" s="456">
        <f>COUNTIFS('KIDS&amp;ADULTS'!$N$1:$N$1998, $B17, 'KIDS&amp;ADULTS'!$AA$1:$AA$1998, E$6)
</f>
        <v>0</v>
      </c>
      <c r="F17" s="456">
        <f>COUNTIFS('KIDS&amp;ADULTS'!$N$1:$N$1998, $B17, 'KIDS&amp;ADULTS'!$AA$1:$AA$1998, F$6)
</f>
        <v>0</v>
      </c>
      <c r="G17" s="456">
        <f>COUNTIFS('KIDS&amp;ADULTS'!$N$1:$N$1998, $B17, 'KIDS&amp;ADULTS'!$AA$1:$AA$1998, G$6)
</f>
        <v>19</v>
      </c>
      <c r="H17" s="456">
        <f>COUNTIFS('KIDS&amp;ADULTS'!$N$1:$N$1998, $B17, 'KIDS&amp;ADULTS'!$AA$1:$AA$1998, H$6)
</f>
        <v>50</v>
      </c>
      <c r="I17" s="456">
        <f>COUNTIFS('KIDS&amp;ADULTS'!$N$1:$N$1998, $B17, 'KIDS&amp;ADULTS'!$AA$1:$AA$1998, I$6)
</f>
        <v>33</v>
      </c>
      <c r="J17" s="456">
        <f>COUNTIFS('KIDS&amp;ADULTS'!$N$1:$N$1998, $B17, 'KIDS&amp;ADULTS'!$AA$1:$AA$1998, J$6)
</f>
        <v>14</v>
      </c>
      <c r="K17" s="456">
        <f>COUNTIFS('KIDS&amp;ADULTS'!$N$1:$N$1998, $B17, 'KIDS&amp;ADULTS'!$AA$1:$AA$1998, K$6)
</f>
        <v>11</v>
      </c>
      <c r="L17" s="456">
        <f>COUNTIFS('KIDS&amp;ADULTS'!$N$1:$N$1998, $B17, 'KIDS&amp;ADULTS'!$AA$1:$AA$1998, L$6)
</f>
        <v>8</v>
      </c>
      <c r="M17" s="456">
        <f>COUNTIFS('KIDS&amp;ADULTS'!$N$1:$N$1998, $B17, 'KIDS&amp;ADULTS'!$AA$1:$AA$1998, M$6)
</f>
        <v>9</v>
      </c>
      <c r="N17" s="456">
        <f>COUNTIFS('KIDS&amp;ADULTS'!$N$1:$N$1998, $B17, 'KIDS&amp;ADULTS'!$AA$1:$AA$1998, N$6)
</f>
        <v>3</v>
      </c>
      <c r="O17" s="464">
        <f t="shared" si="1"/>
        <v>147</v>
      </c>
      <c r="P17" s="442"/>
      <c r="Q17" s="442"/>
      <c r="R17" s="465" t="s">
        <v>67</v>
      </c>
      <c r="S17" s="465">
        <f>O17</f>
        <v>147</v>
      </c>
      <c r="T17" s="442"/>
      <c r="U17" s="442"/>
      <c r="V17" s="442"/>
      <c r="W17" s="442"/>
      <c r="X17" s="442"/>
      <c r="Y17" s="442"/>
      <c r="Z17" s="442"/>
      <c r="AA17" s="442"/>
      <c r="AB17" s="442"/>
      <c r="AC17" s="442"/>
      <c r="AD17" s="442"/>
      <c r="AE17" s="442"/>
      <c r="AF17" s="442"/>
      <c r="AG17" s="442"/>
      <c r="AH17" s="442"/>
      <c r="AI17" s="442"/>
      <c r="AJ17" s="442"/>
      <c r="AK17" s="442"/>
      <c r="AL17" s="442"/>
      <c r="AM17" s="442"/>
      <c r="AN17" s="442"/>
      <c r="AO17" s="442"/>
      <c r="AP17" s="442"/>
      <c r="AQ17" s="442"/>
      <c r="AR17" s="442"/>
      <c r="AS17" s="442"/>
      <c r="AT17" s="442"/>
      <c r="AU17" s="442"/>
      <c r="AV17" s="442"/>
    </row>
    <row r="18" ht="15.75" customHeight="1">
      <c r="A18" s="455">
        <v>12.0</v>
      </c>
      <c r="B18" s="456" t="s">
        <v>34</v>
      </c>
      <c r="C18" s="456">
        <f>COUNTIFS('KIDS&amp;ADULTS'!$N$1:$N$1998, $B18, 'KIDS&amp;ADULTS'!$AA$1:$AA$1998, C$6)
</f>
        <v>0</v>
      </c>
      <c r="D18" s="456">
        <f>COUNTIFS('KIDS&amp;ADULTS'!$N$1:$N$1998, $B18, 'KIDS&amp;ADULTS'!$AA$1:$AA$1998, D$6)
</f>
        <v>0</v>
      </c>
      <c r="E18" s="456">
        <f>COUNTIFS('KIDS&amp;ADULTS'!$N$1:$N$1998, $B18, 'KIDS&amp;ADULTS'!$AA$1:$AA$1998, E$6)
</f>
        <v>0</v>
      </c>
      <c r="F18" s="456">
        <f>COUNTIFS('KIDS&amp;ADULTS'!$N$1:$N$1998, $B18, 'KIDS&amp;ADULTS'!$AA$1:$AA$1998, F$6)
</f>
        <v>0</v>
      </c>
      <c r="G18" s="456">
        <f>COUNTIFS('KIDS&amp;ADULTS'!$N$1:$N$1998, $B18, 'KIDS&amp;ADULTS'!$AA$1:$AA$1998, G$6)
</f>
        <v>64</v>
      </c>
      <c r="H18" s="456">
        <f>COUNTIFS('KIDS&amp;ADULTS'!$N$1:$N$1998, $B18, 'KIDS&amp;ADULTS'!$AA$1:$AA$1998, H$6)
</f>
        <v>89</v>
      </c>
      <c r="I18" s="456">
        <f>COUNTIFS('KIDS&amp;ADULTS'!$N$1:$N$1998, $B18, 'KIDS&amp;ADULTS'!$AA$1:$AA$1998, I$6)
</f>
        <v>61</v>
      </c>
      <c r="J18" s="456">
        <f>COUNTIFS('KIDS&amp;ADULTS'!$N$1:$N$1998, $B18, 'KIDS&amp;ADULTS'!$AA$1:$AA$1998, J$6)
</f>
        <v>13</v>
      </c>
      <c r="K18" s="456">
        <f>COUNTIFS('KIDS&amp;ADULTS'!$N$1:$N$1998, $B18, 'KIDS&amp;ADULTS'!$AA$1:$AA$1998, K$6)
</f>
        <v>12</v>
      </c>
      <c r="L18" s="456">
        <f>COUNTIFS('KIDS&amp;ADULTS'!$N$1:$N$1998, $B18, 'KIDS&amp;ADULTS'!$AA$1:$AA$1998, L$6)
</f>
        <v>11</v>
      </c>
      <c r="M18" s="456">
        <f>COUNTIFS('KIDS&amp;ADULTS'!$N$1:$N$1998, $B18, 'KIDS&amp;ADULTS'!$AA$1:$AA$1998, M$6)
</f>
        <v>0</v>
      </c>
      <c r="N18" s="456">
        <f>COUNTIFS('KIDS&amp;ADULTS'!$N$1:$N$1998, $B18, 'KIDS&amp;ADULTS'!$AA$1:$AA$1998, N$6)
</f>
        <v>2</v>
      </c>
      <c r="O18" s="457">
        <f t="shared" si="1"/>
        <v>252</v>
      </c>
      <c r="P18" s="442"/>
      <c r="Q18" s="442"/>
      <c r="T18" s="442"/>
      <c r="U18" s="442"/>
      <c r="V18" s="442"/>
      <c r="W18" s="442"/>
      <c r="X18" s="442"/>
      <c r="Y18" s="442"/>
      <c r="Z18" s="442"/>
      <c r="AA18" s="442"/>
      <c r="AB18" s="442"/>
      <c r="AC18" s="442"/>
      <c r="AD18" s="442"/>
      <c r="AE18" s="442"/>
      <c r="AF18" s="442"/>
      <c r="AG18" s="442"/>
      <c r="AH18" s="442"/>
      <c r="AI18" s="442"/>
      <c r="AJ18" s="442"/>
      <c r="AK18" s="442"/>
      <c r="AL18" s="442"/>
      <c r="AM18" s="442"/>
      <c r="AN18" s="442"/>
      <c r="AO18" s="442"/>
      <c r="AP18" s="442"/>
      <c r="AQ18" s="442"/>
      <c r="AR18" s="442"/>
      <c r="AS18" s="442"/>
      <c r="AT18" s="442"/>
      <c r="AU18" s="442"/>
      <c r="AV18" s="442"/>
    </row>
    <row r="19" ht="15.75" customHeight="1">
      <c r="A19" s="466" t="s">
        <v>4742</v>
      </c>
      <c r="B19" s="461"/>
      <c r="C19" s="467">
        <f t="shared" ref="C19:O19" si="4">sum(C7:C18)</f>
        <v>0</v>
      </c>
      <c r="D19" s="467">
        <f t="shared" si="4"/>
        <v>0</v>
      </c>
      <c r="E19" s="467">
        <f t="shared" si="4"/>
        <v>0</v>
      </c>
      <c r="F19" s="467">
        <f t="shared" si="4"/>
        <v>0</v>
      </c>
      <c r="G19" s="467">
        <f t="shared" si="4"/>
        <v>115</v>
      </c>
      <c r="H19" s="467">
        <f t="shared" si="4"/>
        <v>250</v>
      </c>
      <c r="I19" s="467">
        <f t="shared" si="4"/>
        <v>228</v>
      </c>
      <c r="J19" s="467">
        <f t="shared" si="4"/>
        <v>84</v>
      </c>
      <c r="K19" s="467">
        <f t="shared" si="4"/>
        <v>127</v>
      </c>
      <c r="L19" s="467">
        <f t="shared" si="4"/>
        <v>78</v>
      </c>
      <c r="M19" s="467">
        <f t="shared" si="4"/>
        <v>34</v>
      </c>
      <c r="N19" s="467">
        <f t="shared" si="4"/>
        <v>30</v>
      </c>
      <c r="O19" s="468">
        <f t="shared" si="4"/>
        <v>946</v>
      </c>
      <c r="P19" s="442"/>
      <c r="Q19" s="442"/>
      <c r="R19" s="451"/>
      <c r="S19" s="451"/>
      <c r="T19" s="451"/>
      <c r="U19" s="442"/>
      <c r="V19" s="442"/>
      <c r="W19" s="442"/>
      <c r="X19" s="442"/>
      <c r="Y19" s="442"/>
      <c r="Z19" s="442"/>
      <c r="AA19" s="442"/>
      <c r="AB19" s="442"/>
      <c r="AC19" s="442"/>
      <c r="AD19" s="442"/>
      <c r="AE19" s="442"/>
      <c r="AF19" s="442"/>
      <c r="AG19" s="442"/>
      <c r="AH19" s="442"/>
      <c r="AI19" s="442"/>
      <c r="AJ19" s="442"/>
      <c r="AK19" s="442"/>
      <c r="AL19" s="442"/>
      <c r="AM19" s="442"/>
      <c r="AN19" s="442"/>
      <c r="AO19" s="442"/>
      <c r="AP19" s="442"/>
      <c r="AQ19" s="442"/>
      <c r="AR19" s="442"/>
      <c r="AS19" s="442"/>
      <c r="AT19" s="442"/>
      <c r="AU19" s="442"/>
      <c r="AV19" s="442"/>
    </row>
    <row r="20" ht="15.75" customHeight="1">
      <c r="A20" s="442"/>
      <c r="B20" s="442"/>
      <c r="C20" s="442"/>
      <c r="D20" s="442"/>
      <c r="E20" s="442"/>
      <c r="F20" s="442"/>
      <c r="G20" s="442"/>
      <c r="H20" s="442"/>
      <c r="I20" s="442"/>
      <c r="J20" s="442"/>
      <c r="K20" s="442"/>
      <c r="L20" s="442"/>
      <c r="M20" s="442"/>
      <c r="N20" s="442"/>
      <c r="O20" s="442"/>
      <c r="P20" s="442"/>
      <c r="Q20" s="442"/>
      <c r="AG20" s="442"/>
      <c r="AH20" s="442"/>
      <c r="AI20" s="442"/>
      <c r="AJ20" s="442"/>
      <c r="AK20" s="442"/>
      <c r="AL20" s="442"/>
      <c r="AM20" s="442"/>
      <c r="AN20" s="442"/>
      <c r="AO20" s="442"/>
      <c r="AP20" s="442"/>
      <c r="AQ20" s="442"/>
      <c r="AR20" s="442"/>
      <c r="AS20" s="442"/>
      <c r="AT20" s="442"/>
      <c r="AU20" s="442"/>
      <c r="AV20" s="442"/>
    </row>
    <row r="21" ht="15.75" customHeight="1">
      <c r="A21" s="442"/>
      <c r="B21" s="442"/>
      <c r="C21" s="442"/>
      <c r="D21" s="442"/>
      <c r="E21" s="442"/>
      <c r="F21" s="442"/>
      <c r="G21" s="442"/>
      <c r="H21" s="442"/>
      <c r="I21" s="442"/>
      <c r="J21" s="442"/>
      <c r="K21" s="442"/>
      <c r="L21" s="442"/>
      <c r="M21" s="442"/>
      <c r="N21" s="442"/>
      <c r="O21" s="442"/>
      <c r="P21" s="442"/>
      <c r="Q21" s="442"/>
      <c r="AG21" s="442"/>
      <c r="AH21" s="442"/>
      <c r="AI21" s="442"/>
      <c r="AJ21" s="442"/>
      <c r="AK21" s="442"/>
      <c r="AL21" s="442"/>
      <c r="AM21" s="442"/>
      <c r="AN21" s="442"/>
      <c r="AO21" s="442"/>
      <c r="AP21" s="442"/>
      <c r="AQ21" s="442"/>
      <c r="AR21" s="442"/>
      <c r="AS21" s="442"/>
      <c r="AT21" s="442"/>
      <c r="AU21" s="442"/>
      <c r="AV21" s="442"/>
    </row>
    <row r="22" ht="15.75" customHeight="1">
      <c r="A22" s="444" t="s">
        <v>4749</v>
      </c>
      <c r="B22" s="445"/>
      <c r="C22" s="445"/>
      <c r="D22" s="445"/>
      <c r="E22" s="445"/>
      <c r="F22" s="445"/>
      <c r="G22" s="445"/>
      <c r="H22" s="445"/>
      <c r="I22" s="445"/>
      <c r="J22" s="445"/>
      <c r="K22" s="445"/>
      <c r="L22" s="445"/>
      <c r="M22" s="445"/>
      <c r="N22" s="445"/>
      <c r="O22" s="446"/>
      <c r="P22" s="442"/>
      <c r="Q22" s="442"/>
      <c r="R22" s="469" t="s">
        <v>4750</v>
      </c>
      <c r="S22" s="470"/>
      <c r="T22" s="470"/>
      <c r="U22" s="470"/>
      <c r="V22" s="470"/>
      <c r="W22" s="470"/>
      <c r="X22" s="470"/>
      <c r="Y22" s="470"/>
      <c r="Z22" s="470"/>
      <c r="AA22" s="470"/>
      <c r="AB22" s="470"/>
      <c r="AC22" s="470"/>
      <c r="AD22" s="470"/>
      <c r="AE22" s="470"/>
      <c r="AF22" s="471"/>
      <c r="AG22" s="442"/>
      <c r="AH22" s="442"/>
      <c r="AI22" s="442"/>
      <c r="AJ22" s="442"/>
      <c r="AK22" s="442"/>
      <c r="AL22" s="442"/>
      <c r="AM22" s="442"/>
      <c r="AN22" s="442"/>
      <c r="AO22" s="442"/>
      <c r="AP22" s="442"/>
      <c r="AQ22" s="442"/>
      <c r="AR22" s="442"/>
      <c r="AS22" s="442"/>
      <c r="AT22" s="442"/>
      <c r="AU22" s="442"/>
      <c r="AV22" s="442"/>
    </row>
    <row r="23" ht="15.75" customHeight="1">
      <c r="A23" s="472" t="s">
        <v>4743</v>
      </c>
      <c r="B23" s="472" t="s">
        <v>4744</v>
      </c>
      <c r="C23" s="473" t="s">
        <v>4741</v>
      </c>
      <c r="D23" s="473" t="s">
        <v>4741</v>
      </c>
      <c r="E23" s="473" t="s">
        <v>4741</v>
      </c>
      <c r="F23" s="473" t="s">
        <v>4741</v>
      </c>
      <c r="G23" s="473" t="s">
        <v>4741</v>
      </c>
      <c r="H23" s="473" t="s">
        <v>4741</v>
      </c>
      <c r="I23" s="473" t="s">
        <v>4741</v>
      </c>
      <c r="J23" s="473" t="s">
        <v>4741</v>
      </c>
      <c r="K23" s="473" t="s">
        <v>4741</v>
      </c>
      <c r="L23" s="473" t="s">
        <v>4741</v>
      </c>
      <c r="M23" s="473" t="s">
        <v>4741</v>
      </c>
      <c r="N23" s="473" t="s">
        <v>4741</v>
      </c>
      <c r="O23" s="474" t="s">
        <v>4742</v>
      </c>
      <c r="P23" s="442"/>
      <c r="Q23" s="442"/>
      <c r="R23" s="475" t="s">
        <v>4743</v>
      </c>
      <c r="S23" s="476" t="s">
        <v>4744</v>
      </c>
      <c r="T23" s="477" t="s">
        <v>27</v>
      </c>
      <c r="U23" s="477" t="s">
        <v>27</v>
      </c>
      <c r="V23" s="477" t="s">
        <v>27</v>
      </c>
      <c r="W23" s="477" t="s">
        <v>27</v>
      </c>
      <c r="X23" s="477" t="s">
        <v>27</v>
      </c>
      <c r="Y23" s="477" t="s">
        <v>27</v>
      </c>
      <c r="Z23" s="477" t="s">
        <v>27</v>
      </c>
      <c r="AA23" s="477" t="s">
        <v>27</v>
      </c>
      <c r="AB23" s="477" t="s">
        <v>27</v>
      </c>
      <c r="AC23" s="477" t="s">
        <v>27</v>
      </c>
      <c r="AD23" s="477" t="s">
        <v>27</v>
      </c>
      <c r="AE23" s="478" t="s">
        <v>27</v>
      </c>
      <c r="AF23" s="479" t="s">
        <v>4742</v>
      </c>
      <c r="AG23" s="442"/>
      <c r="AH23" s="442"/>
      <c r="AI23" s="442"/>
      <c r="AJ23" s="442"/>
      <c r="AK23" s="442"/>
      <c r="AL23" s="442"/>
      <c r="AM23" s="442"/>
      <c r="AN23" s="442"/>
      <c r="AO23" s="442"/>
      <c r="AP23" s="442"/>
      <c r="AQ23" s="442"/>
      <c r="AR23" s="442"/>
      <c r="AS23" s="442"/>
      <c r="AT23" s="442"/>
      <c r="AU23" s="442"/>
      <c r="AV23" s="442"/>
    </row>
    <row r="24" ht="15.75" customHeight="1">
      <c r="A24" s="452"/>
      <c r="B24" s="452"/>
      <c r="C24" s="480">
        <v>1.0</v>
      </c>
      <c r="D24" s="480">
        <v>2.0</v>
      </c>
      <c r="E24" s="480">
        <v>3.0</v>
      </c>
      <c r="F24" s="480">
        <v>4.0</v>
      </c>
      <c r="G24" s="480">
        <v>5.0</v>
      </c>
      <c r="H24" s="480">
        <v>6.0</v>
      </c>
      <c r="I24" s="480">
        <v>7.0</v>
      </c>
      <c r="J24" s="480">
        <v>8.0</v>
      </c>
      <c r="K24" s="480">
        <v>9.0</v>
      </c>
      <c r="L24" s="480">
        <v>10.0</v>
      </c>
      <c r="M24" s="480">
        <v>11.0</v>
      </c>
      <c r="N24" s="480">
        <v>12.0</v>
      </c>
      <c r="O24" s="454"/>
      <c r="P24" s="442"/>
      <c r="Q24" s="442"/>
      <c r="R24" s="481"/>
      <c r="S24" s="452"/>
      <c r="T24" s="453">
        <v>1.0</v>
      </c>
      <c r="U24" s="453">
        <v>2.0</v>
      </c>
      <c r="V24" s="453">
        <v>3.0</v>
      </c>
      <c r="W24" s="453">
        <v>4.0</v>
      </c>
      <c r="X24" s="453">
        <v>5.0</v>
      </c>
      <c r="Y24" s="453">
        <v>6.0</v>
      </c>
      <c r="Z24" s="453">
        <v>7.0</v>
      </c>
      <c r="AA24" s="453">
        <v>8.0</v>
      </c>
      <c r="AB24" s="453">
        <v>9.0</v>
      </c>
      <c r="AC24" s="453">
        <v>10.0</v>
      </c>
      <c r="AD24" s="453">
        <v>11.0</v>
      </c>
      <c r="AE24" s="482">
        <v>12.0</v>
      </c>
      <c r="AF24" s="454"/>
      <c r="AG24" s="442"/>
      <c r="AH24" s="442"/>
      <c r="AI24" s="442"/>
      <c r="AJ24" s="442"/>
      <c r="AK24" s="442"/>
      <c r="AL24" s="442"/>
      <c r="AM24" s="442"/>
      <c r="AN24" s="442"/>
      <c r="AO24" s="442"/>
      <c r="AP24" s="442"/>
      <c r="AQ24" s="442"/>
      <c r="AR24" s="442"/>
      <c r="AS24" s="442"/>
      <c r="AT24" s="442"/>
      <c r="AU24" s="442"/>
      <c r="AV24" s="442"/>
    </row>
    <row r="25" ht="15.75" customHeight="1">
      <c r="A25" s="455">
        <v>1.0</v>
      </c>
      <c r="B25" s="456" t="s">
        <v>111</v>
      </c>
      <c r="C25" s="456">
        <f>COUNTIFS('KIDS&amp;ADULTS'!$M$1:$M$2007, $B25, 'KIDS&amp;ADULTS'!$AA$1:$AA$2007, C$24)
</f>
        <v>0</v>
      </c>
      <c r="D25" s="456">
        <f>COUNTIFS('KIDS&amp;ADULTS'!$M$1:$M$2007, $B25, 'KIDS&amp;ADULTS'!$AA$1:$AA$2007, D$24)
</f>
        <v>0</v>
      </c>
      <c r="E25" s="456">
        <f>COUNTIFS('KIDS&amp;ADULTS'!$M$1:$M$2007, $B25, 'KIDS&amp;ADULTS'!$AA$1:$AA$2007, E$24)
</f>
        <v>0</v>
      </c>
      <c r="F25" s="456">
        <f>COUNTIFS('KIDS&amp;ADULTS'!$M$1:$M$2007, $B25, 'KIDS&amp;ADULTS'!$AA$1:$AA$2007, F$24)
</f>
        <v>0</v>
      </c>
      <c r="G25" s="456">
        <f>COUNTIFS('KIDS&amp;ADULTS'!$M$1:$M$2007, $B25, 'KIDS&amp;ADULTS'!$AA$1:$AA$2007, G$24)
</f>
        <v>43</v>
      </c>
      <c r="H25" s="456">
        <f>COUNTIFS('KIDS&amp;ADULTS'!$M$1:$M$2007, $B25, 'KIDS&amp;ADULTS'!$AA$1:$AA$2007, H$24)
</f>
        <v>143</v>
      </c>
      <c r="I25" s="456">
        <f>COUNTIFS('KIDS&amp;ADULTS'!$M$1:$M$2007, $B25, 'KIDS&amp;ADULTS'!$AA$1:$AA$2007, I$24)
</f>
        <v>109</v>
      </c>
      <c r="J25" s="456">
        <f>COUNTIFS('KIDS&amp;ADULTS'!$M$1:$M$2007, $B25, 'KIDS&amp;ADULTS'!$AA$1:$AA$2007, J$24)
</f>
        <v>76</v>
      </c>
      <c r="K25" s="456">
        <f>COUNTIFS('KIDS&amp;ADULTS'!$M$1:$M$2007, $B25, 'KIDS&amp;ADULTS'!$AA$1:$AA$2007, K$24)
</f>
        <v>127</v>
      </c>
      <c r="L25" s="456">
        <f>COUNTIFS('KIDS&amp;ADULTS'!$M$1:$M$2007, $B25, 'KIDS&amp;ADULTS'!$AA$1:$AA$2007, L$24)
</f>
        <v>78</v>
      </c>
      <c r="M25" s="456">
        <f>COUNTIFS('KIDS&amp;ADULTS'!$M$1:$M$2007, $B25, 'KIDS&amp;ADULTS'!$AA$1:$AA$2007, M$24)
</f>
        <v>34</v>
      </c>
      <c r="N25" s="456">
        <f>COUNTIFS('KIDS&amp;ADULTS'!$M$1:$M$2007, $B25, 'KIDS&amp;ADULTS'!$AA$1:$AA$2007, N$24)
</f>
        <v>30</v>
      </c>
      <c r="O25" s="457">
        <f t="shared" ref="O25:O33" si="5">sum(C25:N25)</f>
        <v>640</v>
      </c>
      <c r="P25" s="442"/>
      <c r="Q25" s="442"/>
      <c r="R25" s="455">
        <v>1.0</v>
      </c>
      <c r="S25" s="456" t="s">
        <v>111</v>
      </c>
      <c r="T25" s="483">
        <f>SUMIFS('KIDS&amp;ADULTS'!$Z$2:$Z$2007,'KIDS&amp;ADULTS'!$M$2:$M$2007,$S25,'KIDS&amp;ADULTS'!$AB$2:$AB$2007,T$24)</f>
        <v>0</v>
      </c>
      <c r="U25" s="483">
        <f>SUMIFS('KIDS&amp;ADULTS'!$Z$2:$Z$2007,'KIDS&amp;ADULTS'!$M$2:$M$2007,$S25,'KIDS&amp;ADULTS'!$AB$2:$AB$2007,U$24)</f>
        <v>0</v>
      </c>
      <c r="V25" s="483">
        <f>SUMIFS('KIDS&amp;ADULTS'!$Z$2:$Z$2007,'KIDS&amp;ADULTS'!$M$2:$M$2007,$S25,'KIDS&amp;ADULTS'!$AB$2:$AB$2007,V$24)</f>
        <v>0</v>
      </c>
      <c r="W25" s="483">
        <f>SUMIFS('KIDS&amp;ADULTS'!$Z$2:$Z$2007,'KIDS&amp;ADULTS'!$M$2:$M$2007,$S25,'KIDS&amp;ADULTS'!$AB$2:$AB$2007,W$24)</f>
        <v>0</v>
      </c>
      <c r="X25" s="483">
        <f>SUMIFS('KIDS&amp;ADULTS'!$Z$2:$Z$2007,'KIDS&amp;ADULTS'!$M$2:$M$2007,$S25,'KIDS&amp;ADULTS'!$AB$2:$AB$2007,X$24)</f>
        <v>0</v>
      </c>
      <c r="Y25" s="483">
        <f>SUMIFS('KIDS&amp;ADULTS'!$Z$2:$Z$2007,'KIDS&amp;ADULTS'!$M$2:$M$2007,$S25,'KIDS&amp;ADULTS'!$AB$2:$AB$2007,Y$24)</f>
        <v>65613310</v>
      </c>
      <c r="Z25" s="483">
        <f>SUMIFS('KIDS&amp;ADULTS'!$Z$2:$Z$2007,'KIDS&amp;ADULTS'!$M$2:$M$2007,$S25,'KIDS&amp;ADULTS'!$AB$2:$AB$2007,Z$24)</f>
        <v>84305510</v>
      </c>
      <c r="AA25" s="483">
        <f>SUMIFS('KIDS&amp;ADULTS'!$Z$2:$Z$2007,'KIDS&amp;ADULTS'!$M$2:$M$2007,$S25,'KIDS&amp;ADULTS'!$AB$2:$AB$2007,AA$24)</f>
        <v>59773890</v>
      </c>
      <c r="AB25" s="483">
        <f>SUMIFS('KIDS&amp;ADULTS'!$Z$2:$Z$2007,'KIDS&amp;ADULTS'!$M$2:$M$2007,$S25,'KIDS&amp;ADULTS'!$AB$2:$AB$2007,AB$24)</f>
        <v>57923500</v>
      </c>
      <c r="AC25" s="483">
        <f>SUMIFS('KIDS&amp;ADULTS'!$Z$2:$Z$2007,'KIDS&amp;ADULTS'!$M$2:$M$2007,$S25,'KIDS&amp;ADULTS'!$AB$2:$AB$2007,AC$24)</f>
        <v>58475500</v>
      </c>
      <c r="AD25" s="483">
        <f>SUMIFS('KIDS&amp;ADULTS'!$Z$2:$Z$2007,'KIDS&amp;ADULTS'!$M$2:$M$2007,$S25,'KIDS&amp;ADULTS'!$AB$2:$AB$2007,AD$24)</f>
        <v>25459800</v>
      </c>
      <c r="AE25" s="483">
        <f>SUMIFS('KIDS&amp;ADULTS'!$Z$2:$Z$2007,'KIDS&amp;ADULTS'!$M$2:$M$2007,$S25,'KIDS&amp;ADULTS'!$AB$2:$AB$2007,AE$24)</f>
        <v>39580200</v>
      </c>
      <c r="AF25" s="484">
        <f t="shared" ref="AF25:AF31" si="6">sum(T25:AE25)</f>
        <v>391131710</v>
      </c>
      <c r="AG25" s="442"/>
      <c r="AH25" s="442"/>
      <c r="AI25" s="442"/>
      <c r="AJ25" s="442"/>
      <c r="AK25" s="442"/>
      <c r="AL25" s="442"/>
      <c r="AM25" s="442"/>
      <c r="AN25" s="442"/>
      <c r="AO25" s="442"/>
      <c r="AP25" s="442"/>
      <c r="AQ25" s="442"/>
      <c r="AR25" s="442"/>
      <c r="AS25" s="442"/>
      <c r="AT25" s="442"/>
      <c r="AU25" s="442"/>
      <c r="AV25" s="442"/>
    </row>
    <row r="26" ht="15.75" customHeight="1">
      <c r="A26" s="455">
        <v>2.0</v>
      </c>
      <c r="B26" s="456" t="s">
        <v>89</v>
      </c>
      <c r="C26" s="456">
        <f>COUNTIFS('KIDS&amp;ADULTS'!$M$1:$M$2007, $B26, 'KIDS&amp;ADULTS'!$AA$1:$AA$2007, C$24)
</f>
        <v>0</v>
      </c>
      <c r="D26" s="456">
        <f>COUNTIFS('KIDS&amp;ADULTS'!$M$1:$M$2007, $B26, 'KIDS&amp;ADULTS'!$AA$1:$AA$2007, D$24)
</f>
        <v>0</v>
      </c>
      <c r="E26" s="456">
        <f>COUNTIFS('KIDS&amp;ADULTS'!$M$1:$M$2007, $B26, 'KIDS&amp;ADULTS'!$AA$1:$AA$2007, E$24)
</f>
        <v>0</v>
      </c>
      <c r="F26" s="456">
        <f>COUNTIFS('KIDS&amp;ADULTS'!$M$1:$M$2007, $B26, 'KIDS&amp;ADULTS'!$AA$1:$AA$2007, F$24)
</f>
        <v>0</v>
      </c>
      <c r="G26" s="456">
        <f>COUNTIFS('KIDS&amp;ADULTS'!$M$1:$M$2007, $B26, 'KIDS&amp;ADULTS'!$AA$1:$AA$2007, G$24)
</f>
        <v>5</v>
      </c>
      <c r="H26" s="456">
        <f>COUNTIFS('KIDS&amp;ADULTS'!$M$1:$M$2007, $B26, 'KIDS&amp;ADULTS'!$AA$1:$AA$2007, H$24)
</f>
        <v>8</v>
      </c>
      <c r="I26" s="456">
        <f>COUNTIFS('KIDS&amp;ADULTS'!$M$1:$M$2007, $B26, 'KIDS&amp;ADULTS'!$AA$1:$AA$2007, I$24)
</f>
        <v>1</v>
      </c>
      <c r="J26" s="456">
        <f>COUNTIFS('KIDS&amp;ADULTS'!$M$1:$M$2007, $B26, 'KIDS&amp;ADULTS'!$AA$1:$AA$2007, J$24)
</f>
        <v>0</v>
      </c>
      <c r="K26" s="456">
        <f>COUNTIFS('KIDS&amp;ADULTS'!$M$1:$M$2007, $B26, 'KIDS&amp;ADULTS'!$AA$1:$AA$2007, K$24)
</f>
        <v>0</v>
      </c>
      <c r="L26" s="456">
        <f>COUNTIFS('KIDS&amp;ADULTS'!$M$1:$M$2007, $B26, 'KIDS&amp;ADULTS'!$AA$1:$AA$2007, L$24)
</f>
        <v>0</v>
      </c>
      <c r="M26" s="456">
        <f>COUNTIFS('KIDS&amp;ADULTS'!$M$1:$M$2007, $B26, 'KIDS&amp;ADULTS'!$AA$1:$AA$2007, M$24)
</f>
        <v>0</v>
      </c>
      <c r="N26" s="456">
        <f>COUNTIFS('KIDS&amp;ADULTS'!$M$1:$M$2007, $B26, 'KIDS&amp;ADULTS'!$AA$1:$AA$2007, N$24)
</f>
        <v>0</v>
      </c>
      <c r="O26" s="457">
        <f t="shared" si="5"/>
        <v>14</v>
      </c>
      <c r="P26" s="442"/>
      <c r="Q26" s="442"/>
      <c r="R26" s="455">
        <v>2.0</v>
      </c>
      <c r="S26" s="456" t="s">
        <v>89</v>
      </c>
      <c r="T26" s="483">
        <f>SUMIFS('KIDS&amp;ADULTS'!$Z$2:$Z$2007,'KIDS&amp;ADULTS'!$M$2:$M$2007,$S26,'KIDS&amp;ADULTS'!$AB$2:$AB$2007,T$24)</f>
        <v>0</v>
      </c>
      <c r="U26" s="483">
        <f>SUMIFS('KIDS&amp;ADULTS'!$Z$2:$Z$2007,'KIDS&amp;ADULTS'!$M$2:$M$2007,$S26,'KIDS&amp;ADULTS'!$AB$2:$AB$2007,U$24)</f>
        <v>0</v>
      </c>
      <c r="V26" s="483">
        <f>SUMIFS('KIDS&amp;ADULTS'!$Z$2:$Z$2007,'KIDS&amp;ADULTS'!$M$2:$M$2007,$S26,'KIDS&amp;ADULTS'!$AB$2:$AB$2007,V$24)</f>
        <v>0</v>
      </c>
      <c r="W26" s="483">
        <f>SUMIFS('KIDS&amp;ADULTS'!$Z$2:$Z$2007,'KIDS&amp;ADULTS'!$M$2:$M$2007,$S26,'KIDS&amp;ADULTS'!$AB$2:$AB$2007,W$24)</f>
        <v>0</v>
      </c>
      <c r="X26" s="483">
        <f>SUMIFS('KIDS&amp;ADULTS'!$Z$2:$Z$2007,'KIDS&amp;ADULTS'!$M$2:$M$2007,$S26,'KIDS&amp;ADULTS'!$AB$2:$AB$2007,X$24)</f>
        <v>20223600</v>
      </c>
      <c r="Y26" s="483">
        <f>SUMIFS('KIDS&amp;ADULTS'!$Z$2:$Z$2007,'KIDS&amp;ADULTS'!$M$2:$M$2007,$S26,'KIDS&amp;ADULTS'!$AB$2:$AB$2007,Y$24)</f>
        <v>37476238</v>
      </c>
      <c r="Z26" s="483">
        <f>SUMIFS('KIDS&amp;ADULTS'!$Z$2:$Z$2007,'KIDS&amp;ADULTS'!$M$2:$M$2007,$S26,'KIDS&amp;ADULTS'!$AB$2:$AB$2007,Z$24)</f>
        <v>0</v>
      </c>
      <c r="AA26" s="483">
        <f>SUMIFS('KIDS&amp;ADULTS'!$Z$2:$Z$2007,'KIDS&amp;ADULTS'!$M$2:$M$2007,$S26,'KIDS&amp;ADULTS'!$AB$2:$AB$2007,AA$24)</f>
        <v>0</v>
      </c>
      <c r="AB26" s="483">
        <f>SUMIFS('KIDS&amp;ADULTS'!$Z$2:$Z$2007,'KIDS&amp;ADULTS'!$M$2:$M$2007,$S26,'KIDS&amp;ADULTS'!$AB$2:$AB$2007,AB$24)</f>
        <v>0</v>
      </c>
      <c r="AC26" s="483">
        <f>SUMIFS('KIDS&amp;ADULTS'!$Z$2:$Z$2007,'KIDS&amp;ADULTS'!$M$2:$M$2007,$S26,'KIDS&amp;ADULTS'!$AB$2:$AB$2007,AC$24)</f>
        <v>0</v>
      </c>
      <c r="AD26" s="483">
        <f>SUMIFS('KIDS&amp;ADULTS'!$Z$2:$Z$2007,'KIDS&amp;ADULTS'!$M$2:$M$2007,$S26,'KIDS&amp;ADULTS'!$AB$2:$AB$2007,AD$24)</f>
        <v>0</v>
      </c>
      <c r="AE26" s="483">
        <f>SUMIFS('KIDS&amp;ADULTS'!$Z$2:$Z$2007,'KIDS&amp;ADULTS'!$M$2:$M$2007,$S26,'KIDS&amp;ADULTS'!$AB$2:$AB$2007,AE$24)</f>
        <v>0</v>
      </c>
      <c r="AF26" s="484">
        <f t="shared" si="6"/>
        <v>57699838</v>
      </c>
      <c r="AG26" s="442"/>
      <c r="AH26" s="442"/>
      <c r="AI26" s="442"/>
      <c r="AJ26" s="442"/>
      <c r="AK26" s="442"/>
      <c r="AL26" s="442"/>
      <c r="AM26" s="442"/>
      <c r="AN26" s="442"/>
      <c r="AO26" s="442"/>
      <c r="AP26" s="442"/>
      <c r="AQ26" s="442"/>
      <c r="AR26" s="442"/>
      <c r="AS26" s="442"/>
      <c r="AT26" s="442"/>
      <c r="AU26" s="442"/>
      <c r="AV26" s="442"/>
    </row>
    <row r="27" ht="15.75" customHeight="1">
      <c r="A27" s="455">
        <v>3.0</v>
      </c>
      <c r="B27" s="456" t="s">
        <v>66</v>
      </c>
      <c r="C27" s="456">
        <f>COUNTIFS('KIDS&amp;ADULTS'!$M$1:$M$2007, $B27, 'KIDS&amp;ADULTS'!$AA$1:$AA$2007, C$24)
</f>
        <v>0</v>
      </c>
      <c r="D27" s="456">
        <f>COUNTIFS('KIDS&amp;ADULTS'!$M$1:$M$2007, $B27, 'KIDS&amp;ADULTS'!$AA$1:$AA$2007, D$24)
</f>
        <v>0</v>
      </c>
      <c r="E27" s="456">
        <f>COUNTIFS('KIDS&amp;ADULTS'!$M$1:$M$2007, $B27, 'KIDS&amp;ADULTS'!$AA$1:$AA$2007, E$24)
</f>
        <v>0</v>
      </c>
      <c r="F27" s="456">
        <f>COUNTIFS('KIDS&amp;ADULTS'!$M$1:$M$2007, $B27, 'KIDS&amp;ADULTS'!$AA$1:$AA$2007, F$24)
</f>
        <v>0</v>
      </c>
      <c r="G27" s="456">
        <f>COUNTIFS('KIDS&amp;ADULTS'!$M$1:$M$2007, $B27, 'KIDS&amp;ADULTS'!$AA$1:$AA$2007, G$24)
</f>
        <v>10</v>
      </c>
      <c r="H27" s="456">
        <f>COUNTIFS('KIDS&amp;ADULTS'!$M$1:$M$2007, $B27, 'KIDS&amp;ADULTS'!$AA$1:$AA$2007, H$24)
</f>
        <v>6</v>
      </c>
      <c r="I27" s="456">
        <f>COUNTIFS('KIDS&amp;ADULTS'!$M$1:$M$2007, $B27, 'KIDS&amp;ADULTS'!$AA$1:$AA$2007, I$24)
</f>
        <v>0</v>
      </c>
      <c r="J27" s="456">
        <f>COUNTIFS('KIDS&amp;ADULTS'!$M$1:$M$2007, $B27, 'KIDS&amp;ADULTS'!$AA$1:$AA$2007, J$24)
</f>
        <v>0</v>
      </c>
      <c r="K27" s="456">
        <f>COUNTIFS('KIDS&amp;ADULTS'!$M$1:$M$2007, $B27, 'KIDS&amp;ADULTS'!$AA$1:$AA$2007, K$24)
</f>
        <v>0</v>
      </c>
      <c r="L27" s="456">
        <f>COUNTIFS('KIDS&amp;ADULTS'!$M$1:$M$2007, $B27, 'KIDS&amp;ADULTS'!$AA$1:$AA$2007, L$24)
</f>
        <v>0</v>
      </c>
      <c r="M27" s="456">
        <f>COUNTIFS('KIDS&amp;ADULTS'!$M$1:$M$2007, $B27, 'KIDS&amp;ADULTS'!$AA$1:$AA$2007, M$24)
</f>
        <v>0</v>
      </c>
      <c r="N27" s="456">
        <f>COUNTIFS('KIDS&amp;ADULTS'!$M$1:$M$2007, $B27, 'KIDS&amp;ADULTS'!$AA$1:$AA$2007, N$24)
</f>
        <v>0</v>
      </c>
      <c r="O27" s="457">
        <f t="shared" si="5"/>
        <v>16</v>
      </c>
      <c r="P27" s="442"/>
      <c r="Q27" s="442"/>
      <c r="R27" s="455">
        <v>3.0</v>
      </c>
      <c r="S27" s="456" t="s">
        <v>66</v>
      </c>
      <c r="T27" s="483">
        <f>SUMIFS('KIDS&amp;ADULTS'!$Z$2:$Z$2007,'KIDS&amp;ADULTS'!$M$2:$M$2007,$S27,'KIDS&amp;ADULTS'!$AB$2:$AB$2007,T$24)</f>
        <v>0</v>
      </c>
      <c r="U27" s="483">
        <f>SUMIFS('KIDS&amp;ADULTS'!$Z$2:$Z$2007,'KIDS&amp;ADULTS'!$M$2:$M$2007,$S27,'KIDS&amp;ADULTS'!$AB$2:$AB$2007,U$24)</f>
        <v>0</v>
      </c>
      <c r="V27" s="483">
        <f>SUMIFS('KIDS&amp;ADULTS'!$Z$2:$Z$2007,'KIDS&amp;ADULTS'!$M$2:$M$2007,$S27,'KIDS&amp;ADULTS'!$AB$2:$AB$2007,V$24)</f>
        <v>0</v>
      </c>
      <c r="W27" s="483">
        <f>SUMIFS('KIDS&amp;ADULTS'!$Z$2:$Z$2007,'KIDS&amp;ADULTS'!$M$2:$M$2007,$S27,'KIDS&amp;ADULTS'!$AB$2:$AB$2007,W$24)</f>
        <v>0</v>
      </c>
      <c r="X27" s="483">
        <f>SUMIFS('KIDS&amp;ADULTS'!$Z$2:$Z$2007,'KIDS&amp;ADULTS'!$M$2:$M$2007,$S27,'KIDS&amp;ADULTS'!$AB$2:$AB$2007,X$24)</f>
        <v>23107000</v>
      </c>
      <c r="Y27" s="483">
        <f>SUMIFS('KIDS&amp;ADULTS'!$Z$2:$Z$2007,'KIDS&amp;ADULTS'!$M$2:$M$2007,$S27,'KIDS&amp;ADULTS'!$AB$2:$AB$2007,Y$24)</f>
        <v>35028980</v>
      </c>
      <c r="Z27" s="483">
        <f>SUMIFS('KIDS&amp;ADULTS'!$Z$2:$Z$2007,'KIDS&amp;ADULTS'!$M$2:$M$2007,$S27,'KIDS&amp;ADULTS'!$AB$2:$AB$2007,Z$24)</f>
        <v>0</v>
      </c>
      <c r="AA27" s="483">
        <f>SUMIFS('KIDS&amp;ADULTS'!$Z$2:$Z$2007,'KIDS&amp;ADULTS'!$M$2:$M$2007,$S27,'KIDS&amp;ADULTS'!$AB$2:$AB$2007,AA$24)</f>
        <v>0</v>
      </c>
      <c r="AB27" s="483">
        <f>SUMIFS('KIDS&amp;ADULTS'!$Z$2:$Z$2007,'KIDS&amp;ADULTS'!$M$2:$M$2007,$S27,'KIDS&amp;ADULTS'!$AB$2:$AB$2007,AB$24)</f>
        <v>0</v>
      </c>
      <c r="AC27" s="483">
        <f>SUMIFS('KIDS&amp;ADULTS'!$Z$2:$Z$2007,'KIDS&amp;ADULTS'!$M$2:$M$2007,$S27,'KIDS&amp;ADULTS'!$AB$2:$AB$2007,AC$24)</f>
        <v>0</v>
      </c>
      <c r="AD27" s="483">
        <f>SUMIFS('KIDS&amp;ADULTS'!$Z$2:$Z$2007,'KIDS&amp;ADULTS'!$M$2:$M$2007,$S27,'KIDS&amp;ADULTS'!$AB$2:$AB$2007,AD$24)</f>
        <v>0</v>
      </c>
      <c r="AE27" s="483">
        <f>SUMIFS('KIDS&amp;ADULTS'!$Z$2:$Z$2007,'KIDS&amp;ADULTS'!$M$2:$M$2007,$S27,'KIDS&amp;ADULTS'!$AB$2:$AB$2007,AE$24)</f>
        <v>0</v>
      </c>
      <c r="AF27" s="484">
        <f t="shared" si="6"/>
        <v>58135980</v>
      </c>
      <c r="AG27" s="442"/>
      <c r="AH27" s="442"/>
      <c r="AI27" s="442"/>
      <c r="AJ27" s="442"/>
      <c r="AK27" s="442"/>
      <c r="AL27" s="442"/>
      <c r="AM27" s="442"/>
      <c r="AN27" s="442"/>
      <c r="AO27" s="442"/>
      <c r="AP27" s="442"/>
      <c r="AQ27" s="442"/>
      <c r="AR27" s="442"/>
      <c r="AS27" s="442"/>
      <c r="AT27" s="442"/>
      <c r="AU27" s="442"/>
      <c r="AV27" s="442"/>
    </row>
    <row r="28" ht="15.75" customHeight="1">
      <c r="A28" s="455">
        <v>4.0</v>
      </c>
      <c r="B28" s="456" t="s">
        <v>152</v>
      </c>
      <c r="C28" s="456">
        <f>COUNTIFS('KIDS&amp;ADULTS'!$M$1:$M$2007, $B28, 'KIDS&amp;ADULTS'!$AA$1:$AA$2007, C$24)
</f>
        <v>0</v>
      </c>
      <c r="D28" s="456">
        <f>COUNTIFS('KIDS&amp;ADULTS'!$M$1:$M$2007, $B28, 'KIDS&amp;ADULTS'!$AA$1:$AA$2007, D$24)
</f>
        <v>0</v>
      </c>
      <c r="E28" s="456">
        <f>COUNTIFS('KIDS&amp;ADULTS'!$M$1:$M$2007, $B28, 'KIDS&amp;ADULTS'!$AA$1:$AA$2007, E$24)
</f>
        <v>0</v>
      </c>
      <c r="F28" s="456">
        <f>COUNTIFS('KIDS&amp;ADULTS'!$M$1:$M$2007, $B28, 'KIDS&amp;ADULTS'!$AA$1:$AA$2007, F$24)
</f>
        <v>0</v>
      </c>
      <c r="G28" s="456">
        <f>COUNTIFS('KIDS&amp;ADULTS'!$M$1:$M$2007, $B28, 'KIDS&amp;ADULTS'!$AA$1:$AA$2007, G$24)
</f>
        <v>11</v>
      </c>
      <c r="H28" s="456">
        <f>COUNTIFS('KIDS&amp;ADULTS'!$M$1:$M$2007, $B28, 'KIDS&amp;ADULTS'!$AA$1:$AA$2007, H$24)
</f>
        <v>0</v>
      </c>
      <c r="I28" s="456">
        <f>COUNTIFS('KIDS&amp;ADULTS'!$M$1:$M$2007, $B28, 'KIDS&amp;ADULTS'!$AA$1:$AA$2007, I$24)
</f>
        <v>0</v>
      </c>
      <c r="J28" s="456">
        <f>COUNTIFS('KIDS&amp;ADULTS'!$M$1:$M$2007, $B28, 'KIDS&amp;ADULTS'!$AA$1:$AA$2007, J$24)
</f>
        <v>0</v>
      </c>
      <c r="K28" s="456">
        <f>COUNTIFS('KIDS&amp;ADULTS'!$M$1:$M$2007, $B28, 'KIDS&amp;ADULTS'!$AA$1:$AA$2007, K$24)
</f>
        <v>0</v>
      </c>
      <c r="L28" s="456">
        <f>COUNTIFS('KIDS&amp;ADULTS'!$M$1:$M$2007, $B28, 'KIDS&amp;ADULTS'!$AA$1:$AA$2007, L$24)
</f>
        <v>0</v>
      </c>
      <c r="M28" s="456">
        <f>COUNTIFS('KIDS&amp;ADULTS'!$M$1:$M$2007, $B28, 'KIDS&amp;ADULTS'!$AA$1:$AA$2007, M$24)
</f>
        <v>0</v>
      </c>
      <c r="N28" s="456">
        <f>COUNTIFS('KIDS&amp;ADULTS'!$M$1:$M$2007, $B28, 'KIDS&amp;ADULTS'!$AA$1:$AA$2007, N$24)
</f>
        <v>0</v>
      </c>
      <c r="O28" s="457">
        <f t="shared" si="5"/>
        <v>11</v>
      </c>
      <c r="P28" s="442"/>
      <c r="Q28" s="442"/>
      <c r="R28" s="455">
        <v>4.0</v>
      </c>
      <c r="S28" s="456" t="s">
        <v>580</v>
      </c>
      <c r="T28" s="483">
        <f>SUMIFS('KIDS&amp;ADULTS'!$Z$2:$Z$2007,'KIDS&amp;ADULTS'!$M$2:$M$2007,$S28,'KIDS&amp;ADULTS'!$AB$2:$AB$2007,T$24)</f>
        <v>0</v>
      </c>
      <c r="U28" s="483">
        <f>SUMIFS('KIDS&amp;ADULTS'!$Z$2:$Z$2007,'KIDS&amp;ADULTS'!$M$2:$M$2007,$S28,'KIDS&amp;ADULTS'!$AB$2:$AB$2007,U$24)</f>
        <v>0</v>
      </c>
      <c r="V28" s="483">
        <f>SUMIFS('KIDS&amp;ADULTS'!$Z$2:$Z$2007,'KIDS&amp;ADULTS'!$M$2:$M$2007,$S28,'KIDS&amp;ADULTS'!$AB$2:$AB$2007,V$24)</f>
        <v>0</v>
      </c>
      <c r="W28" s="483">
        <f>SUMIFS('KIDS&amp;ADULTS'!$Z$2:$Z$2007,'KIDS&amp;ADULTS'!$M$2:$M$2007,$S28,'KIDS&amp;ADULTS'!$AB$2:$AB$2007,W$24)</f>
        <v>0</v>
      </c>
      <c r="X28" s="483">
        <f>SUMIFS('KIDS&amp;ADULTS'!$Z$2:$Z$2007,'KIDS&amp;ADULTS'!$M$2:$M$2007,$S28,'KIDS&amp;ADULTS'!$AB$2:$AB$2007,X$24)</f>
        <v>2908900</v>
      </c>
      <c r="Y28" s="483">
        <f>SUMIFS('KIDS&amp;ADULTS'!$Z$2:$Z$2007,'KIDS&amp;ADULTS'!$M$2:$M$2007,$S28,'KIDS&amp;ADULTS'!$AB$2:$AB$2007,Y$24)</f>
        <v>0</v>
      </c>
      <c r="Z28" s="483">
        <f>SUMIFS('KIDS&amp;ADULTS'!$Z$2:$Z$2007,'KIDS&amp;ADULTS'!$M$2:$M$2007,$S28,'KIDS&amp;ADULTS'!$AB$2:$AB$2007,Z$24)</f>
        <v>0</v>
      </c>
      <c r="AA28" s="483">
        <f>SUMIFS('KIDS&amp;ADULTS'!$Z$2:$Z$2007,'KIDS&amp;ADULTS'!$M$2:$M$2007,$S28,'KIDS&amp;ADULTS'!$AB$2:$AB$2007,AA$24)</f>
        <v>0</v>
      </c>
      <c r="AB28" s="483">
        <f>SUMIFS('KIDS&amp;ADULTS'!$Z$2:$Z$2007,'KIDS&amp;ADULTS'!$M$2:$M$2007,$S28,'KIDS&amp;ADULTS'!$AB$2:$AB$2007,AB$24)</f>
        <v>0</v>
      </c>
      <c r="AC28" s="483">
        <f>SUMIFS('KIDS&amp;ADULTS'!$Z$2:$Z$2007,'KIDS&amp;ADULTS'!$M$2:$M$2007,$S28,'KIDS&amp;ADULTS'!$AB$2:$AB$2007,AC$24)</f>
        <v>0</v>
      </c>
      <c r="AD28" s="483">
        <f>SUMIFS('KIDS&amp;ADULTS'!$Z$2:$Z$2007,'KIDS&amp;ADULTS'!$M$2:$M$2007,$S28,'KIDS&amp;ADULTS'!$AB$2:$AB$2007,AD$24)</f>
        <v>0</v>
      </c>
      <c r="AE28" s="483">
        <f>SUMIFS('KIDS&amp;ADULTS'!$Z$2:$Z$2007,'KIDS&amp;ADULTS'!$M$2:$M$2007,$S28,'KIDS&amp;ADULTS'!$AB$2:$AB$2007,AE$24)</f>
        <v>0</v>
      </c>
      <c r="AF28" s="484">
        <f t="shared" si="6"/>
        <v>2908900</v>
      </c>
      <c r="AG28" s="442"/>
      <c r="AH28" s="442"/>
      <c r="AI28" s="442"/>
      <c r="AJ28" s="442"/>
      <c r="AK28" s="442"/>
      <c r="AL28" s="442"/>
      <c r="AM28" s="442"/>
      <c r="AN28" s="442"/>
      <c r="AO28" s="442"/>
      <c r="AP28" s="442"/>
      <c r="AQ28" s="442"/>
      <c r="AR28" s="442"/>
      <c r="AS28" s="442"/>
      <c r="AT28" s="442"/>
      <c r="AU28" s="442"/>
      <c r="AV28" s="442"/>
    </row>
    <row r="29" ht="15.75" customHeight="1">
      <c r="A29" s="455">
        <v>5.0</v>
      </c>
      <c r="B29" s="456" t="s">
        <v>580</v>
      </c>
      <c r="C29" s="456">
        <f>COUNTIFS('KIDS&amp;ADULTS'!$M$1:$M$2007, $B29, 'KIDS&amp;ADULTS'!$AA$1:$AA$2007, C$24)
</f>
        <v>0</v>
      </c>
      <c r="D29" s="456">
        <f>COUNTIFS('KIDS&amp;ADULTS'!$M$1:$M$2007, $B29, 'KIDS&amp;ADULTS'!$AA$1:$AA$2007, D$24)
</f>
        <v>0</v>
      </c>
      <c r="E29" s="456">
        <f>COUNTIFS('KIDS&amp;ADULTS'!$M$1:$M$2007, $B29, 'KIDS&amp;ADULTS'!$AA$1:$AA$2007, E$24)
</f>
        <v>0</v>
      </c>
      <c r="F29" s="456">
        <f>COUNTIFS('KIDS&amp;ADULTS'!$M$1:$M$2007, $B29, 'KIDS&amp;ADULTS'!$AA$1:$AA$2007, F$24)
</f>
        <v>0</v>
      </c>
      <c r="G29" s="456">
        <f>COUNTIFS('KIDS&amp;ADULTS'!$M$1:$M$2007, $B29, 'KIDS&amp;ADULTS'!$AA$1:$AA$2007, G$24)
</f>
        <v>1</v>
      </c>
      <c r="H29" s="456">
        <f>COUNTIFS('KIDS&amp;ADULTS'!$M$1:$M$2007, $B29, 'KIDS&amp;ADULTS'!$AA$1:$AA$2007, H$24)
</f>
        <v>0</v>
      </c>
      <c r="I29" s="456">
        <f>COUNTIFS('KIDS&amp;ADULTS'!$M$1:$M$2007, $B29, 'KIDS&amp;ADULTS'!$AA$1:$AA$2007, I$24)
</f>
        <v>0</v>
      </c>
      <c r="J29" s="456">
        <f>COUNTIFS('KIDS&amp;ADULTS'!$M$1:$M$2007, $B29, 'KIDS&amp;ADULTS'!$AA$1:$AA$2007, J$24)
</f>
        <v>0</v>
      </c>
      <c r="K29" s="456">
        <f>COUNTIFS('KIDS&amp;ADULTS'!$M$1:$M$2007, $B29, 'KIDS&amp;ADULTS'!$AA$1:$AA$2007, K$24)
</f>
        <v>0</v>
      </c>
      <c r="L29" s="456">
        <f>COUNTIFS('KIDS&amp;ADULTS'!$M$1:$M$2007, $B29, 'KIDS&amp;ADULTS'!$AA$1:$AA$2007, L$24)
</f>
        <v>0</v>
      </c>
      <c r="M29" s="456">
        <f>COUNTIFS('KIDS&amp;ADULTS'!$M$1:$M$2007, $B29, 'KIDS&amp;ADULTS'!$AA$1:$AA$2007, M$24)
</f>
        <v>0</v>
      </c>
      <c r="N29" s="456">
        <f>COUNTIFS('KIDS&amp;ADULTS'!$M$1:$M$2007, $B29, 'KIDS&amp;ADULTS'!$AA$1:$AA$2007, N$24)
</f>
        <v>0</v>
      </c>
      <c r="O29" s="457">
        <f t="shared" si="5"/>
        <v>1</v>
      </c>
      <c r="P29" s="442"/>
      <c r="Q29" s="442"/>
      <c r="R29" s="455">
        <v>5.0</v>
      </c>
      <c r="S29" s="456" t="s">
        <v>412</v>
      </c>
      <c r="T29" s="483">
        <f>SUMIFS('KIDS&amp;ADULTS'!$Z$2:$Z$2007,'KIDS&amp;ADULTS'!$M$2:$M$2007,$S29,'KIDS&amp;ADULTS'!$AB$2:$AB$2007,T$24)</f>
        <v>0</v>
      </c>
      <c r="U29" s="483">
        <f>SUMIFS('KIDS&amp;ADULTS'!$Z$2:$Z$2007,'KIDS&amp;ADULTS'!$M$2:$M$2007,$S29,'KIDS&amp;ADULTS'!$AB$2:$AB$2007,U$24)</f>
        <v>0</v>
      </c>
      <c r="V29" s="483">
        <f>SUMIFS('KIDS&amp;ADULTS'!$Z$2:$Z$2007,'KIDS&amp;ADULTS'!$M$2:$M$2007,$S29,'KIDS&amp;ADULTS'!$AB$2:$AB$2007,V$24)</f>
        <v>0</v>
      </c>
      <c r="W29" s="483">
        <f>SUMIFS('KIDS&amp;ADULTS'!$Z$2:$Z$2007,'KIDS&amp;ADULTS'!$M$2:$M$2007,$S29,'KIDS&amp;ADULTS'!$AB$2:$AB$2007,W$24)</f>
        <v>0</v>
      </c>
      <c r="X29" s="483">
        <f>SUMIFS('KIDS&amp;ADULTS'!$Z$2:$Z$2007,'KIDS&amp;ADULTS'!$M$2:$M$2007,$S29,'KIDS&amp;ADULTS'!$AB$2:$AB$2007,X$24)</f>
        <v>0</v>
      </c>
      <c r="Y29" s="483">
        <f>SUMIFS('KIDS&amp;ADULTS'!$Z$2:$Z$2007,'KIDS&amp;ADULTS'!$M$2:$M$2007,$S29,'KIDS&amp;ADULTS'!$AB$2:$AB$2007,Y$24)</f>
        <v>17514600</v>
      </c>
      <c r="Z29" s="483">
        <f>SUMIFS('KIDS&amp;ADULTS'!$Z$2:$Z$2007,'KIDS&amp;ADULTS'!$M$2:$M$2007,$S29,'KIDS&amp;ADULTS'!$AB$2:$AB$2007,Z$24)</f>
        <v>0</v>
      </c>
      <c r="AA29" s="483">
        <f>SUMIFS('KIDS&amp;ADULTS'!$Z$2:$Z$2007,'KIDS&amp;ADULTS'!$M$2:$M$2007,$S29,'KIDS&amp;ADULTS'!$AB$2:$AB$2007,AA$24)</f>
        <v>5817800</v>
      </c>
      <c r="AB29" s="483">
        <f>SUMIFS('KIDS&amp;ADULTS'!$Z$2:$Z$2007,'KIDS&amp;ADULTS'!$M$2:$M$2007,$S29,'KIDS&amp;ADULTS'!$AB$2:$AB$2007,AB$24)</f>
        <v>0</v>
      </c>
      <c r="AC29" s="483">
        <f>SUMIFS('KIDS&amp;ADULTS'!$Z$2:$Z$2007,'KIDS&amp;ADULTS'!$M$2:$M$2007,$S29,'KIDS&amp;ADULTS'!$AB$2:$AB$2007,AC$24)</f>
        <v>0</v>
      </c>
      <c r="AD29" s="483">
        <f>SUMIFS('KIDS&amp;ADULTS'!$Z$2:$Z$2007,'KIDS&amp;ADULTS'!$M$2:$M$2007,$S29,'KIDS&amp;ADULTS'!$AB$2:$AB$2007,AD$24)</f>
        <v>0</v>
      </c>
      <c r="AE29" s="483">
        <f>SUMIFS('KIDS&amp;ADULTS'!$Z$2:$Z$2007,'KIDS&amp;ADULTS'!$M$2:$M$2007,$S29,'KIDS&amp;ADULTS'!$AB$2:$AB$2007,AE$24)</f>
        <v>0</v>
      </c>
      <c r="AF29" s="484">
        <f t="shared" si="6"/>
        <v>23332400</v>
      </c>
      <c r="AG29" s="442"/>
      <c r="AH29" s="442"/>
      <c r="AI29" s="442"/>
      <c r="AJ29" s="442"/>
      <c r="AK29" s="442"/>
      <c r="AL29" s="442"/>
      <c r="AM29" s="442"/>
      <c r="AN29" s="442"/>
      <c r="AO29" s="442"/>
      <c r="AP29" s="442"/>
      <c r="AQ29" s="442"/>
      <c r="AR29" s="442"/>
      <c r="AS29" s="442"/>
      <c r="AT29" s="442"/>
      <c r="AU29" s="442"/>
      <c r="AV29" s="442"/>
    </row>
    <row r="30" ht="15.75" customHeight="1">
      <c r="A30" s="455">
        <v>6.0</v>
      </c>
      <c r="B30" s="456" t="s">
        <v>412</v>
      </c>
      <c r="C30" s="456">
        <f>COUNTIFS('KIDS&amp;ADULTS'!$M$1:$M$2007, $B30, 'KIDS&amp;ADULTS'!$AA$1:$AA$2007, C$24)
</f>
        <v>0</v>
      </c>
      <c r="D30" s="456">
        <f>COUNTIFS('KIDS&amp;ADULTS'!$M$1:$M$2007, $B30, 'KIDS&amp;ADULTS'!$AA$1:$AA$2007, D$24)
</f>
        <v>0</v>
      </c>
      <c r="E30" s="456">
        <f>COUNTIFS('KIDS&amp;ADULTS'!$M$1:$M$2007, $B30, 'KIDS&amp;ADULTS'!$AA$1:$AA$2007, E$24)
</f>
        <v>0</v>
      </c>
      <c r="F30" s="456">
        <f>COUNTIFS('KIDS&amp;ADULTS'!$M$1:$M$2007, $B30, 'KIDS&amp;ADULTS'!$AA$1:$AA$2007, F$24)
</f>
        <v>0</v>
      </c>
      <c r="G30" s="456">
        <f>COUNTIFS('KIDS&amp;ADULTS'!$M$1:$M$2007, $B30, 'KIDS&amp;ADULTS'!$AA$1:$AA$2007, G$24)
</f>
        <v>5</v>
      </c>
      <c r="H30" s="456">
        <f>COUNTIFS('KIDS&amp;ADULTS'!$M$1:$M$2007, $B30, 'KIDS&amp;ADULTS'!$AA$1:$AA$2007, H$24)
</f>
        <v>5</v>
      </c>
      <c r="I30" s="456">
        <f>COUNTIFS('KIDS&amp;ADULTS'!$M$1:$M$2007, $B30, 'KIDS&amp;ADULTS'!$AA$1:$AA$2007, I$24)
</f>
        <v>0</v>
      </c>
      <c r="J30" s="456">
        <f>COUNTIFS('KIDS&amp;ADULTS'!$M$1:$M$2007, $B30, 'KIDS&amp;ADULTS'!$AA$1:$AA$2007, J$24)
</f>
        <v>1</v>
      </c>
      <c r="K30" s="456">
        <f>COUNTIFS('KIDS&amp;ADULTS'!$M$1:$M$2007, $B30, 'KIDS&amp;ADULTS'!$AA$1:$AA$2007, K$24)
</f>
        <v>0</v>
      </c>
      <c r="L30" s="456">
        <f>COUNTIFS('KIDS&amp;ADULTS'!$M$1:$M$2007, $B30, 'KIDS&amp;ADULTS'!$AA$1:$AA$2007, L$24)
</f>
        <v>0</v>
      </c>
      <c r="M30" s="456">
        <f>COUNTIFS('KIDS&amp;ADULTS'!$M$1:$M$2007, $B30, 'KIDS&amp;ADULTS'!$AA$1:$AA$2007, M$24)
</f>
        <v>0</v>
      </c>
      <c r="N30" s="456">
        <f>COUNTIFS('KIDS&amp;ADULTS'!$M$1:$M$2007, $B30, 'KIDS&amp;ADULTS'!$AA$1:$AA$2007, N$24)
</f>
        <v>0</v>
      </c>
      <c r="O30" s="457">
        <f t="shared" si="5"/>
        <v>11</v>
      </c>
      <c r="P30" s="442"/>
      <c r="Q30" s="442"/>
      <c r="R30" s="455">
        <v>6.0</v>
      </c>
      <c r="S30" s="456" t="s">
        <v>48</v>
      </c>
      <c r="T30" s="483">
        <f>SUMIFS('KIDS&amp;ADULTS'!$Z$2:$Z$2007,'KIDS&amp;ADULTS'!$M$2:$M$2007,$S30,'KIDS&amp;ADULTS'!$AB$2:$AB$2007,T$24)</f>
        <v>0</v>
      </c>
      <c r="U30" s="483">
        <f>SUMIFS('KIDS&amp;ADULTS'!$Z$2:$Z$2007,'KIDS&amp;ADULTS'!$M$2:$M$2007,$S30,'KIDS&amp;ADULTS'!$AB$2:$AB$2007,U$24)</f>
        <v>0</v>
      </c>
      <c r="V30" s="483">
        <f>SUMIFS('KIDS&amp;ADULTS'!$Z$2:$Z$2007,'KIDS&amp;ADULTS'!$M$2:$M$2007,$S30,'KIDS&amp;ADULTS'!$AB$2:$AB$2007,V$24)</f>
        <v>0</v>
      </c>
      <c r="W30" s="483">
        <f>SUMIFS('KIDS&amp;ADULTS'!$Z$2:$Z$2007,'KIDS&amp;ADULTS'!$M$2:$M$2007,$S30,'KIDS&amp;ADULTS'!$AB$2:$AB$2007,W$24)</f>
        <v>0</v>
      </c>
      <c r="X30" s="483">
        <f>SUMIFS('KIDS&amp;ADULTS'!$Z$2:$Z$2007,'KIDS&amp;ADULTS'!$M$2:$M$2007,$S30,'KIDS&amp;ADULTS'!$AB$2:$AB$2007,X$24)</f>
        <v>0</v>
      </c>
      <c r="Y30" s="483">
        <f>SUMIFS('KIDS&amp;ADULTS'!$Z$2:$Z$2007,'KIDS&amp;ADULTS'!$M$2:$M$2007,$S30,'KIDS&amp;ADULTS'!$AB$2:$AB$2007,Y$24)</f>
        <v>55027700</v>
      </c>
      <c r="Z30" s="483">
        <f>SUMIFS('KIDS&amp;ADULTS'!$Z$2:$Z$2007,'KIDS&amp;ADULTS'!$M$2:$M$2007,$S30,'KIDS&amp;ADULTS'!$AB$2:$AB$2007,Z$24)</f>
        <v>93523260</v>
      </c>
      <c r="AA30" s="483">
        <f>SUMIFS('KIDS&amp;ADULTS'!$Z$2:$Z$2007,'KIDS&amp;ADULTS'!$M$2:$M$2007,$S30,'KIDS&amp;ADULTS'!$AB$2:$AB$2007,AA$24)</f>
        <v>8400000</v>
      </c>
      <c r="AB30" s="483">
        <f>SUMIFS('KIDS&amp;ADULTS'!$Z$2:$Z$2007,'KIDS&amp;ADULTS'!$M$2:$M$2007,$S30,'KIDS&amp;ADULTS'!$AB$2:$AB$2007,AB$24)</f>
        <v>0</v>
      </c>
      <c r="AC30" s="483">
        <f>SUMIFS('KIDS&amp;ADULTS'!$Z$2:$Z$2007,'KIDS&amp;ADULTS'!$M$2:$M$2007,$S30,'KIDS&amp;ADULTS'!$AB$2:$AB$2007,AC$24)</f>
        <v>0</v>
      </c>
      <c r="AD30" s="483">
        <f>SUMIFS('KIDS&amp;ADULTS'!$Z$2:$Z$2007,'KIDS&amp;ADULTS'!$M$2:$M$2007,$S30,'KIDS&amp;ADULTS'!$AB$2:$AB$2007,AD$24)</f>
        <v>0</v>
      </c>
      <c r="AE30" s="483">
        <f>SUMIFS('KIDS&amp;ADULTS'!$Z$2:$Z$2007,'KIDS&amp;ADULTS'!$M$2:$M$2007,$S30,'KIDS&amp;ADULTS'!$AB$2:$AB$2007,AE$24)</f>
        <v>0</v>
      </c>
      <c r="AF30" s="484">
        <f t="shared" si="6"/>
        <v>156950960</v>
      </c>
      <c r="AG30" s="442"/>
      <c r="AH30" s="442"/>
      <c r="AI30" s="442"/>
      <c r="AJ30" s="442"/>
      <c r="AK30" s="442"/>
      <c r="AL30" s="442"/>
      <c r="AM30" s="442"/>
      <c r="AN30" s="442"/>
      <c r="AO30" s="442"/>
      <c r="AP30" s="442"/>
      <c r="AQ30" s="442"/>
      <c r="AR30" s="442"/>
      <c r="AS30" s="442"/>
      <c r="AT30" s="442"/>
      <c r="AU30" s="442"/>
      <c r="AV30" s="442"/>
    </row>
    <row r="31" ht="15.75" customHeight="1">
      <c r="A31" s="455">
        <v>7.0</v>
      </c>
      <c r="B31" s="456" t="s">
        <v>48</v>
      </c>
      <c r="C31" s="456">
        <f>COUNTIFS('KIDS&amp;ADULTS'!$M$1:$M$2007, $B31, 'KIDS&amp;ADULTS'!$AA$1:$AA$2007, C$24)
</f>
        <v>0</v>
      </c>
      <c r="D31" s="456">
        <f>COUNTIFS('KIDS&amp;ADULTS'!$M$1:$M$2007, $B31, 'KIDS&amp;ADULTS'!$AA$1:$AA$2007, D$24)
</f>
        <v>0</v>
      </c>
      <c r="E31" s="456">
        <f>COUNTIFS('KIDS&amp;ADULTS'!$M$1:$M$2007, $B31, 'KIDS&amp;ADULTS'!$AA$1:$AA$2007, E$24)
</f>
        <v>0</v>
      </c>
      <c r="F31" s="456">
        <f>COUNTIFS('KIDS&amp;ADULTS'!$M$1:$M$2007, $B31, 'KIDS&amp;ADULTS'!$AA$1:$AA$2007, F$24)
</f>
        <v>0</v>
      </c>
      <c r="G31" s="456">
        <f>COUNTIFS('KIDS&amp;ADULTS'!$M$1:$M$2007, $B31, 'KIDS&amp;ADULTS'!$AA$1:$AA$2007, G$24)
</f>
        <v>26</v>
      </c>
      <c r="H31" s="456">
        <f>COUNTIFS('KIDS&amp;ADULTS'!$M$1:$M$2007, $B31, 'KIDS&amp;ADULTS'!$AA$1:$AA$2007, H$24)
</f>
        <v>88</v>
      </c>
      <c r="I31" s="456">
        <f>COUNTIFS('KIDS&amp;ADULTS'!$M$1:$M$2007, $B31, 'KIDS&amp;ADULTS'!$AA$1:$AA$2007, I$24)
</f>
        <v>118</v>
      </c>
      <c r="J31" s="456">
        <f>COUNTIFS('KIDS&amp;ADULTS'!$M$1:$M$2007, $B31, 'KIDS&amp;ADULTS'!$AA$1:$AA$2007, J$24)
</f>
        <v>7</v>
      </c>
      <c r="K31" s="456">
        <f>COUNTIFS('KIDS&amp;ADULTS'!$M$1:$M$2007, $B31, 'KIDS&amp;ADULTS'!$AA$1:$AA$2007, K$24)
</f>
        <v>0</v>
      </c>
      <c r="L31" s="456">
        <f>COUNTIFS('KIDS&amp;ADULTS'!$M$1:$M$2007, $B31, 'KIDS&amp;ADULTS'!$AA$1:$AA$2007, L$24)
</f>
        <v>0</v>
      </c>
      <c r="M31" s="456">
        <f>COUNTIFS('KIDS&amp;ADULTS'!$M$1:$M$2007, $B31, 'KIDS&amp;ADULTS'!$AA$1:$AA$2007, M$24)
</f>
        <v>0</v>
      </c>
      <c r="N31" s="456">
        <f>COUNTIFS('KIDS&amp;ADULTS'!$M$1:$M$2007, $B31, 'KIDS&amp;ADULTS'!$AA$1:$AA$2007, N$24)
</f>
        <v>0</v>
      </c>
      <c r="O31" s="457">
        <f t="shared" si="5"/>
        <v>239</v>
      </c>
      <c r="P31" s="442"/>
      <c r="Q31" s="442"/>
      <c r="R31" s="455">
        <v>7.0</v>
      </c>
      <c r="S31" s="456" t="s">
        <v>33</v>
      </c>
      <c r="T31" s="483">
        <f>SUMIFS('KIDS&amp;ADULTS'!$Z$2:$Z$2007,'KIDS&amp;ADULTS'!$M$2:$M$2007,$S31,'KIDS&amp;ADULTS'!$AB$2:$AB$2007,T$24)</f>
        <v>0</v>
      </c>
      <c r="U31" s="483">
        <f>SUMIFS('KIDS&amp;ADULTS'!$Z$2:$Z$2007,'KIDS&amp;ADULTS'!$M$2:$M$2007,$S31,'KIDS&amp;ADULTS'!$AB$2:$AB$2007,U$24)</f>
        <v>0</v>
      </c>
      <c r="V31" s="483">
        <f>SUMIFS('KIDS&amp;ADULTS'!$Z$2:$Z$2007,'KIDS&amp;ADULTS'!$M$2:$M$2007,$S31,'KIDS&amp;ADULTS'!$AB$2:$AB$2007,V$24)</f>
        <v>0</v>
      </c>
      <c r="W31" s="483">
        <f>SUMIFS('KIDS&amp;ADULTS'!$Z$2:$Z$2007,'KIDS&amp;ADULTS'!$M$2:$M$2007,$S31,'KIDS&amp;ADULTS'!$AB$2:$AB$2007,W$24)</f>
        <v>0</v>
      </c>
      <c r="X31" s="483">
        <f>SUMIFS('KIDS&amp;ADULTS'!$Z$2:$Z$2007,'KIDS&amp;ADULTS'!$M$2:$M$2007,$S31,'KIDS&amp;ADULTS'!$AB$2:$AB$2007,X$24)</f>
        <v>7500000</v>
      </c>
      <c r="Y31" s="483">
        <f>SUMIFS('KIDS&amp;ADULTS'!$Z$2:$Z$2007,'KIDS&amp;ADULTS'!$M$2:$M$2007,$S31,'KIDS&amp;ADULTS'!$AB$2:$AB$2007,Y$24)</f>
        <v>0</v>
      </c>
      <c r="Z31" s="483">
        <f>SUMIFS('KIDS&amp;ADULTS'!$Z$2:$Z$2007,'KIDS&amp;ADULTS'!$M$2:$M$2007,$S31,'KIDS&amp;ADULTS'!$AB$2:$AB$2007,Z$24)</f>
        <v>0</v>
      </c>
      <c r="AA31" s="483">
        <f>SUMIFS('KIDS&amp;ADULTS'!$Z$2:$Z$2007,'KIDS&amp;ADULTS'!$M$2:$M$2007,$S31,'KIDS&amp;ADULTS'!$AB$2:$AB$2007,AA$24)</f>
        <v>0</v>
      </c>
      <c r="AB31" s="483">
        <f>SUMIFS('KIDS&amp;ADULTS'!$Z$2:$Z$2007,'KIDS&amp;ADULTS'!$M$2:$M$2007,$S31,'KIDS&amp;ADULTS'!$AB$2:$AB$2007,AB$24)</f>
        <v>0</v>
      </c>
      <c r="AC31" s="483">
        <f>SUMIFS('KIDS&amp;ADULTS'!$Z$2:$Z$2007,'KIDS&amp;ADULTS'!$M$2:$M$2007,$S31,'KIDS&amp;ADULTS'!$AB$2:$AB$2007,AC$24)</f>
        <v>0</v>
      </c>
      <c r="AD31" s="483">
        <f>SUMIFS('KIDS&amp;ADULTS'!$Z$2:$Z$2007,'KIDS&amp;ADULTS'!$M$2:$M$2007,$S31,'KIDS&amp;ADULTS'!$AB$2:$AB$2007,AD$24)</f>
        <v>0</v>
      </c>
      <c r="AE31" s="483">
        <f>SUMIFS('KIDS&amp;ADULTS'!$Z$2:$Z$2007,'KIDS&amp;ADULTS'!$M$2:$M$2007,$S31,'KIDS&amp;ADULTS'!$AB$2:$AB$2007,AE$24)</f>
        <v>0</v>
      </c>
      <c r="AF31" s="484">
        <f t="shared" si="6"/>
        <v>7500000</v>
      </c>
      <c r="AG31" s="442"/>
      <c r="AH31" s="442"/>
      <c r="AI31" s="442"/>
      <c r="AJ31" s="442"/>
      <c r="AK31" s="442"/>
      <c r="AL31" s="442"/>
      <c r="AM31" s="442"/>
      <c r="AN31" s="442"/>
      <c r="AO31" s="442"/>
      <c r="AP31" s="442"/>
      <c r="AQ31" s="442"/>
      <c r="AR31" s="442"/>
      <c r="AS31" s="442"/>
      <c r="AT31" s="442"/>
      <c r="AU31" s="442"/>
      <c r="AV31" s="442"/>
    </row>
    <row r="32" ht="15.75" customHeight="1">
      <c r="A32" s="455">
        <v>8.0</v>
      </c>
      <c r="B32" s="456" t="s">
        <v>56</v>
      </c>
      <c r="C32" s="456">
        <f>COUNTIFS('KIDS&amp;ADULTS'!$M$1:$M$2007, $B32, 'KIDS&amp;ADULTS'!$AA$1:$AA$2007, C$24)
</f>
        <v>0</v>
      </c>
      <c r="D32" s="456">
        <f>COUNTIFS('KIDS&amp;ADULTS'!$M$1:$M$2007, $B32, 'KIDS&amp;ADULTS'!$AA$1:$AA$2007, D$24)
</f>
        <v>0</v>
      </c>
      <c r="E32" s="456">
        <f>COUNTIFS('KIDS&amp;ADULTS'!$M$1:$M$2007, $B32, 'KIDS&amp;ADULTS'!$AA$1:$AA$2007, E$24)
</f>
        <v>0</v>
      </c>
      <c r="F32" s="456">
        <f>COUNTIFS('KIDS&amp;ADULTS'!$M$1:$M$2007, $B32, 'KIDS&amp;ADULTS'!$AA$1:$AA$2007, F$24)
</f>
        <v>0</v>
      </c>
      <c r="G32" s="456">
        <f>COUNTIFS('KIDS&amp;ADULTS'!$M$1:$M$2007, $B32, 'KIDS&amp;ADULTS'!$AA$1:$AA$2007, G$24)
</f>
        <v>8</v>
      </c>
      <c r="H32" s="456">
        <f>COUNTIFS('KIDS&amp;ADULTS'!$M$1:$M$2007, $B32, 'KIDS&amp;ADULTS'!$AA$1:$AA$2007, H$24)
</f>
        <v>0</v>
      </c>
      <c r="I32" s="456">
        <f>COUNTIFS('KIDS&amp;ADULTS'!$M$1:$M$2007, $B32, 'KIDS&amp;ADULTS'!$AA$1:$AA$2007, I$24)
</f>
        <v>0</v>
      </c>
      <c r="J32" s="456">
        <f>COUNTIFS('KIDS&amp;ADULTS'!$M$1:$M$2007, $B32, 'KIDS&amp;ADULTS'!$AA$1:$AA$2007, J$24)
</f>
        <v>0</v>
      </c>
      <c r="K32" s="456">
        <f>COUNTIFS('KIDS&amp;ADULTS'!$M$1:$M$2007, $B32, 'KIDS&amp;ADULTS'!$AA$1:$AA$2007, K$24)
</f>
        <v>0</v>
      </c>
      <c r="L32" s="456">
        <f>COUNTIFS('KIDS&amp;ADULTS'!$M$1:$M$2007, $B32, 'KIDS&amp;ADULTS'!$AA$1:$AA$2007, L$24)
</f>
        <v>0</v>
      </c>
      <c r="M32" s="456">
        <f>COUNTIFS('KIDS&amp;ADULTS'!$M$1:$M$2007, $B32, 'KIDS&amp;ADULTS'!$AA$1:$AA$2007, M$24)
</f>
        <v>0</v>
      </c>
      <c r="N32" s="456">
        <f>COUNTIFS('KIDS&amp;ADULTS'!$M$1:$M$2007, $B32, 'KIDS&amp;ADULTS'!$AA$1:$AA$2007, N$24)
</f>
        <v>0</v>
      </c>
      <c r="O32" s="457">
        <f t="shared" si="5"/>
        <v>8</v>
      </c>
      <c r="P32" s="442"/>
      <c r="Q32" s="442"/>
      <c r="R32" s="485"/>
      <c r="S32" s="486" t="s">
        <v>4742</v>
      </c>
      <c r="T32" s="487">
        <f>sum(T25:T31)</f>
        <v>0</v>
      </c>
      <c r="U32" s="488">
        <v>2.893E7</v>
      </c>
      <c r="V32" s="489">
        <v>5.610437E7</v>
      </c>
      <c r="W32" s="489">
        <v>3.50506E7</v>
      </c>
      <c r="X32" s="487">
        <f t="shared" ref="X32:AF32" si="7">sum(X25:X31)</f>
        <v>53739500</v>
      </c>
      <c r="Y32" s="487">
        <f t="shared" si="7"/>
        <v>210660828</v>
      </c>
      <c r="Z32" s="487">
        <f t="shared" si="7"/>
        <v>177828770</v>
      </c>
      <c r="AA32" s="487">
        <f t="shared" si="7"/>
        <v>73991690</v>
      </c>
      <c r="AB32" s="487">
        <f t="shared" si="7"/>
        <v>57923500</v>
      </c>
      <c r="AC32" s="487">
        <f t="shared" si="7"/>
        <v>58475500</v>
      </c>
      <c r="AD32" s="487">
        <f t="shared" si="7"/>
        <v>25459800</v>
      </c>
      <c r="AE32" s="487">
        <f t="shared" si="7"/>
        <v>39580200</v>
      </c>
      <c r="AF32" s="490">
        <f t="shared" si="7"/>
        <v>697659788</v>
      </c>
      <c r="AG32" s="442"/>
      <c r="AH32" s="442"/>
      <c r="AI32" s="442"/>
      <c r="AJ32" s="442"/>
      <c r="AK32" s="442"/>
      <c r="AL32" s="442"/>
      <c r="AM32" s="442"/>
      <c r="AN32" s="442"/>
      <c r="AO32" s="442"/>
      <c r="AP32" s="442"/>
      <c r="AQ32" s="442"/>
      <c r="AR32" s="442"/>
      <c r="AS32" s="442"/>
      <c r="AT32" s="442"/>
      <c r="AU32" s="442"/>
      <c r="AV32" s="442"/>
    </row>
    <row r="33" ht="15.75" customHeight="1">
      <c r="A33" s="455">
        <v>9.0</v>
      </c>
      <c r="B33" s="456" t="s">
        <v>33</v>
      </c>
      <c r="C33" s="456">
        <f>COUNTIFS('KIDS&amp;ADULTS'!$M$1:$M$2007, $B33, 'KIDS&amp;ADULTS'!$AA$1:$AA$2007, C$24)
</f>
        <v>0</v>
      </c>
      <c r="D33" s="456">
        <f>COUNTIFS('KIDS&amp;ADULTS'!$M$1:$M$2007, $B33, 'KIDS&amp;ADULTS'!$AA$1:$AA$2007, D$24)
</f>
        <v>0</v>
      </c>
      <c r="E33" s="456">
        <f>COUNTIFS('KIDS&amp;ADULTS'!$M$1:$M$2007, $B33, 'KIDS&amp;ADULTS'!$AA$1:$AA$2007, E$24)
</f>
        <v>0</v>
      </c>
      <c r="F33" s="456">
        <f>COUNTIFS('KIDS&amp;ADULTS'!$M$1:$M$2007, $B33, 'KIDS&amp;ADULTS'!$AA$1:$AA$2007, F$24)
</f>
        <v>0</v>
      </c>
      <c r="G33" s="456">
        <f>COUNTIFS('KIDS&amp;ADULTS'!$M$1:$M$2007, $B33, 'KIDS&amp;ADULTS'!$AA$1:$AA$2007, G$24)
</f>
        <v>6</v>
      </c>
      <c r="H33" s="456">
        <f>COUNTIFS('KIDS&amp;ADULTS'!$M$1:$M$2007, $B33, 'KIDS&amp;ADULTS'!$AA$1:$AA$2007, H$24)
</f>
        <v>0</v>
      </c>
      <c r="I33" s="456">
        <f>COUNTIFS('KIDS&amp;ADULTS'!$M$1:$M$2007, $B33, 'KIDS&amp;ADULTS'!$AA$1:$AA$2007, I$24)
</f>
        <v>0</v>
      </c>
      <c r="J33" s="456">
        <f>COUNTIFS('KIDS&amp;ADULTS'!$M$1:$M$2007, $B33, 'KIDS&amp;ADULTS'!$AA$1:$AA$2007, J$24)
</f>
        <v>0</v>
      </c>
      <c r="K33" s="456">
        <f>COUNTIFS('KIDS&amp;ADULTS'!$M$1:$M$2007, $B33, 'KIDS&amp;ADULTS'!$AA$1:$AA$2007, K$24)
</f>
        <v>0</v>
      </c>
      <c r="L33" s="456">
        <f>COUNTIFS('KIDS&amp;ADULTS'!$M$1:$M$2007, $B33, 'KIDS&amp;ADULTS'!$AA$1:$AA$2007, L$24)
</f>
        <v>0</v>
      </c>
      <c r="M33" s="456">
        <f>COUNTIFS('KIDS&amp;ADULTS'!$M$1:$M$2007, $B33, 'KIDS&amp;ADULTS'!$AA$1:$AA$2007, M$24)
</f>
        <v>0</v>
      </c>
      <c r="N33" s="456">
        <f>COUNTIFS('KIDS&amp;ADULTS'!$M$1:$M$2007, $B33, 'KIDS&amp;ADULTS'!$AA$1:$AA$2007, N$24)
</f>
        <v>0</v>
      </c>
      <c r="O33" s="457">
        <f t="shared" si="5"/>
        <v>6</v>
      </c>
      <c r="P33" s="442"/>
      <c r="Q33" s="442"/>
      <c r="AI33" s="442"/>
      <c r="AJ33" s="442"/>
      <c r="AK33" s="442"/>
      <c r="AL33" s="442"/>
      <c r="AM33" s="442"/>
      <c r="AN33" s="442"/>
      <c r="AO33" s="442"/>
      <c r="AP33" s="442"/>
      <c r="AQ33" s="442"/>
      <c r="AR33" s="442"/>
      <c r="AS33" s="442"/>
      <c r="AT33" s="442"/>
      <c r="AU33" s="442"/>
      <c r="AV33" s="442"/>
    </row>
    <row r="34" ht="15.75" customHeight="1">
      <c r="A34" s="460" t="s">
        <v>4742</v>
      </c>
      <c r="B34" s="461"/>
      <c r="C34" s="486">
        <f t="shared" ref="C34:N34" si="8">sum(C26:C33)</f>
        <v>0</v>
      </c>
      <c r="D34" s="486">
        <f t="shared" si="8"/>
        <v>0</v>
      </c>
      <c r="E34" s="486">
        <f t="shared" si="8"/>
        <v>0</v>
      </c>
      <c r="F34" s="486">
        <f t="shared" si="8"/>
        <v>0</v>
      </c>
      <c r="G34" s="486">
        <f t="shared" si="8"/>
        <v>72</v>
      </c>
      <c r="H34" s="486">
        <f t="shared" si="8"/>
        <v>107</v>
      </c>
      <c r="I34" s="486">
        <f t="shared" si="8"/>
        <v>119</v>
      </c>
      <c r="J34" s="486">
        <f t="shared" si="8"/>
        <v>8</v>
      </c>
      <c r="K34" s="486">
        <f t="shared" si="8"/>
        <v>0</v>
      </c>
      <c r="L34" s="486">
        <f t="shared" si="8"/>
        <v>0</v>
      </c>
      <c r="M34" s="486">
        <f t="shared" si="8"/>
        <v>0</v>
      </c>
      <c r="N34" s="486">
        <f t="shared" si="8"/>
        <v>0</v>
      </c>
      <c r="O34" s="491">
        <f>sum(O25:O33)</f>
        <v>946</v>
      </c>
      <c r="P34" s="442"/>
      <c r="Q34" s="442"/>
      <c r="AG34" s="442"/>
      <c r="AH34" s="442"/>
      <c r="AI34" s="442"/>
      <c r="AJ34" s="442"/>
      <c r="AK34" s="442"/>
      <c r="AL34" s="442"/>
      <c r="AM34" s="442"/>
      <c r="AN34" s="442"/>
      <c r="AO34" s="442"/>
      <c r="AP34" s="442"/>
      <c r="AQ34" s="442"/>
      <c r="AR34" s="442"/>
      <c r="AS34" s="442"/>
      <c r="AT34" s="442"/>
      <c r="AU34" s="442"/>
      <c r="AV34" s="442"/>
    </row>
    <row r="35" ht="15.75" customHeight="1">
      <c r="A35" s="492"/>
      <c r="B35" s="442"/>
      <c r="C35" s="442"/>
      <c r="D35" s="442"/>
      <c r="E35" s="442"/>
      <c r="F35" s="442"/>
      <c r="G35" s="442"/>
      <c r="H35" s="442"/>
      <c r="I35" s="442"/>
      <c r="J35" s="442"/>
      <c r="K35" s="442"/>
      <c r="L35" s="442"/>
      <c r="M35" s="442"/>
      <c r="N35" s="442"/>
      <c r="O35" s="442"/>
      <c r="P35" s="442"/>
      <c r="Q35" s="442"/>
      <c r="AG35" s="442"/>
      <c r="AH35" s="442"/>
      <c r="AI35" s="442"/>
      <c r="AJ35" s="442"/>
      <c r="AK35" s="442"/>
      <c r="AL35" s="442"/>
      <c r="AM35" s="442"/>
      <c r="AN35" s="442"/>
      <c r="AO35" s="442"/>
      <c r="AP35" s="442"/>
      <c r="AQ35" s="442"/>
      <c r="AR35" s="442"/>
      <c r="AS35" s="442"/>
      <c r="AT35" s="442"/>
      <c r="AU35" s="442"/>
      <c r="AV35" s="442"/>
    </row>
    <row r="36" ht="15.75" customHeight="1">
      <c r="A36" s="442"/>
      <c r="B36" s="442"/>
      <c r="C36" s="442"/>
      <c r="D36" s="442"/>
      <c r="E36" s="442"/>
      <c r="F36" s="442"/>
      <c r="G36" s="442"/>
      <c r="H36" s="442"/>
      <c r="I36" s="442"/>
      <c r="J36" s="442"/>
      <c r="K36" s="442"/>
      <c r="L36" s="442"/>
      <c r="M36" s="442"/>
      <c r="N36" s="442"/>
      <c r="O36" s="442"/>
      <c r="P36" s="442"/>
      <c r="Q36" s="442"/>
      <c r="R36" s="442"/>
      <c r="S36" s="442"/>
      <c r="T36" s="442"/>
      <c r="U36" s="442"/>
      <c r="V36" s="442"/>
      <c r="W36" s="442"/>
      <c r="X36" s="442"/>
      <c r="Y36" s="442"/>
      <c r="Z36" s="442"/>
      <c r="AA36" s="442"/>
      <c r="AB36" s="442"/>
      <c r="AC36" s="442"/>
      <c r="AD36" s="493"/>
      <c r="AE36" s="442"/>
      <c r="AF36" s="442"/>
      <c r="AG36" s="442"/>
      <c r="AH36" s="442"/>
      <c r="AI36" s="442"/>
      <c r="AJ36" s="442"/>
      <c r="AK36" s="442"/>
      <c r="AL36" s="442"/>
      <c r="AM36" s="442"/>
      <c r="AN36" s="442"/>
      <c r="AO36" s="442"/>
      <c r="AP36" s="442"/>
      <c r="AQ36" s="442"/>
      <c r="AR36" s="442"/>
      <c r="AS36" s="442"/>
      <c r="AT36" s="442"/>
      <c r="AU36" s="442"/>
      <c r="AV36" s="442"/>
    </row>
    <row r="37" ht="15.75" customHeight="1">
      <c r="A37" s="444" t="s">
        <v>4751</v>
      </c>
      <c r="B37" s="445"/>
      <c r="C37" s="445"/>
      <c r="D37" s="445"/>
      <c r="E37" s="445"/>
      <c r="F37" s="445"/>
      <c r="G37" s="445"/>
      <c r="H37" s="445"/>
      <c r="I37" s="445"/>
      <c r="J37" s="445"/>
      <c r="K37" s="445"/>
      <c r="L37" s="445"/>
      <c r="M37" s="445"/>
      <c r="N37" s="445"/>
      <c r="O37" s="446"/>
      <c r="P37" s="442"/>
      <c r="Q37" s="442"/>
      <c r="R37" s="469" t="s">
        <v>4752</v>
      </c>
      <c r="S37" s="470"/>
      <c r="T37" s="470"/>
      <c r="U37" s="470"/>
      <c r="V37" s="470"/>
      <c r="W37" s="470"/>
      <c r="X37" s="470"/>
      <c r="Y37" s="470"/>
      <c r="Z37" s="470"/>
      <c r="AA37" s="470"/>
      <c r="AB37" s="470"/>
      <c r="AC37" s="470"/>
      <c r="AD37" s="470"/>
      <c r="AE37" s="470"/>
      <c r="AF37" s="471"/>
      <c r="AG37" s="442"/>
      <c r="AH37" s="442"/>
      <c r="AI37" s="442"/>
      <c r="AJ37" s="442"/>
      <c r="AK37" s="442"/>
      <c r="AL37" s="442"/>
      <c r="AM37" s="442"/>
      <c r="AN37" s="442"/>
      <c r="AO37" s="442"/>
      <c r="AP37" s="442"/>
      <c r="AQ37" s="442"/>
      <c r="AR37" s="442"/>
      <c r="AS37" s="442"/>
      <c r="AT37" s="442"/>
      <c r="AU37" s="442"/>
      <c r="AV37" s="442"/>
    </row>
    <row r="38" ht="15.75" customHeight="1">
      <c r="A38" s="472" t="s">
        <v>4743</v>
      </c>
      <c r="B38" s="472" t="s">
        <v>1</v>
      </c>
      <c r="C38" s="473" t="s">
        <v>4741</v>
      </c>
      <c r="D38" s="473" t="s">
        <v>4741</v>
      </c>
      <c r="E38" s="473" t="s">
        <v>4741</v>
      </c>
      <c r="F38" s="473" t="s">
        <v>4741</v>
      </c>
      <c r="G38" s="473" t="s">
        <v>4741</v>
      </c>
      <c r="H38" s="473" t="s">
        <v>4741</v>
      </c>
      <c r="I38" s="473" t="s">
        <v>4741</v>
      </c>
      <c r="J38" s="473" t="s">
        <v>4741</v>
      </c>
      <c r="K38" s="473" t="s">
        <v>4741</v>
      </c>
      <c r="L38" s="473" t="s">
        <v>4741</v>
      </c>
      <c r="M38" s="473" t="s">
        <v>4741</v>
      </c>
      <c r="N38" s="473" t="s">
        <v>4741</v>
      </c>
      <c r="O38" s="474" t="s">
        <v>4742</v>
      </c>
      <c r="P38" s="442"/>
      <c r="Q38" s="442"/>
      <c r="R38" s="476" t="s">
        <v>4743</v>
      </c>
      <c r="S38" s="494" t="s">
        <v>1</v>
      </c>
      <c r="T38" s="477" t="s">
        <v>27</v>
      </c>
      <c r="U38" s="477" t="s">
        <v>27</v>
      </c>
      <c r="V38" s="477" t="s">
        <v>27</v>
      </c>
      <c r="W38" s="477" t="s">
        <v>27</v>
      </c>
      <c r="X38" s="477" t="s">
        <v>27</v>
      </c>
      <c r="Y38" s="477" t="s">
        <v>27</v>
      </c>
      <c r="Z38" s="477" t="s">
        <v>27</v>
      </c>
      <c r="AA38" s="477" t="s">
        <v>27</v>
      </c>
      <c r="AB38" s="477" t="s">
        <v>27</v>
      </c>
      <c r="AC38" s="477" t="s">
        <v>27</v>
      </c>
      <c r="AD38" s="477" t="s">
        <v>27</v>
      </c>
      <c r="AE38" s="478" t="s">
        <v>27</v>
      </c>
      <c r="AF38" s="479" t="s">
        <v>4742</v>
      </c>
      <c r="AG38" s="442"/>
      <c r="AH38" s="442"/>
      <c r="AI38" s="442"/>
      <c r="AJ38" s="442"/>
      <c r="AK38" s="442"/>
      <c r="AL38" s="442"/>
      <c r="AM38" s="442"/>
      <c r="AN38" s="442"/>
      <c r="AO38" s="442"/>
      <c r="AP38" s="442"/>
      <c r="AQ38" s="442"/>
      <c r="AR38" s="442"/>
      <c r="AS38" s="442"/>
      <c r="AT38" s="442"/>
      <c r="AU38" s="442"/>
      <c r="AV38" s="442"/>
    </row>
    <row r="39" ht="15.75" customHeight="1">
      <c r="A39" s="452"/>
      <c r="B39" s="452"/>
      <c r="C39" s="480">
        <v>1.0</v>
      </c>
      <c r="D39" s="480">
        <v>2.0</v>
      </c>
      <c r="E39" s="480">
        <v>3.0</v>
      </c>
      <c r="F39" s="480">
        <v>4.0</v>
      </c>
      <c r="G39" s="480">
        <v>5.0</v>
      </c>
      <c r="H39" s="480">
        <v>6.0</v>
      </c>
      <c r="I39" s="480">
        <v>7.0</v>
      </c>
      <c r="J39" s="480">
        <v>8.0</v>
      </c>
      <c r="K39" s="480">
        <v>9.0</v>
      </c>
      <c r="L39" s="480">
        <v>10.0</v>
      </c>
      <c r="M39" s="480">
        <v>11.0</v>
      </c>
      <c r="N39" s="480">
        <v>12.0</v>
      </c>
      <c r="O39" s="454"/>
      <c r="P39" s="442"/>
      <c r="Q39" s="442"/>
      <c r="R39" s="452"/>
      <c r="S39" s="495"/>
      <c r="T39" s="453">
        <v>1.0</v>
      </c>
      <c r="U39" s="453">
        <v>2.0</v>
      </c>
      <c r="V39" s="453">
        <v>3.0</v>
      </c>
      <c r="W39" s="453">
        <v>4.0</v>
      </c>
      <c r="X39" s="453">
        <v>5.0</v>
      </c>
      <c r="Y39" s="453">
        <v>6.0</v>
      </c>
      <c r="Z39" s="453">
        <v>7.0</v>
      </c>
      <c r="AA39" s="453">
        <v>8.0</v>
      </c>
      <c r="AB39" s="453">
        <v>9.0</v>
      </c>
      <c r="AC39" s="453">
        <v>10.0</v>
      </c>
      <c r="AD39" s="453">
        <v>11.0</v>
      </c>
      <c r="AE39" s="482">
        <v>12.0</v>
      </c>
      <c r="AF39" s="454"/>
      <c r="AG39" s="442"/>
      <c r="AH39" s="442"/>
      <c r="AI39" s="442"/>
      <c r="AJ39" s="442"/>
      <c r="AK39" s="442"/>
      <c r="AL39" s="442"/>
      <c r="AM39" s="442"/>
      <c r="AN39" s="442"/>
      <c r="AO39" s="442"/>
      <c r="AP39" s="442"/>
      <c r="AQ39" s="442"/>
      <c r="AR39" s="442"/>
      <c r="AS39" s="442"/>
      <c r="AT39" s="442"/>
      <c r="AU39" s="442"/>
      <c r="AV39" s="442"/>
    </row>
    <row r="40" ht="15.75" customHeight="1">
      <c r="A40" s="496">
        <v>1.0</v>
      </c>
      <c r="B40" s="456" t="s">
        <v>4753</v>
      </c>
      <c r="C40" s="456">
        <f>COUNTIFS('KIDS&amp;ADULTS'!$B$1:$B$2007, $B40, 'KIDS&amp;ADULTS'!$AA$1:$AA$2007, C$39)
</f>
        <v>0</v>
      </c>
      <c r="D40" s="456">
        <f>COUNTIFS('KIDS&amp;ADULTS'!$B$1:$B$2007, $B40, 'KIDS&amp;ADULTS'!$AA$1:$AA$2007, D$39)
</f>
        <v>0</v>
      </c>
      <c r="E40" s="456">
        <f>COUNTIFS('KIDS&amp;ADULTS'!$B$1:$B$2007, $B40, 'KIDS&amp;ADULTS'!$AA$1:$AA$2007, E$39)
</f>
        <v>0</v>
      </c>
      <c r="F40" s="456">
        <f>COUNTIFS('KIDS&amp;ADULTS'!$B$1:$B$2007, $B40, 'KIDS&amp;ADULTS'!$AA$1:$AA$2007, F$39)
</f>
        <v>0</v>
      </c>
      <c r="G40" s="456">
        <f>COUNTIFS('KIDS&amp;ADULTS'!$B$1:$B$2007, $B40, 'KIDS&amp;ADULTS'!$AA$1:$AA$2007, G$39)
</f>
        <v>0</v>
      </c>
      <c r="H40" s="456">
        <f>COUNTIFS('KIDS&amp;ADULTS'!$B$1:$B$2007, $B40, 'KIDS&amp;ADULTS'!$AA$1:$AA$2007, H$39)
</f>
        <v>0</v>
      </c>
      <c r="I40" s="456">
        <f>COUNTIFS('KIDS&amp;ADULTS'!$B$1:$B$2007, $B40, 'KIDS&amp;ADULTS'!$AA$1:$AA$2007, I$39)
</f>
        <v>0</v>
      </c>
      <c r="J40" s="456">
        <f>COUNTIFS('KIDS&amp;ADULTS'!$B$1:$B$2007, $B40, 'KIDS&amp;ADULTS'!$AA$1:$AA$2007, J$39)
</f>
        <v>0</v>
      </c>
      <c r="K40" s="456">
        <f>COUNTIFS('KIDS&amp;ADULTS'!$B$1:$B$2007, $B40, 'KIDS&amp;ADULTS'!$AA$1:$AA$2007, K$39)
</f>
        <v>0</v>
      </c>
      <c r="L40" s="456">
        <f>COUNTIFS('KIDS&amp;ADULTS'!$B$1:$B$2007, $B40, 'KIDS&amp;ADULTS'!$AA$1:$AA$2007, L$39)
</f>
        <v>0</v>
      </c>
      <c r="M40" s="456">
        <f>COUNTIFS('KIDS&amp;ADULTS'!$B$1:$B$2007, $B40, 'KIDS&amp;ADULTS'!$AA$1:$AA$2007, M$39)
</f>
        <v>0</v>
      </c>
      <c r="N40" s="456">
        <f>COUNTIFS('KIDS&amp;ADULTS'!$B$1:$B$2007, $B40, 'KIDS&amp;ADULTS'!$AA$1:$AA$2007, N$39)
</f>
        <v>0</v>
      </c>
      <c r="O40" s="457">
        <f t="shared" ref="O40:O50" si="9">sum(C40:N40)</f>
        <v>0</v>
      </c>
      <c r="P40" s="442"/>
      <c r="Q40" s="442"/>
      <c r="R40" s="455">
        <v>1.0</v>
      </c>
      <c r="S40" s="456" t="s">
        <v>4753</v>
      </c>
      <c r="T40" s="483">
        <f>SUMIFS('KIDS&amp;ADULTS'!$Z$2:$Z$2007,'KIDS&amp;ADULTS'!$B$2:$B$2007,$S40,'KIDS&amp;ADULTS'!$AB$2:$AB$2007,T$24)</f>
        <v>0</v>
      </c>
      <c r="U40" s="483">
        <f>SUMIFS('KIDS&amp;ADULTS'!$Z$2:$Z$2007,'KIDS&amp;ADULTS'!$B$2:$B$2007,$S40,'KIDS&amp;ADULTS'!$AB$2:$AB$2007,U$24)</f>
        <v>0</v>
      </c>
      <c r="V40" s="483">
        <f>SUMIFS('KIDS&amp;ADULTS'!$Z$2:$Z$2007,'KIDS&amp;ADULTS'!$B$2:$B$2007,$S40,'KIDS&amp;ADULTS'!$AB$2:$AB$2007,V$24)</f>
        <v>0</v>
      </c>
      <c r="W40" s="483">
        <f>SUMIFS('KIDS&amp;ADULTS'!$Z$2:$Z$2007,'KIDS&amp;ADULTS'!$B$2:$B$2007,$S40,'KIDS&amp;ADULTS'!$AB$2:$AB$2007,W$24)</f>
        <v>0</v>
      </c>
      <c r="X40" s="483">
        <f>SUMIFS('KIDS&amp;ADULTS'!$Z$2:$Z$2007,'KIDS&amp;ADULTS'!$B$2:$B$2007,$S40,'KIDS&amp;ADULTS'!$AB$2:$AB$2007,X$24)</f>
        <v>0</v>
      </c>
      <c r="Y40" s="483">
        <f>SUMIFS('KIDS&amp;ADULTS'!$Z$2:$Z$2007,'KIDS&amp;ADULTS'!$B$2:$B$2007,$S40,'KIDS&amp;ADULTS'!$AB$2:$AB$2007,Y$24)</f>
        <v>0</v>
      </c>
      <c r="Z40" s="483">
        <f>SUMIFS('KIDS&amp;ADULTS'!$Z$2:$Z$2007,'KIDS&amp;ADULTS'!$B$2:$B$2007,$S40,'KIDS&amp;ADULTS'!$AB$2:$AB$2007,Z$24)</f>
        <v>0</v>
      </c>
      <c r="AA40" s="483">
        <f>SUMIFS('KIDS&amp;ADULTS'!$Z$2:$Z$2007,'KIDS&amp;ADULTS'!$B$2:$B$2007,$S40,'KIDS&amp;ADULTS'!$AB$2:$AB$2007,AA$24)</f>
        <v>0</v>
      </c>
      <c r="AB40" s="483">
        <f>SUMIFS('KIDS&amp;ADULTS'!$Z$2:$Z$2007,'KIDS&amp;ADULTS'!$B$2:$B$2007,$S40,'KIDS&amp;ADULTS'!$AB$2:$AB$2007,AB$24)</f>
        <v>0</v>
      </c>
      <c r="AC40" s="483">
        <f>SUMIFS('KIDS&amp;ADULTS'!$Z$2:$Z$2007,'KIDS&amp;ADULTS'!$B$2:$B$2007,$S40,'KIDS&amp;ADULTS'!$AB$2:$AB$2007,AC$24)</f>
        <v>0</v>
      </c>
      <c r="AD40" s="483">
        <f>SUMIFS('KIDS&amp;ADULTS'!$Z$2:$Z$2007,'KIDS&amp;ADULTS'!$B$2:$B$2007,$S40,'KIDS&amp;ADULTS'!$AB$2:$AB$2007,AD$24)</f>
        <v>0</v>
      </c>
      <c r="AE40" s="483">
        <f>SUMIFS('KIDS&amp;ADULTS'!$Z$2:$Z$2007,'KIDS&amp;ADULTS'!$B$2:$B$2007,$S40,'KIDS&amp;ADULTS'!$AB$2:$AB$2007,AE$24)</f>
        <v>0</v>
      </c>
      <c r="AF40" s="497">
        <f t="shared" ref="AF40:AF49" si="10">sum(T40:AE40)</f>
        <v>0</v>
      </c>
      <c r="AG40" s="442"/>
      <c r="AH40" s="442"/>
      <c r="AI40" s="442"/>
      <c r="AJ40" s="442"/>
      <c r="AK40" s="442"/>
      <c r="AL40" s="442"/>
      <c r="AM40" s="442"/>
      <c r="AN40" s="442"/>
      <c r="AO40" s="442"/>
      <c r="AP40" s="442"/>
      <c r="AQ40" s="442"/>
      <c r="AR40" s="442"/>
      <c r="AS40" s="442"/>
      <c r="AT40" s="442"/>
      <c r="AU40" s="442"/>
      <c r="AV40" s="442"/>
    </row>
    <row r="41" ht="15.75" customHeight="1">
      <c r="A41" s="496">
        <v>2.0</v>
      </c>
      <c r="B41" s="456" t="s">
        <v>4754</v>
      </c>
      <c r="C41" s="456">
        <f>COUNTIFS('KIDS&amp;ADULTS'!$B$1:$B$2007, $B41, 'KIDS&amp;ADULTS'!$AA$1:$AA$2007, C$39)
</f>
        <v>0</v>
      </c>
      <c r="D41" s="456">
        <f>COUNTIFS('KIDS&amp;ADULTS'!$B$1:$B$2007, $B41, 'KIDS&amp;ADULTS'!$AA$1:$AA$2007, D$39)
</f>
        <v>0</v>
      </c>
      <c r="E41" s="456">
        <f>COUNTIFS('KIDS&amp;ADULTS'!$B$1:$B$2007, $B41, 'KIDS&amp;ADULTS'!$AA$1:$AA$2007, E$39)
</f>
        <v>0</v>
      </c>
      <c r="F41" s="456">
        <f>COUNTIFS('KIDS&amp;ADULTS'!$B$1:$B$2007, $B41, 'KIDS&amp;ADULTS'!$AA$1:$AA$2007, F$39)
</f>
        <v>0</v>
      </c>
      <c r="G41" s="456">
        <f>COUNTIFS('KIDS&amp;ADULTS'!$B$1:$B$2007, $B41, 'KIDS&amp;ADULTS'!$AA$1:$AA$2007, G$39)
</f>
        <v>0</v>
      </c>
      <c r="H41" s="456">
        <f>COUNTIFS('KIDS&amp;ADULTS'!$B$1:$B$2007, $B41, 'KIDS&amp;ADULTS'!$AA$1:$AA$2007, H$39)
</f>
        <v>0</v>
      </c>
      <c r="I41" s="456">
        <f>COUNTIFS('KIDS&amp;ADULTS'!$B$1:$B$2007, $B41, 'KIDS&amp;ADULTS'!$AA$1:$AA$2007, I$39)
</f>
        <v>0</v>
      </c>
      <c r="J41" s="456">
        <f>COUNTIFS('KIDS&amp;ADULTS'!$B$1:$B$2007, $B41, 'KIDS&amp;ADULTS'!$AA$1:$AA$2007, J$39)
</f>
        <v>0</v>
      </c>
      <c r="K41" s="456">
        <f>COUNTIFS('KIDS&amp;ADULTS'!$B$1:$B$2007, $B41, 'KIDS&amp;ADULTS'!$AA$1:$AA$2007, K$39)
</f>
        <v>0</v>
      </c>
      <c r="L41" s="456">
        <f>COUNTIFS('KIDS&amp;ADULTS'!$B$1:$B$2007, $B41, 'KIDS&amp;ADULTS'!$AA$1:$AA$2007, L$39)
</f>
        <v>0</v>
      </c>
      <c r="M41" s="456">
        <f>COUNTIFS('KIDS&amp;ADULTS'!$B$1:$B$2007, $B41, 'KIDS&amp;ADULTS'!$AA$1:$AA$2007, M$39)
</f>
        <v>0</v>
      </c>
      <c r="N41" s="456">
        <f>COUNTIFS('KIDS&amp;ADULTS'!$B$1:$B$2007, $B41, 'KIDS&amp;ADULTS'!$AA$1:$AA$2007, N$39)
</f>
        <v>0</v>
      </c>
      <c r="O41" s="457">
        <f t="shared" si="9"/>
        <v>0</v>
      </c>
      <c r="P41" s="442"/>
      <c r="Q41" s="442"/>
      <c r="R41" s="455">
        <v>2.0</v>
      </c>
      <c r="S41" s="456" t="s">
        <v>4754</v>
      </c>
      <c r="T41" s="483">
        <f>SUMIFS('KIDS&amp;ADULTS'!$Z$2:$Z$2007,'KIDS&amp;ADULTS'!$B$2:$B$2007,$S41,'KIDS&amp;ADULTS'!$AB$2:$AB$2007,T$24)</f>
        <v>0</v>
      </c>
      <c r="U41" s="483">
        <f>SUMIFS('KIDS&amp;ADULTS'!$Z$2:$Z$2007,'KIDS&amp;ADULTS'!$B$2:$B$2007,$S41,'KIDS&amp;ADULTS'!$AB$2:$AB$2007,U$24)</f>
        <v>0</v>
      </c>
      <c r="V41" s="483">
        <f>SUMIFS('KIDS&amp;ADULTS'!$Z$2:$Z$2007,'KIDS&amp;ADULTS'!$B$2:$B$2007,$S41,'KIDS&amp;ADULTS'!$AB$2:$AB$2007,V$24)</f>
        <v>0</v>
      </c>
      <c r="W41" s="483">
        <f>SUMIFS('KIDS&amp;ADULTS'!$Z$2:$Z$2007,'KIDS&amp;ADULTS'!$B$2:$B$2007,$S41,'KIDS&amp;ADULTS'!$AB$2:$AB$2007,W$24)</f>
        <v>0</v>
      </c>
      <c r="X41" s="483">
        <f>SUMIFS('KIDS&amp;ADULTS'!$Z$2:$Z$2007,'KIDS&amp;ADULTS'!$B$2:$B$2007,$S41,'KIDS&amp;ADULTS'!$AB$2:$AB$2007,X$24)</f>
        <v>0</v>
      </c>
      <c r="Y41" s="483">
        <f>SUMIFS('KIDS&amp;ADULTS'!$Z$2:$Z$2007,'KIDS&amp;ADULTS'!$B$2:$B$2007,$S41,'KIDS&amp;ADULTS'!$AB$2:$AB$2007,Y$24)</f>
        <v>0</v>
      </c>
      <c r="Z41" s="483">
        <f>SUMIFS('KIDS&amp;ADULTS'!$Z$2:$Z$2007,'KIDS&amp;ADULTS'!$B$2:$B$2007,$S41,'KIDS&amp;ADULTS'!$AB$2:$AB$2007,Z$24)</f>
        <v>0</v>
      </c>
      <c r="AA41" s="483">
        <f>SUMIFS('KIDS&amp;ADULTS'!$Z$2:$Z$2007,'KIDS&amp;ADULTS'!$B$2:$B$2007,$S41,'KIDS&amp;ADULTS'!$AB$2:$AB$2007,AA$24)</f>
        <v>0</v>
      </c>
      <c r="AB41" s="483">
        <f>SUMIFS('KIDS&amp;ADULTS'!$Z$2:$Z$2007,'KIDS&amp;ADULTS'!$B$2:$B$2007,$S41,'KIDS&amp;ADULTS'!$AB$2:$AB$2007,AB$24)</f>
        <v>0</v>
      </c>
      <c r="AC41" s="483">
        <f>SUMIFS('KIDS&amp;ADULTS'!$Z$2:$Z$2007,'KIDS&amp;ADULTS'!$B$2:$B$2007,$S41,'KIDS&amp;ADULTS'!$AB$2:$AB$2007,AC$24)</f>
        <v>0</v>
      </c>
      <c r="AD41" s="483">
        <f>SUMIFS('KIDS&amp;ADULTS'!$Z$2:$Z$2007,'KIDS&amp;ADULTS'!$B$2:$B$2007,$S41,'KIDS&amp;ADULTS'!$AB$2:$AB$2007,AD$24)</f>
        <v>0</v>
      </c>
      <c r="AE41" s="483">
        <f>SUMIFS('KIDS&amp;ADULTS'!$Z$2:$Z$2007,'KIDS&amp;ADULTS'!$B$2:$B$2007,$S41,'KIDS&amp;ADULTS'!$AB$2:$AB$2007,AE$24)</f>
        <v>0</v>
      </c>
      <c r="AF41" s="497">
        <f t="shared" si="10"/>
        <v>0</v>
      </c>
      <c r="AG41" s="442"/>
      <c r="AH41" s="442"/>
      <c r="AI41" s="442"/>
      <c r="AJ41" s="442"/>
      <c r="AK41" s="442"/>
      <c r="AL41" s="442"/>
      <c r="AM41" s="442"/>
      <c r="AN41" s="442"/>
      <c r="AO41" s="442"/>
      <c r="AP41" s="442"/>
      <c r="AQ41" s="442"/>
      <c r="AR41" s="442"/>
      <c r="AS41" s="442"/>
      <c r="AT41" s="442"/>
      <c r="AU41" s="442"/>
      <c r="AV41" s="442"/>
    </row>
    <row r="42" ht="15.75" customHeight="1">
      <c r="A42" s="496">
        <v>3.0</v>
      </c>
      <c r="B42" s="456" t="s">
        <v>73</v>
      </c>
      <c r="C42" s="456">
        <f>COUNTIFS('KIDS&amp;ADULTS'!$B$1:$B$2007, $B42, 'KIDS&amp;ADULTS'!$AA$1:$AA$2007, C$39)
</f>
        <v>0</v>
      </c>
      <c r="D42" s="456">
        <f>COUNTIFS('KIDS&amp;ADULTS'!$B$1:$B$2007, $B42, 'KIDS&amp;ADULTS'!$AA$1:$AA$2007, D$39)
</f>
        <v>0</v>
      </c>
      <c r="E42" s="456">
        <f>COUNTIFS('KIDS&amp;ADULTS'!$B$1:$B$2007, $B42, 'KIDS&amp;ADULTS'!$AA$1:$AA$2007, E$39)
</f>
        <v>0</v>
      </c>
      <c r="F42" s="456">
        <f>COUNTIFS('KIDS&amp;ADULTS'!$B$1:$B$2007, $B42, 'KIDS&amp;ADULTS'!$AA$1:$AA$2007, F$39)
</f>
        <v>0</v>
      </c>
      <c r="G42" s="456">
        <f>COUNTIFS('KIDS&amp;ADULTS'!$B$1:$B$2007, $B42, 'KIDS&amp;ADULTS'!$AA$1:$AA$2007, G$39)
</f>
        <v>1</v>
      </c>
      <c r="H42" s="456">
        <f>COUNTIFS('KIDS&amp;ADULTS'!$B$1:$B$2007, $B42, 'KIDS&amp;ADULTS'!$AA$1:$AA$2007, H$39)
</f>
        <v>5</v>
      </c>
      <c r="I42" s="456">
        <f>COUNTIFS('KIDS&amp;ADULTS'!$B$1:$B$2007, $B42, 'KIDS&amp;ADULTS'!$AA$1:$AA$2007, I$39)
</f>
        <v>0</v>
      </c>
      <c r="J42" s="456">
        <f>COUNTIFS('KIDS&amp;ADULTS'!$B$1:$B$2007, $B42, 'KIDS&amp;ADULTS'!$AA$1:$AA$2007, J$39)
</f>
        <v>4</v>
      </c>
      <c r="K42" s="456">
        <f>COUNTIFS('KIDS&amp;ADULTS'!$B$1:$B$2007, $B42, 'KIDS&amp;ADULTS'!$AA$1:$AA$2007, K$39)
</f>
        <v>2</v>
      </c>
      <c r="L42" s="456">
        <f>COUNTIFS('KIDS&amp;ADULTS'!$B$1:$B$2007, $B42, 'KIDS&amp;ADULTS'!$AA$1:$AA$2007, L$39)
</f>
        <v>0</v>
      </c>
      <c r="M42" s="456">
        <f>COUNTIFS('KIDS&amp;ADULTS'!$B$1:$B$2007, $B42, 'KIDS&amp;ADULTS'!$AA$1:$AA$2007, M$39)
</f>
        <v>0</v>
      </c>
      <c r="N42" s="456">
        <f>COUNTIFS('KIDS&amp;ADULTS'!$B$1:$B$2007, $B42, 'KIDS&amp;ADULTS'!$AA$1:$AA$2007, N$39)
</f>
        <v>1</v>
      </c>
      <c r="O42" s="457">
        <f t="shared" si="9"/>
        <v>13</v>
      </c>
      <c r="P42" s="442"/>
      <c r="Q42" s="442"/>
      <c r="R42" s="455">
        <v>3.0</v>
      </c>
      <c r="S42" s="456" t="s">
        <v>73</v>
      </c>
      <c r="T42" s="483">
        <f>SUMIFS('KIDS&amp;ADULTS'!$Z$2:$Z$2007,'KIDS&amp;ADULTS'!$B$2:$B$2007,$S42,'KIDS&amp;ADULTS'!$AB$2:$AB$2007,T$24)</f>
        <v>0</v>
      </c>
      <c r="U42" s="483">
        <f>SUMIFS('KIDS&amp;ADULTS'!$Z$2:$Z$2007,'KIDS&amp;ADULTS'!$B$2:$B$2007,$S42,'KIDS&amp;ADULTS'!$AB$2:$AB$2007,U$24)</f>
        <v>0</v>
      </c>
      <c r="V42" s="483">
        <f>SUMIFS('KIDS&amp;ADULTS'!$Z$2:$Z$2007,'KIDS&amp;ADULTS'!$B$2:$B$2007,$S42,'KIDS&amp;ADULTS'!$AB$2:$AB$2007,V$24)</f>
        <v>0</v>
      </c>
      <c r="W42" s="483">
        <f>SUMIFS('KIDS&amp;ADULTS'!$Z$2:$Z$2007,'KIDS&amp;ADULTS'!$B$2:$B$2007,$S42,'KIDS&amp;ADULTS'!$AB$2:$AB$2007,W$24)</f>
        <v>0</v>
      </c>
      <c r="X42" s="483">
        <f>SUMIFS('KIDS&amp;ADULTS'!$Z$2:$Z$2007,'KIDS&amp;ADULTS'!$B$2:$B$2007,$S42,'KIDS&amp;ADULTS'!$AB$2:$AB$2007,X$24)</f>
        <v>0</v>
      </c>
      <c r="Y42" s="483">
        <f>SUMIFS('KIDS&amp;ADULTS'!$Z$2:$Z$2007,'KIDS&amp;ADULTS'!$B$2:$B$2007,$S42,'KIDS&amp;ADULTS'!$AB$2:$AB$2007,Y$24)</f>
        <v>0</v>
      </c>
      <c r="Z42" s="483">
        <f>SUMIFS('KIDS&amp;ADULTS'!$Z$2:$Z$2007,'KIDS&amp;ADULTS'!$B$2:$B$2007,$S42,'KIDS&amp;ADULTS'!$AB$2:$AB$2007,Z$24)</f>
        <v>5022000</v>
      </c>
      <c r="AA42" s="483">
        <f>SUMIFS('KIDS&amp;ADULTS'!$Z$2:$Z$2007,'KIDS&amp;ADULTS'!$B$2:$B$2007,$S42,'KIDS&amp;ADULTS'!$AB$2:$AB$2007,AA$24)</f>
        <v>5358280</v>
      </c>
      <c r="AB42" s="483">
        <f>SUMIFS('KIDS&amp;ADULTS'!$Z$2:$Z$2007,'KIDS&amp;ADULTS'!$B$2:$B$2007,$S42,'KIDS&amp;ADULTS'!$AB$2:$AB$2007,AB$24)</f>
        <v>0</v>
      </c>
      <c r="AC42" s="483">
        <f>SUMIFS('KIDS&amp;ADULTS'!$Z$2:$Z$2007,'KIDS&amp;ADULTS'!$B$2:$B$2007,$S42,'KIDS&amp;ADULTS'!$AB$2:$AB$2007,AC$24)</f>
        <v>0</v>
      </c>
      <c r="AD42" s="483">
        <f>SUMIFS('KIDS&amp;ADULTS'!$Z$2:$Z$2007,'KIDS&amp;ADULTS'!$B$2:$B$2007,$S42,'KIDS&amp;ADULTS'!$AB$2:$AB$2007,AD$24)</f>
        <v>0</v>
      </c>
      <c r="AE42" s="483">
        <f>SUMIFS('KIDS&amp;ADULTS'!$Z$2:$Z$2007,'KIDS&amp;ADULTS'!$B$2:$B$2007,$S42,'KIDS&amp;ADULTS'!$AB$2:$AB$2007,AE$24)</f>
        <v>0</v>
      </c>
      <c r="AF42" s="497">
        <f t="shared" si="10"/>
        <v>10380280</v>
      </c>
      <c r="AG42" s="442"/>
      <c r="AH42" s="442"/>
      <c r="AI42" s="442"/>
      <c r="AJ42" s="442"/>
      <c r="AK42" s="442"/>
      <c r="AL42" s="442"/>
      <c r="AM42" s="442"/>
      <c r="AN42" s="442"/>
      <c r="AO42" s="442"/>
      <c r="AP42" s="442"/>
      <c r="AQ42" s="442"/>
      <c r="AR42" s="442"/>
      <c r="AS42" s="442"/>
      <c r="AT42" s="442"/>
      <c r="AU42" s="442"/>
      <c r="AV42" s="442"/>
    </row>
    <row r="43" ht="15.75" customHeight="1">
      <c r="A43" s="496">
        <v>4.0</v>
      </c>
      <c r="B43" s="456" t="s">
        <v>201</v>
      </c>
      <c r="C43" s="456">
        <f>COUNTIFS('KIDS&amp;ADULTS'!$B$1:$B$2007, $B43, 'KIDS&amp;ADULTS'!$AA$1:$AA$2007, C$39)
</f>
        <v>0</v>
      </c>
      <c r="D43" s="456">
        <f>COUNTIFS('KIDS&amp;ADULTS'!$B$1:$B$2007, $B43, 'KIDS&amp;ADULTS'!$AA$1:$AA$2007, D$39)
</f>
        <v>0</v>
      </c>
      <c r="E43" s="456">
        <f>COUNTIFS('KIDS&amp;ADULTS'!$B$1:$B$2007, $B43, 'KIDS&amp;ADULTS'!$AA$1:$AA$2007, E$39)
</f>
        <v>0</v>
      </c>
      <c r="F43" s="456">
        <f>COUNTIFS('KIDS&amp;ADULTS'!$B$1:$B$2007, $B43, 'KIDS&amp;ADULTS'!$AA$1:$AA$2007, F$39)
</f>
        <v>0</v>
      </c>
      <c r="G43" s="456">
        <f>COUNTIFS('KIDS&amp;ADULTS'!$B$1:$B$2007, $B43, 'KIDS&amp;ADULTS'!$AA$1:$AA$2007, G$39)
</f>
        <v>7</v>
      </c>
      <c r="H43" s="456">
        <f>COUNTIFS('KIDS&amp;ADULTS'!$B$1:$B$2007, $B43, 'KIDS&amp;ADULTS'!$AA$1:$AA$2007, H$39)
</f>
        <v>22</v>
      </c>
      <c r="I43" s="456">
        <f>COUNTIFS('KIDS&amp;ADULTS'!$B$1:$B$2007, $B43, 'KIDS&amp;ADULTS'!$AA$1:$AA$2007, I$39)
</f>
        <v>25</v>
      </c>
      <c r="J43" s="456">
        <f>COUNTIFS('KIDS&amp;ADULTS'!$B$1:$B$2007, $B43, 'KIDS&amp;ADULTS'!$AA$1:$AA$2007, J$39)
</f>
        <v>9</v>
      </c>
      <c r="K43" s="456">
        <f>COUNTIFS('KIDS&amp;ADULTS'!$B$1:$B$2007, $B43, 'KIDS&amp;ADULTS'!$AA$1:$AA$2007, K$39)
</f>
        <v>12</v>
      </c>
      <c r="L43" s="456">
        <f>COUNTIFS('KIDS&amp;ADULTS'!$B$1:$B$2007, $B43, 'KIDS&amp;ADULTS'!$AA$1:$AA$2007, L$39)
</f>
        <v>7</v>
      </c>
      <c r="M43" s="456">
        <f>COUNTIFS('KIDS&amp;ADULTS'!$B$1:$B$2007, $B43, 'KIDS&amp;ADULTS'!$AA$1:$AA$2007, M$39)
</f>
        <v>5</v>
      </c>
      <c r="N43" s="456">
        <f>COUNTIFS('KIDS&amp;ADULTS'!$B$1:$B$2007, $B43, 'KIDS&amp;ADULTS'!$AA$1:$AA$2007, N$39)
</f>
        <v>4</v>
      </c>
      <c r="O43" s="457">
        <f t="shared" si="9"/>
        <v>91</v>
      </c>
      <c r="P43" s="442"/>
      <c r="Q43" s="442"/>
      <c r="R43" s="455">
        <v>4.0</v>
      </c>
      <c r="S43" s="456" t="s">
        <v>201</v>
      </c>
      <c r="T43" s="483">
        <f>SUMIFS('KIDS&amp;ADULTS'!$Z$2:$Z$2007,'KIDS&amp;ADULTS'!$B$2:$B$2007,$S43,'KIDS&amp;ADULTS'!$AB$2:$AB$2007,T$24)</f>
        <v>0</v>
      </c>
      <c r="U43" s="483">
        <f>SUMIFS('KIDS&amp;ADULTS'!$Z$2:$Z$2007,'KIDS&amp;ADULTS'!$B$2:$B$2007,$S43,'KIDS&amp;ADULTS'!$AB$2:$AB$2007,U$24)</f>
        <v>0</v>
      </c>
      <c r="V43" s="483">
        <f>SUMIFS('KIDS&amp;ADULTS'!$Z$2:$Z$2007,'KIDS&amp;ADULTS'!$B$2:$B$2007,$S43,'KIDS&amp;ADULTS'!$AB$2:$AB$2007,V$24)</f>
        <v>0</v>
      </c>
      <c r="W43" s="483">
        <f>SUMIFS('KIDS&amp;ADULTS'!$Z$2:$Z$2007,'KIDS&amp;ADULTS'!$B$2:$B$2007,$S43,'KIDS&amp;ADULTS'!$AB$2:$AB$2007,W$24)</f>
        <v>0</v>
      </c>
      <c r="X43" s="483">
        <f>SUMIFS('KIDS&amp;ADULTS'!$Z$2:$Z$2007,'KIDS&amp;ADULTS'!$B$2:$B$2007,$S43,'KIDS&amp;ADULTS'!$AB$2:$AB$2007,X$24)</f>
        <v>0</v>
      </c>
      <c r="Y43" s="483">
        <f>SUMIFS('KIDS&amp;ADULTS'!$Z$2:$Z$2007,'KIDS&amp;ADULTS'!$B$2:$B$2007,$S43,'KIDS&amp;ADULTS'!$AB$2:$AB$2007,Y$24)</f>
        <v>56582798</v>
      </c>
      <c r="Z43" s="483">
        <f>SUMIFS('KIDS&amp;ADULTS'!$Z$2:$Z$2007,'KIDS&amp;ADULTS'!$B$2:$B$2007,$S43,'KIDS&amp;ADULTS'!$AB$2:$AB$2007,Z$24)</f>
        <v>57177240</v>
      </c>
      <c r="AA43" s="483">
        <f>SUMIFS('KIDS&amp;ADULTS'!$Z$2:$Z$2007,'KIDS&amp;ADULTS'!$B$2:$B$2007,$S43,'KIDS&amp;ADULTS'!$AB$2:$AB$2007,AA$24)</f>
        <v>29339450</v>
      </c>
      <c r="AB43" s="483">
        <f>SUMIFS('KIDS&amp;ADULTS'!$Z$2:$Z$2007,'KIDS&amp;ADULTS'!$B$2:$B$2007,$S43,'KIDS&amp;ADULTS'!$AB$2:$AB$2007,AB$24)</f>
        <v>19376000</v>
      </c>
      <c r="AC43" s="483">
        <f>SUMIFS('KIDS&amp;ADULTS'!$Z$2:$Z$2007,'KIDS&amp;ADULTS'!$B$2:$B$2007,$S43,'KIDS&amp;ADULTS'!$AB$2:$AB$2007,AC$24)</f>
        <v>16265000</v>
      </c>
      <c r="AD43" s="483">
        <f>SUMIFS('KIDS&amp;ADULTS'!$Z$2:$Z$2007,'KIDS&amp;ADULTS'!$B$2:$B$2007,$S43,'KIDS&amp;ADULTS'!$AB$2:$AB$2007,AD$24)</f>
        <v>3308000</v>
      </c>
      <c r="AE43" s="483">
        <f>SUMIFS('KIDS&amp;ADULTS'!$Z$2:$Z$2007,'KIDS&amp;ADULTS'!$B$2:$B$2007,$S43,'KIDS&amp;ADULTS'!$AB$2:$AB$2007,AE$24)</f>
        <v>10717200</v>
      </c>
      <c r="AF43" s="497">
        <f t="shared" si="10"/>
        <v>192765688</v>
      </c>
      <c r="AG43" s="442"/>
      <c r="AH43" s="442"/>
      <c r="AI43" s="442"/>
      <c r="AJ43" s="442"/>
      <c r="AK43" s="442"/>
      <c r="AL43" s="442"/>
      <c r="AM43" s="442"/>
      <c r="AN43" s="442"/>
      <c r="AO43" s="442"/>
      <c r="AP43" s="442"/>
      <c r="AQ43" s="442"/>
      <c r="AR43" s="442"/>
      <c r="AS43" s="442"/>
      <c r="AT43" s="442"/>
      <c r="AU43" s="442"/>
      <c r="AV43" s="442"/>
    </row>
    <row r="44" ht="15.75" customHeight="1">
      <c r="A44" s="496">
        <v>5.0</v>
      </c>
      <c r="B44" s="456" t="s">
        <v>84</v>
      </c>
      <c r="C44" s="456">
        <f>COUNTIFS('KIDS&amp;ADULTS'!$B$1:$B$2007, $B44, 'KIDS&amp;ADULTS'!$AA$1:$AA$2007, C$39)
</f>
        <v>0</v>
      </c>
      <c r="D44" s="456">
        <f>COUNTIFS('KIDS&amp;ADULTS'!$B$1:$B$2007, $B44, 'KIDS&amp;ADULTS'!$AA$1:$AA$2007, D$39)
</f>
        <v>0</v>
      </c>
      <c r="E44" s="456">
        <f>COUNTIFS('KIDS&amp;ADULTS'!$B$1:$B$2007, $B44, 'KIDS&amp;ADULTS'!$AA$1:$AA$2007, E$39)
</f>
        <v>0</v>
      </c>
      <c r="F44" s="456">
        <f>COUNTIFS('KIDS&amp;ADULTS'!$B$1:$B$2007, $B44, 'KIDS&amp;ADULTS'!$AA$1:$AA$2007, F$39)
</f>
        <v>0</v>
      </c>
      <c r="G44" s="456">
        <f>COUNTIFS('KIDS&amp;ADULTS'!$B$1:$B$2007, $B44, 'KIDS&amp;ADULTS'!$AA$1:$AA$2007, G$39)
</f>
        <v>13</v>
      </c>
      <c r="H44" s="456">
        <f>COUNTIFS('KIDS&amp;ADULTS'!$B$1:$B$2007, $B44, 'KIDS&amp;ADULTS'!$AA$1:$AA$2007, H$39)
</f>
        <v>52</v>
      </c>
      <c r="I44" s="456">
        <f>COUNTIFS('KIDS&amp;ADULTS'!$B$1:$B$2007, $B44, 'KIDS&amp;ADULTS'!$AA$1:$AA$2007, I$39)
</f>
        <v>8</v>
      </c>
      <c r="J44" s="456">
        <f>COUNTIFS('KIDS&amp;ADULTS'!$B$1:$B$2007, $B44, 'KIDS&amp;ADULTS'!$AA$1:$AA$2007, J$39)
</f>
        <v>3</v>
      </c>
      <c r="K44" s="456">
        <f>COUNTIFS('KIDS&amp;ADULTS'!$B$1:$B$2007, $B44, 'KIDS&amp;ADULTS'!$AA$1:$AA$2007, K$39)
</f>
        <v>6</v>
      </c>
      <c r="L44" s="456">
        <f>COUNTIFS('KIDS&amp;ADULTS'!$B$1:$B$2007, $B44, 'KIDS&amp;ADULTS'!$AA$1:$AA$2007, L$39)
</f>
        <v>6</v>
      </c>
      <c r="M44" s="456">
        <f>COUNTIFS('KIDS&amp;ADULTS'!$B$1:$B$2007, $B44, 'KIDS&amp;ADULTS'!$AA$1:$AA$2007, M$39)
</f>
        <v>3</v>
      </c>
      <c r="N44" s="456">
        <f>COUNTIFS('KIDS&amp;ADULTS'!$B$1:$B$2007, $B44, 'KIDS&amp;ADULTS'!$AA$1:$AA$2007, N$39)
</f>
        <v>1</v>
      </c>
      <c r="O44" s="457">
        <f t="shared" si="9"/>
        <v>92</v>
      </c>
      <c r="P44" s="442"/>
      <c r="Q44" s="442"/>
      <c r="R44" s="455">
        <v>5.0</v>
      </c>
      <c r="S44" s="456" t="s">
        <v>84</v>
      </c>
      <c r="T44" s="483">
        <f>SUMIFS('KIDS&amp;ADULTS'!$Z$2:$Z$2007,'KIDS&amp;ADULTS'!$B$2:$B$2007,$S44,'KIDS&amp;ADULTS'!$AB$2:$AB$2007,T$24)</f>
        <v>0</v>
      </c>
      <c r="U44" s="483">
        <f>SUMIFS('KIDS&amp;ADULTS'!$Z$2:$Z$2007,'KIDS&amp;ADULTS'!$B$2:$B$2007,$S44,'KIDS&amp;ADULTS'!$AB$2:$AB$2007,U$24)</f>
        <v>0</v>
      </c>
      <c r="V44" s="483">
        <f>SUMIFS('KIDS&amp;ADULTS'!$Z$2:$Z$2007,'KIDS&amp;ADULTS'!$B$2:$B$2007,$S44,'KIDS&amp;ADULTS'!$AB$2:$AB$2007,V$24)</f>
        <v>0</v>
      </c>
      <c r="W44" s="483">
        <f>SUMIFS('KIDS&amp;ADULTS'!$Z$2:$Z$2007,'KIDS&amp;ADULTS'!$B$2:$B$2007,$S44,'KIDS&amp;ADULTS'!$AB$2:$AB$2007,W$24)</f>
        <v>0</v>
      </c>
      <c r="X44" s="483">
        <f>SUMIFS('KIDS&amp;ADULTS'!$Z$2:$Z$2007,'KIDS&amp;ADULTS'!$B$2:$B$2007,$S44,'KIDS&amp;ADULTS'!$AB$2:$AB$2007,X$24)</f>
        <v>23132500</v>
      </c>
      <c r="Y44" s="483">
        <f>SUMIFS('KIDS&amp;ADULTS'!$Z$2:$Z$2007,'KIDS&amp;ADULTS'!$B$2:$B$2007,$S44,'KIDS&amp;ADULTS'!$AB$2:$AB$2007,Y$24)</f>
        <v>73956480</v>
      </c>
      <c r="Z44" s="483">
        <f>SUMIFS('KIDS&amp;ADULTS'!$Z$2:$Z$2007,'KIDS&amp;ADULTS'!$B$2:$B$2007,$S44,'KIDS&amp;ADULTS'!$AB$2:$AB$2007,Z$24)</f>
        <v>24181900</v>
      </c>
      <c r="AA44" s="483">
        <f>SUMIFS('KIDS&amp;ADULTS'!$Z$2:$Z$2007,'KIDS&amp;ADULTS'!$B$2:$B$2007,$S44,'KIDS&amp;ADULTS'!$AB$2:$AB$2007,AA$24)</f>
        <v>11023200</v>
      </c>
      <c r="AB44" s="483">
        <f>SUMIFS('KIDS&amp;ADULTS'!$Z$2:$Z$2007,'KIDS&amp;ADULTS'!$B$2:$B$2007,$S44,'KIDS&amp;ADULTS'!$AB$2:$AB$2007,AB$24)</f>
        <v>10101500</v>
      </c>
      <c r="AC44" s="483">
        <f>SUMIFS('KIDS&amp;ADULTS'!$Z$2:$Z$2007,'KIDS&amp;ADULTS'!$B$2:$B$2007,$S44,'KIDS&amp;ADULTS'!$AB$2:$AB$2007,AC$24)</f>
        <v>34386500</v>
      </c>
      <c r="AD44" s="483">
        <f>SUMIFS('KIDS&amp;ADULTS'!$Z$2:$Z$2007,'KIDS&amp;ADULTS'!$B$2:$B$2007,$S44,'KIDS&amp;ADULTS'!$AB$2:$AB$2007,AD$24)</f>
        <v>4916400</v>
      </c>
      <c r="AE44" s="483">
        <f>SUMIFS('KIDS&amp;ADULTS'!$Z$2:$Z$2007,'KIDS&amp;ADULTS'!$B$2:$B$2007,$S44,'KIDS&amp;ADULTS'!$AB$2:$AB$2007,AE$24)</f>
        <v>1330000</v>
      </c>
      <c r="AF44" s="497">
        <f t="shared" si="10"/>
        <v>183028480</v>
      </c>
      <c r="AG44" s="442"/>
      <c r="AH44" s="442"/>
      <c r="AI44" s="442"/>
      <c r="AJ44" s="442"/>
      <c r="AK44" s="442"/>
      <c r="AL44" s="442"/>
      <c r="AM44" s="442"/>
      <c r="AN44" s="442"/>
      <c r="AO44" s="442"/>
      <c r="AP44" s="442"/>
      <c r="AQ44" s="442"/>
      <c r="AR44" s="442"/>
      <c r="AS44" s="442"/>
      <c r="AT44" s="442"/>
      <c r="AU44" s="442"/>
      <c r="AV44" s="442"/>
    </row>
    <row r="45" ht="15.75" customHeight="1">
      <c r="A45" s="496">
        <v>6.0</v>
      </c>
      <c r="B45" s="456" t="s">
        <v>703</v>
      </c>
      <c r="C45" s="456">
        <f>COUNTIFS('KIDS&amp;ADULTS'!$B$1:$B$2007, $B45, 'KIDS&amp;ADULTS'!$AA$1:$AA$2007, C$39)
</f>
        <v>0</v>
      </c>
      <c r="D45" s="456">
        <f>COUNTIFS('KIDS&amp;ADULTS'!$B$1:$B$2007, $B45, 'KIDS&amp;ADULTS'!$AA$1:$AA$2007, D$39)
</f>
        <v>0</v>
      </c>
      <c r="E45" s="456">
        <f>COUNTIFS('KIDS&amp;ADULTS'!$B$1:$B$2007, $B45, 'KIDS&amp;ADULTS'!$AA$1:$AA$2007, E$39)
</f>
        <v>0</v>
      </c>
      <c r="F45" s="456">
        <f>COUNTIFS('KIDS&amp;ADULTS'!$B$1:$B$2007, $B45, 'KIDS&amp;ADULTS'!$AA$1:$AA$2007, F$39)
</f>
        <v>0</v>
      </c>
      <c r="G45" s="456">
        <f>COUNTIFS('KIDS&amp;ADULTS'!$B$1:$B$2007, $B45, 'KIDS&amp;ADULTS'!$AA$1:$AA$2007, G$39)
</f>
        <v>0</v>
      </c>
      <c r="H45" s="456">
        <f>COUNTIFS('KIDS&amp;ADULTS'!$B$1:$B$2007, $B45, 'KIDS&amp;ADULTS'!$AA$1:$AA$2007, H$39)
</f>
        <v>24</v>
      </c>
      <c r="I45" s="456">
        <f>COUNTIFS('KIDS&amp;ADULTS'!$B$1:$B$2007, $B45, 'KIDS&amp;ADULTS'!$AA$1:$AA$2007, I$39)
</f>
        <v>32</v>
      </c>
      <c r="J45" s="456">
        <f>COUNTIFS('KIDS&amp;ADULTS'!$B$1:$B$2007, $B45, 'KIDS&amp;ADULTS'!$AA$1:$AA$2007, J$39)
</f>
        <v>12</v>
      </c>
      <c r="K45" s="456">
        <f>COUNTIFS('KIDS&amp;ADULTS'!$B$1:$B$2007, $B45, 'KIDS&amp;ADULTS'!$AA$1:$AA$2007, K$39)
</f>
        <v>5</v>
      </c>
      <c r="L45" s="456">
        <f>COUNTIFS('KIDS&amp;ADULTS'!$B$1:$B$2007, $B45, 'KIDS&amp;ADULTS'!$AA$1:$AA$2007, L$39)
</f>
        <v>6</v>
      </c>
      <c r="M45" s="456">
        <f>COUNTIFS('KIDS&amp;ADULTS'!$B$1:$B$2007, $B45, 'KIDS&amp;ADULTS'!$AA$1:$AA$2007, M$39)
</f>
        <v>0</v>
      </c>
      <c r="N45" s="456">
        <f>COUNTIFS('KIDS&amp;ADULTS'!$B$1:$B$2007, $B45, 'KIDS&amp;ADULTS'!$AA$1:$AA$2007, N$39)
</f>
        <v>0</v>
      </c>
      <c r="O45" s="457">
        <f t="shared" si="9"/>
        <v>79</v>
      </c>
      <c r="P45" s="442"/>
      <c r="Q45" s="442"/>
      <c r="R45" s="455">
        <v>6.0</v>
      </c>
      <c r="S45" s="456" t="s">
        <v>703</v>
      </c>
      <c r="T45" s="483">
        <f>SUMIFS('KIDS&amp;ADULTS'!$Z$2:$Z$2007,'KIDS&amp;ADULTS'!$B$2:$B$2007,$S45,'KIDS&amp;ADULTS'!$AB$2:$AB$2007,T$24)</f>
        <v>0</v>
      </c>
      <c r="U45" s="483">
        <f>SUMIFS('KIDS&amp;ADULTS'!$Z$2:$Z$2007,'KIDS&amp;ADULTS'!$B$2:$B$2007,$S45,'KIDS&amp;ADULTS'!$AB$2:$AB$2007,U$24)</f>
        <v>0</v>
      </c>
      <c r="V45" s="483">
        <f>SUMIFS('KIDS&amp;ADULTS'!$Z$2:$Z$2007,'KIDS&amp;ADULTS'!$B$2:$B$2007,$S45,'KIDS&amp;ADULTS'!$AB$2:$AB$2007,V$24)</f>
        <v>0</v>
      </c>
      <c r="W45" s="483">
        <f>SUMIFS('KIDS&amp;ADULTS'!$Z$2:$Z$2007,'KIDS&amp;ADULTS'!$B$2:$B$2007,$S45,'KIDS&amp;ADULTS'!$AB$2:$AB$2007,W$24)</f>
        <v>0</v>
      </c>
      <c r="X45" s="483">
        <f>SUMIFS('KIDS&amp;ADULTS'!$Z$2:$Z$2007,'KIDS&amp;ADULTS'!$B$2:$B$2007,$S45,'KIDS&amp;ADULTS'!$AB$2:$AB$2007,X$24)</f>
        <v>0</v>
      </c>
      <c r="Y45" s="483">
        <f>SUMIFS('KIDS&amp;ADULTS'!$Z$2:$Z$2007,'KIDS&amp;ADULTS'!$B$2:$B$2007,$S45,'KIDS&amp;ADULTS'!$AB$2:$AB$2007,Y$24)</f>
        <v>4348600</v>
      </c>
      <c r="Z45" s="483">
        <f>SUMIFS('KIDS&amp;ADULTS'!$Z$2:$Z$2007,'KIDS&amp;ADULTS'!$B$2:$B$2007,$S45,'KIDS&amp;ADULTS'!$AB$2:$AB$2007,Z$24)</f>
        <v>0</v>
      </c>
      <c r="AA45" s="483">
        <f>SUMIFS('KIDS&amp;ADULTS'!$Z$2:$Z$2007,'KIDS&amp;ADULTS'!$B$2:$B$2007,$S45,'KIDS&amp;ADULTS'!$AB$2:$AB$2007,AA$24)</f>
        <v>0</v>
      </c>
      <c r="AB45" s="483">
        <f>SUMIFS('KIDS&amp;ADULTS'!$Z$2:$Z$2007,'KIDS&amp;ADULTS'!$B$2:$B$2007,$S45,'KIDS&amp;ADULTS'!$AB$2:$AB$2007,AB$24)</f>
        <v>0</v>
      </c>
      <c r="AC45" s="483">
        <f>SUMIFS('KIDS&amp;ADULTS'!$Z$2:$Z$2007,'KIDS&amp;ADULTS'!$B$2:$B$2007,$S45,'KIDS&amp;ADULTS'!$AB$2:$AB$2007,AC$24)</f>
        <v>0</v>
      </c>
      <c r="AD45" s="483">
        <f>SUMIFS('KIDS&amp;ADULTS'!$Z$2:$Z$2007,'KIDS&amp;ADULTS'!$B$2:$B$2007,$S45,'KIDS&amp;ADULTS'!$AB$2:$AB$2007,AD$24)</f>
        <v>0</v>
      </c>
      <c r="AE45" s="483">
        <f>SUMIFS('KIDS&amp;ADULTS'!$Z$2:$Z$2007,'KIDS&amp;ADULTS'!$B$2:$B$2007,$S45,'KIDS&amp;ADULTS'!$AB$2:$AB$2007,AE$24)</f>
        <v>0</v>
      </c>
      <c r="AF45" s="497">
        <f t="shared" si="10"/>
        <v>4348600</v>
      </c>
      <c r="AG45" s="442"/>
      <c r="AH45" s="442"/>
      <c r="AI45" s="442"/>
      <c r="AJ45" s="442"/>
      <c r="AK45" s="442"/>
      <c r="AL45" s="442"/>
      <c r="AM45" s="442"/>
      <c r="AN45" s="442"/>
      <c r="AO45" s="442"/>
      <c r="AP45" s="442"/>
      <c r="AQ45" s="442"/>
      <c r="AR45" s="442"/>
      <c r="AS45" s="442"/>
      <c r="AT45" s="442"/>
      <c r="AU45" s="442"/>
      <c r="AV45" s="442"/>
    </row>
    <row r="46" ht="15.75" customHeight="1">
      <c r="A46" s="496">
        <v>7.0</v>
      </c>
      <c r="B46" s="456" t="s">
        <v>60</v>
      </c>
      <c r="C46" s="456">
        <f>COUNTIFS('KIDS&amp;ADULTS'!$B$1:$B$2007, $B46, 'KIDS&amp;ADULTS'!$AA$1:$AA$2007, C$39)
</f>
        <v>0</v>
      </c>
      <c r="D46" s="456">
        <f>COUNTIFS('KIDS&amp;ADULTS'!$B$1:$B$2007, $B46, 'KIDS&amp;ADULTS'!$AA$1:$AA$2007, D$39)
</f>
        <v>0</v>
      </c>
      <c r="E46" s="456">
        <f>COUNTIFS('KIDS&amp;ADULTS'!$B$1:$B$2007, $B46, 'KIDS&amp;ADULTS'!$AA$1:$AA$2007, E$39)
</f>
        <v>0</v>
      </c>
      <c r="F46" s="456">
        <f>COUNTIFS('KIDS&amp;ADULTS'!$B$1:$B$2007, $B46, 'KIDS&amp;ADULTS'!$AA$1:$AA$2007, F$39)
</f>
        <v>0</v>
      </c>
      <c r="G46" s="456">
        <f>COUNTIFS('KIDS&amp;ADULTS'!$B$1:$B$2007, $B46, 'KIDS&amp;ADULTS'!$AA$1:$AA$2007, G$39)
</f>
        <v>20</v>
      </c>
      <c r="H46" s="456">
        <f>COUNTIFS('KIDS&amp;ADULTS'!$B$1:$B$2007, $B46, 'KIDS&amp;ADULTS'!$AA$1:$AA$2007, H$39)
</f>
        <v>13</v>
      </c>
      <c r="I46" s="456">
        <f>COUNTIFS('KIDS&amp;ADULTS'!$B$1:$B$2007, $B46, 'KIDS&amp;ADULTS'!$AA$1:$AA$2007, I$39)
</f>
        <v>8</v>
      </c>
      <c r="J46" s="456">
        <f>COUNTIFS('KIDS&amp;ADULTS'!$B$1:$B$2007, $B46, 'KIDS&amp;ADULTS'!$AA$1:$AA$2007, J$39)
</f>
        <v>0</v>
      </c>
      <c r="K46" s="456">
        <f>COUNTIFS('KIDS&amp;ADULTS'!$B$1:$B$2007, $B46, 'KIDS&amp;ADULTS'!$AA$1:$AA$2007, K$39)
</f>
        <v>1</v>
      </c>
      <c r="L46" s="456">
        <f>COUNTIFS('KIDS&amp;ADULTS'!$B$1:$B$2007, $B46, 'KIDS&amp;ADULTS'!$AA$1:$AA$2007, L$39)
</f>
        <v>0</v>
      </c>
      <c r="M46" s="456">
        <f>COUNTIFS('KIDS&amp;ADULTS'!$B$1:$B$2007, $B46, 'KIDS&amp;ADULTS'!$AA$1:$AA$2007, M$39)
</f>
        <v>0</v>
      </c>
      <c r="N46" s="456">
        <f>COUNTIFS('KIDS&amp;ADULTS'!$B$1:$B$2007, $B46, 'KIDS&amp;ADULTS'!$AA$1:$AA$2007, N$39)
</f>
        <v>0</v>
      </c>
      <c r="O46" s="457">
        <f t="shared" si="9"/>
        <v>42</v>
      </c>
      <c r="P46" s="442"/>
      <c r="Q46" s="442"/>
      <c r="R46" s="455">
        <v>7.0</v>
      </c>
      <c r="S46" s="456" t="s">
        <v>60</v>
      </c>
      <c r="T46" s="483">
        <f>SUMIFS('KIDS&amp;ADULTS'!$Z$2:$Z$2007,'KIDS&amp;ADULTS'!$B$2:$B$2007,$S46,'KIDS&amp;ADULTS'!$AB$2:$AB$2007,T$24)</f>
        <v>0</v>
      </c>
      <c r="U46" s="483">
        <f>SUMIFS('KIDS&amp;ADULTS'!$Z$2:$Z$2007,'KIDS&amp;ADULTS'!$B$2:$B$2007,$S46,'KIDS&amp;ADULTS'!$AB$2:$AB$2007,U$24)</f>
        <v>0</v>
      </c>
      <c r="V46" s="483">
        <f>SUMIFS('KIDS&amp;ADULTS'!$Z$2:$Z$2007,'KIDS&amp;ADULTS'!$B$2:$B$2007,$S46,'KIDS&amp;ADULTS'!$AB$2:$AB$2007,V$24)</f>
        <v>0</v>
      </c>
      <c r="W46" s="483">
        <f>SUMIFS('KIDS&amp;ADULTS'!$Z$2:$Z$2007,'KIDS&amp;ADULTS'!$B$2:$B$2007,$S46,'KIDS&amp;ADULTS'!$AB$2:$AB$2007,W$24)</f>
        <v>0</v>
      </c>
      <c r="X46" s="483">
        <f>SUMIFS('KIDS&amp;ADULTS'!$Z$2:$Z$2007,'KIDS&amp;ADULTS'!$B$2:$B$2007,$S46,'KIDS&amp;ADULTS'!$AB$2:$AB$2007,X$24)</f>
        <v>11553600</v>
      </c>
      <c r="Y46" s="483">
        <f>SUMIFS('KIDS&amp;ADULTS'!$Z$2:$Z$2007,'KIDS&amp;ADULTS'!$B$2:$B$2007,$S46,'KIDS&amp;ADULTS'!$AB$2:$AB$2007,Y$24)</f>
        <v>2302200</v>
      </c>
      <c r="Z46" s="483">
        <f>SUMIFS('KIDS&amp;ADULTS'!$Z$2:$Z$2007,'KIDS&amp;ADULTS'!$B$2:$B$2007,$S46,'KIDS&amp;ADULTS'!$AB$2:$AB$2007,Z$24)</f>
        <v>19909500</v>
      </c>
      <c r="AA46" s="483">
        <f>SUMIFS('KIDS&amp;ADULTS'!$Z$2:$Z$2007,'KIDS&amp;ADULTS'!$B$2:$B$2007,$S46,'KIDS&amp;ADULTS'!$AB$2:$AB$2007,AA$24)</f>
        <v>0</v>
      </c>
      <c r="AB46" s="483">
        <f>SUMIFS('KIDS&amp;ADULTS'!$Z$2:$Z$2007,'KIDS&amp;ADULTS'!$B$2:$B$2007,$S46,'KIDS&amp;ADULTS'!$AB$2:$AB$2007,AB$24)</f>
        <v>2664000</v>
      </c>
      <c r="AC46" s="483">
        <f>SUMIFS('KIDS&amp;ADULTS'!$Z$2:$Z$2007,'KIDS&amp;ADULTS'!$B$2:$B$2007,$S46,'KIDS&amp;ADULTS'!$AB$2:$AB$2007,AC$24)</f>
        <v>0</v>
      </c>
      <c r="AD46" s="483">
        <f>SUMIFS('KIDS&amp;ADULTS'!$Z$2:$Z$2007,'KIDS&amp;ADULTS'!$B$2:$B$2007,$S46,'KIDS&amp;ADULTS'!$AB$2:$AB$2007,AD$24)</f>
        <v>0</v>
      </c>
      <c r="AE46" s="483">
        <f>SUMIFS('KIDS&amp;ADULTS'!$Z$2:$Z$2007,'KIDS&amp;ADULTS'!$B$2:$B$2007,$S46,'KIDS&amp;ADULTS'!$AB$2:$AB$2007,AE$24)</f>
        <v>5524000</v>
      </c>
      <c r="AF46" s="497">
        <f t="shared" si="10"/>
        <v>41953300</v>
      </c>
      <c r="AG46" s="442"/>
      <c r="AH46" s="442"/>
      <c r="AI46" s="442"/>
      <c r="AJ46" s="442"/>
      <c r="AK46" s="442"/>
      <c r="AL46" s="442"/>
      <c r="AM46" s="442"/>
      <c r="AN46" s="442"/>
      <c r="AO46" s="442"/>
      <c r="AP46" s="442"/>
      <c r="AQ46" s="442"/>
      <c r="AR46" s="442"/>
      <c r="AS46" s="442"/>
      <c r="AT46" s="442"/>
      <c r="AU46" s="442"/>
      <c r="AV46" s="442"/>
    </row>
    <row r="47" ht="15.75" customHeight="1">
      <c r="A47" s="496">
        <v>8.0</v>
      </c>
      <c r="B47" s="456" t="s">
        <v>539</v>
      </c>
      <c r="C47" s="456">
        <f>COUNTIFS('KIDS&amp;ADULTS'!$B$1:$B$2007, $B47, 'KIDS&amp;ADULTS'!$AA$1:$AA$2007, C$39)
</f>
        <v>0</v>
      </c>
      <c r="D47" s="456">
        <f>COUNTIFS('KIDS&amp;ADULTS'!$B$1:$B$2007, $B47, 'KIDS&amp;ADULTS'!$AA$1:$AA$2007, D$39)
</f>
        <v>0</v>
      </c>
      <c r="E47" s="456">
        <f>COUNTIFS('KIDS&amp;ADULTS'!$B$1:$B$2007, $B47, 'KIDS&amp;ADULTS'!$AA$1:$AA$2007, E$39)
</f>
        <v>0</v>
      </c>
      <c r="F47" s="456">
        <f>COUNTIFS('KIDS&amp;ADULTS'!$B$1:$B$2007, $B47, 'KIDS&amp;ADULTS'!$AA$1:$AA$2007, F$39)
</f>
        <v>0</v>
      </c>
      <c r="G47" s="456">
        <f>COUNTIFS('KIDS&amp;ADULTS'!$B$1:$B$2007, $B47, 'KIDS&amp;ADULTS'!$AA$1:$AA$2007, G$39)
</f>
        <v>7</v>
      </c>
      <c r="H47" s="456">
        <f>COUNTIFS('KIDS&amp;ADULTS'!$B$1:$B$2007, $B47, 'KIDS&amp;ADULTS'!$AA$1:$AA$2007, H$39)
</f>
        <v>4</v>
      </c>
      <c r="I47" s="456">
        <f>COUNTIFS('KIDS&amp;ADULTS'!$B$1:$B$2007, $B47, 'KIDS&amp;ADULTS'!$AA$1:$AA$2007, I$39)
</f>
        <v>86</v>
      </c>
      <c r="J47" s="456">
        <f>COUNTIFS('KIDS&amp;ADULTS'!$B$1:$B$2007, $B47, 'KIDS&amp;ADULTS'!$AA$1:$AA$2007, J$39)
</f>
        <v>0</v>
      </c>
      <c r="K47" s="456">
        <f>COUNTIFS('KIDS&amp;ADULTS'!$B$1:$B$2007, $B47, 'KIDS&amp;ADULTS'!$AA$1:$AA$2007, K$39)
</f>
        <v>7</v>
      </c>
      <c r="L47" s="456">
        <f>COUNTIFS('KIDS&amp;ADULTS'!$B$1:$B$2007, $B47, 'KIDS&amp;ADULTS'!$AA$1:$AA$2007, L$39)
</f>
        <v>0</v>
      </c>
      <c r="M47" s="456">
        <f>COUNTIFS('KIDS&amp;ADULTS'!$B$1:$B$2007, $B47, 'KIDS&amp;ADULTS'!$AA$1:$AA$2007, M$39)
</f>
        <v>0</v>
      </c>
      <c r="N47" s="456">
        <f>COUNTIFS('KIDS&amp;ADULTS'!$B$1:$B$2007, $B47, 'KIDS&amp;ADULTS'!$AA$1:$AA$2007, N$39)
</f>
        <v>0</v>
      </c>
      <c r="O47" s="457">
        <f t="shared" si="9"/>
        <v>104</v>
      </c>
      <c r="P47" s="442"/>
      <c r="Q47" s="442"/>
      <c r="R47" s="455">
        <v>8.0</v>
      </c>
      <c r="S47" s="456" t="s">
        <v>539</v>
      </c>
      <c r="T47" s="483">
        <f>SUMIFS('KIDS&amp;ADULTS'!$Z$2:$Z$2007,'KIDS&amp;ADULTS'!$B$2:$B$2007,$S47,'KIDS&amp;ADULTS'!$AB$2:$AB$2007,T$24)</f>
        <v>0</v>
      </c>
      <c r="U47" s="483">
        <f>SUMIFS('KIDS&amp;ADULTS'!$Z$2:$Z$2007,'KIDS&amp;ADULTS'!$B$2:$B$2007,$S47,'KIDS&amp;ADULTS'!$AB$2:$AB$2007,U$24)</f>
        <v>0</v>
      </c>
      <c r="V47" s="483">
        <f>SUMIFS('KIDS&amp;ADULTS'!$Z$2:$Z$2007,'KIDS&amp;ADULTS'!$B$2:$B$2007,$S47,'KIDS&amp;ADULTS'!$AB$2:$AB$2007,V$24)</f>
        <v>0</v>
      </c>
      <c r="W47" s="483">
        <f>SUMIFS('KIDS&amp;ADULTS'!$Z$2:$Z$2007,'KIDS&amp;ADULTS'!$B$2:$B$2007,$S47,'KIDS&amp;ADULTS'!$AB$2:$AB$2007,W$24)</f>
        <v>0</v>
      </c>
      <c r="X47" s="483">
        <f>SUMIFS('KIDS&amp;ADULTS'!$Z$2:$Z$2007,'KIDS&amp;ADULTS'!$B$2:$B$2007,$S47,'KIDS&amp;ADULTS'!$AB$2:$AB$2007,X$24)</f>
        <v>0</v>
      </c>
      <c r="Y47" s="483">
        <f>SUMIFS('KIDS&amp;ADULTS'!$Z$2:$Z$2007,'KIDS&amp;ADULTS'!$B$2:$B$2007,$S47,'KIDS&amp;ADULTS'!$AB$2:$AB$2007,Y$24)</f>
        <v>0</v>
      </c>
      <c r="Z47" s="483">
        <f>SUMIFS('KIDS&amp;ADULTS'!$Z$2:$Z$2007,'KIDS&amp;ADULTS'!$B$2:$B$2007,$S47,'KIDS&amp;ADULTS'!$AB$2:$AB$2007,Z$24)</f>
        <v>15751080</v>
      </c>
      <c r="AA47" s="483">
        <f>SUMIFS('KIDS&amp;ADULTS'!$Z$2:$Z$2007,'KIDS&amp;ADULTS'!$B$2:$B$2007,$S47,'KIDS&amp;ADULTS'!$AB$2:$AB$2007,AA$24)</f>
        <v>0</v>
      </c>
      <c r="AB47" s="483">
        <f>SUMIFS('KIDS&amp;ADULTS'!$Z$2:$Z$2007,'KIDS&amp;ADULTS'!$B$2:$B$2007,$S47,'KIDS&amp;ADULTS'!$AB$2:$AB$2007,AB$24)</f>
        <v>0</v>
      </c>
      <c r="AC47" s="483">
        <f>SUMIFS('KIDS&amp;ADULTS'!$Z$2:$Z$2007,'KIDS&amp;ADULTS'!$B$2:$B$2007,$S47,'KIDS&amp;ADULTS'!$AB$2:$AB$2007,AC$24)</f>
        <v>0</v>
      </c>
      <c r="AD47" s="483">
        <f>SUMIFS('KIDS&amp;ADULTS'!$Z$2:$Z$2007,'KIDS&amp;ADULTS'!$B$2:$B$2007,$S47,'KIDS&amp;ADULTS'!$AB$2:$AB$2007,AD$24)</f>
        <v>0</v>
      </c>
      <c r="AE47" s="483">
        <f>SUMIFS('KIDS&amp;ADULTS'!$Z$2:$Z$2007,'KIDS&amp;ADULTS'!$B$2:$B$2007,$S47,'KIDS&amp;ADULTS'!$AB$2:$AB$2007,AE$24)</f>
        <v>0</v>
      </c>
      <c r="AF47" s="497">
        <f t="shared" si="10"/>
        <v>15751080</v>
      </c>
      <c r="AG47" s="442"/>
      <c r="AH47" s="442"/>
      <c r="AI47" s="442"/>
      <c r="AJ47" s="442"/>
      <c r="AK47" s="442"/>
      <c r="AL47" s="442"/>
      <c r="AM47" s="442"/>
      <c r="AN47" s="442"/>
      <c r="AO47" s="442"/>
      <c r="AP47" s="442"/>
      <c r="AQ47" s="442"/>
      <c r="AR47" s="442"/>
      <c r="AS47" s="442"/>
      <c r="AT47" s="442"/>
      <c r="AU47" s="442"/>
      <c r="AV47" s="442"/>
    </row>
    <row r="48" ht="15.75" customHeight="1">
      <c r="A48" s="496">
        <v>9.0</v>
      </c>
      <c r="B48" s="456" t="s">
        <v>340</v>
      </c>
      <c r="C48" s="456">
        <f>COUNTIFS('KIDS&amp;ADULTS'!$B$1:$B$2007, $B48, 'KIDS&amp;ADULTS'!$AA$1:$AA$2007, C$39)
</f>
        <v>0</v>
      </c>
      <c r="D48" s="456">
        <f>COUNTIFS('KIDS&amp;ADULTS'!$B$1:$B$2007, $B48, 'KIDS&amp;ADULTS'!$AA$1:$AA$2007, D$39)
</f>
        <v>0</v>
      </c>
      <c r="E48" s="456">
        <f>COUNTIFS('KIDS&amp;ADULTS'!$B$1:$B$2007, $B48, 'KIDS&amp;ADULTS'!$AA$1:$AA$2007, E$39)
</f>
        <v>0</v>
      </c>
      <c r="F48" s="456">
        <f>COUNTIFS('KIDS&amp;ADULTS'!$B$1:$B$2007, $B48, 'KIDS&amp;ADULTS'!$AA$1:$AA$2007, F$39)
</f>
        <v>0</v>
      </c>
      <c r="G48" s="456">
        <f>COUNTIFS('KIDS&amp;ADULTS'!$B$1:$B$2007, $B48, 'KIDS&amp;ADULTS'!$AA$1:$AA$2007, G$39)
</f>
        <v>1</v>
      </c>
      <c r="H48" s="456">
        <f>COUNTIFS('KIDS&amp;ADULTS'!$B$1:$B$2007, $B48, 'KIDS&amp;ADULTS'!$AA$1:$AA$2007, H$39)
</f>
        <v>1</v>
      </c>
      <c r="I48" s="456">
        <f>COUNTIFS('KIDS&amp;ADULTS'!$B$1:$B$2007, $B48, 'KIDS&amp;ADULTS'!$AA$1:$AA$2007, I$39)
</f>
        <v>1</v>
      </c>
      <c r="J48" s="456">
        <f>COUNTIFS('KIDS&amp;ADULTS'!$B$1:$B$2007, $B48, 'KIDS&amp;ADULTS'!$AA$1:$AA$2007, J$39)
</f>
        <v>0</v>
      </c>
      <c r="K48" s="456">
        <f>COUNTIFS('KIDS&amp;ADULTS'!$B$1:$B$2007, $B48, 'KIDS&amp;ADULTS'!$AA$1:$AA$2007, K$39)
</f>
        <v>0</v>
      </c>
      <c r="L48" s="456">
        <f>COUNTIFS('KIDS&amp;ADULTS'!$B$1:$B$2007, $B48, 'KIDS&amp;ADULTS'!$AA$1:$AA$2007, L$39)
</f>
        <v>1</v>
      </c>
      <c r="M48" s="456">
        <f>COUNTIFS('KIDS&amp;ADULTS'!$B$1:$B$2007, $B48, 'KIDS&amp;ADULTS'!$AA$1:$AA$2007, M$39)
</f>
        <v>0</v>
      </c>
      <c r="N48" s="456">
        <f>COUNTIFS('KIDS&amp;ADULTS'!$B$1:$B$2007, $B48, 'KIDS&amp;ADULTS'!$AA$1:$AA$2007, N$39)
</f>
        <v>1</v>
      </c>
      <c r="O48" s="457">
        <f t="shared" si="9"/>
        <v>5</v>
      </c>
      <c r="P48" s="442"/>
      <c r="Q48" s="442"/>
      <c r="R48" s="455">
        <v>9.0</v>
      </c>
      <c r="S48" s="456" t="s">
        <v>340</v>
      </c>
      <c r="T48" s="483">
        <f>SUMIFS('KIDS&amp;ADULTS'!$Z$2:$Z$2007,'KIDS&amp;ADULTS'!$B$2:$B$2007,$S48,'KIDS&amp;ADULTS'!$AB$2:$AB$2007,T$24)</f>
        <v>0</v>
      </c>
      <c r="U48" s="483">
        <f>SUMIFS('KIDS&amp;ADULTS'!$Z$2:$Z$2007,'KIDS&amp;ADULTS'!$B$2:$B$2007,$S48,'KIDS&amp;ADULTS'!$AB$2:$AB$2007,U$24)</f>
        <v>0</v>
      </c>
      <c r="V48" s="483">
        <f>SUMIFS('KIDS&amp;ADULTS'!$Z$2:$Z$2007,'KIDS&amp;ADULTS'!$B$2:$B$2007,$S48,'KIDS&amp;ADULTS'!$AB$2:$AB$2007,V$24)</f>
        <v>0</v>
      </c>
      <c r="W48" s="483">
        <f>SUMIFS('KIDS&amp;ADULTS'!$Z$2:$Z$2007,'KIDS&amp;ADULTS'!$B$2:$B$2007,$S48,'KIDS&amp;ADULTS'!$AB$2:$AB$2007,W$24)</f>
        <v>0</v>
      </c>
      <c r="X48" s="483">
        <f>SUMIFS('KIDS&amp;ADULTS'!$Z$2:$Z$2007,'KIDS&amp;ADULTS'!$B$2:$B$2007,$S48,'KIDS&amp;ADULTS'!$AB$2:$AB$2007,X$24)</f>
        <v>0</v>
      </c>
      <c r="Y48" s="483">
        <f>SUMIFS('KIDS&amp;ADULTS'!$Z$2:$Z$2007,'KIDS&amp;ADULTS'!$B$2:$B$2007,$S48,'KIDS&amp;ADULTS'!$AB$2:$AB$2007,Y$24)</f>
        <v>0</v>
      </c>
      <c r="Z48" s="483">
        <f>SUMIFS('KIDS&amp;ADULTS'!$Z$2:$Z$2007,'KIDS&amp;ADULTS'!$B$2:$B$2007,$S48,'KIDS&amp;ADULTS'!$AB$2:$AB$2007,Z$24)</f>
        <v>0</v>
      </c>
      <c r="AA48" s="483">
        <f>SUMIFS('KIDS&amp;ADULTS'!$Z$2:$Z$2007,'KIDS&amp;ADULTS'!$B$2:$B$2007,$S48,'KIDS&amp;ADULTS'!$AB$2:$AB$2007,AA$24)</f>
        <v>0</v>
      </c>
      <c r="AB48" s="483">
        <f>SUMIFS('KIDS&amp;ADULTS'!$Z$2:$Z$2007,'KIDS&amp;ADULTS'!$B$2:$B$2007,$S48,'KIDS&amp;ADULTS'!$AB$2:$AB$2007,AB$24)</f>
        <v>0</v>
      </c>
      <c r="AC48" s="483">
        <f>SUMIFS('KIDS&amp;ADULTS'!$Z$2:$Z$2007,'KIDS&amp;ADULTS'!$B$2:$B$2007,$S48,'KIDS&amp;ADULTS'!$AB$2:$AB$2007,AC$24)</f>
        <v>0</v>
      </c>
      <c r="AD48" s="483">
        <f>SUMIFS('KIDS&amp;ADULTS'!$Z$2:$Z$2007,'KIDS&amp;ADULTS'!$B$2:$B$2007,$S48,'KIDS&amp;ADULTS'!$AB$2:$AB$2007,AD$24)</f>
        <v>0</v>
      </c>
      <c r="AE48" s="483">
        <f>SUMIFS('KIDS&amp;ADULTS'!$Z$2:$Z$2007,'KIDS&amp;ADULTS'!$B$2:$B$2007,$S48,'KIDS&amp;ADULTS'!$AB$2:$AB$2007,AE$24)</f>
        <v>0</v>
      </c>
      <c r="AF48" s="497">
        <f t="shared" si="10"/>
        <v>0</v>
      </c>
      <c r="AG48" s="442"/>
      <c r="AH48" s="442"/>
      <c r="AI48" s="442"/>
      <c r="AJ48" s="442"/>
      <c r="AK48" s="442"/>
      <c r="AL48" s="442"/>
      <c r="AM48" s="442"/>
      <c r="AN48" s="442"/>
      <c r="AO48" s="442"/>
      <c r="AP48" s="442"/>
      <c r="AQ48" s="442"/>
      <c r="AR48" s="442"/>
      <c r="AS48" s="442"/>
      <c r="AT48" s="442"/>
      <c r="AU48" s="442"/>
      <c r="AV48" s="442"/>
    </row>
    <row r="49" ht="15.75" customHeight="1">
      <c r="A49" s="496">
        <v>10.0</v>
      </c>
      <c r="B49" s="456" t="s">
        <v>1996</v>
      </c>
      <c r="C49" s="456">
        <f>COUNTIFS('KIDS&amp;ADULTS'!$B$1:$B$2007, $B49, 'KIDS&amp;ADULTS'!$AA$1:$AA$2007, C$39)
</f>
        <v>0</v>
      </c>
      <c r="D49" s="456">
        <f>COUNTIFS('KIDS&amp;ADULTS'!$B$1:$B$2007, $B49, 'KIDS&amp;ADULTS'!$AA$1:$AA$2007, D$39)
</f>
        <v>0</v>
      </c>
      <c r="E49" s="456">
        <f>COUNTIFS('KIDS&amp;ADULTS'!$B$1:$B$2007, $B49, 'KIDS&amp;ADULTS'!$AA$1:$AA$2007, E$39)
</f>
        <v>0</v>
      </c>
      <c r="F49" s="456">
        <f>COUNTIFS('KIDS&amp;ADULTS'!$B$1:$B$2007, $B49, 'KIDS&amp;ADULTS'!$AA$1:$AA$2007, F$39)
</f>
        <v>0</v>
      </c>
      <c r="G49" s="456">
        <f>COUNTIFS('KIDS&amp;ADULTS'!$B$1:$B$2007, $B49, 'KIDS&amp;ADULTS'!$AA$1:$AA$2007, G$39)
</f>
        <v>0</v>
      </c>
      <c r="H49" s="456">
        <f>COUNTIFS('KIDS&amp;ADULTS'!$B$1:$B$2007, $B49, 'KIDS&amp;ADULTS'!$AA$1:$AA$2007, H$39)
</f>
        <v>0</v>
      </c>
      <c r="I49" s="456">
        <f>COUNTIFS('KIDS&amp;ADULTS'!$B$1:$B$2007, $B49, 'KIDS&amp;ADULTS'!$AA$1:$AA$2007, I$39)
</f>
        <v>1</v>
      </c>
      <c r="J49" s="456">
        <f>COUNTIFS('KIDS&amp;ADULTS'!$B$1:$B$2007, $B49, 'KIDS&amp;ADULTS'!$AA$1:$AA$2007, J$39)
</f>
        <v>0</v>
      </c>
      <c r="K49" s="456">
        <f>COUNTIFS('KIDS&amp;ADULTS'!$B$1:$B$2007, $B49, 'KIDS&amp;ADULTS'!$AA$1:$AA$2007, K$39)
</f>
        <v>0</v>
      </c>
      <c r="L49" s="456">
        <f>COUNTIFS('KIDS&amp;ADULTS'!$B$1:$B$2007, $B49, 'KIDS&amp;ADULTS'!$AA$1:$AA$2007, L$39)
</f>
        <v>0</v>
      </c>
      <c r="M49" s="456">
        <f>COUNTIFS('KIDS&amp;ADULTS'!$B$1:$B$2007, $B49, 'KIDS&amp;ADULTS'!$AA$1:$AA$2007, M$39)
</f>
        <v>0</v>
      </c>
      <c r="N49" s="456">
        <f>COUNTIFS('KIDS&amp;ADULTS'!$B$1:$B$2007, $B49, 'KIDS&amp;ADULTS'!$AA$1:$AA$2007, N$39)
</f>
        <v>0</v>
      </c>
      <c r="O49" s="457">
        <f t="shared" si="9"/>
        <v>1</v>
      </c>
      <c r="P49" s="442"/>
      <c r="Q49" s="442"/>
      <c r="R49" s="455">
        <v>10.0</v>
      </c>
      <c r="S49" s="456" t="s">
        <v>1996</v>
      </c>
      <c r="T49" s="483">
        <f>SUMIFS('KIDS&amp;ADULTS'!$Z$2:$Z$2007,'KIDS&amp;ADULTS'!$B$2:$B$2007,$S49,'KIDS&amp;ADULTS'!$AB$2:$AB$2007,T$24)</f>
        <v>0</v>
      </c>
      <c r="U49" s="483">
        <f>SUMIFS('KIDS&amp;ADULTS'!$Z$2:$Z$2007,'KIDS&amp;ADULTS'!$B$2:$B$2007,$S49,'KIDS&amp;ADULTS'!$AB$2:$AB$2007,U$24)</f>
        <v>0</v>
      </c>
      <c r="V49" s="483">
        <f>SUMIFS('KIDS&amp;ADULTS'!$Z$2:$Z$2007,'KIDS&amp;ADULTS'!$B$2:$B$2007,$S49,'KIDS&amp;ADULTS'!$AB$2:$AB$2007,V$24)</f>
        <v>0</v>
      </c>
      <c r="W49" s="483">
        <f>SUMIFS('KIDS&amp;ADULTS'!$Z$2:$Z$2007,'KIDS&amp;ADULTS'!$B$2:$B$2007,$S49,'KIDS&amp;ADULTS'!$AB$2:$AB$2007,W$24)</f>
        <v>0</v>
      </c>
      <c r="X49" s="483">
        <f>SUMIFS('KIDS&amp;ADULTS'!$Z$2:$Z$2007,'KIDS&amp;ADULTS'!$B$2:$B$2007,$S49,'KIDS&amp;ADULTS'!$AB$2:$AB$2007,X$24)</f>
        <v>0</v>
      </c>
      <c r="Y49" s="483">
        <f>SUMIFS('KIDS&amp;ADULTS'!$Z$2:$Z$2007,'KIDS&amp;ADULTS'!$B$2:$B$2007,$S49,'KIDS&amp;ADULTS'!$AB$2:$AB$2007,Y$24)</f>
        <v>0</v>
      </c>
      <c r="Z49" s="483">
        <f>SUMIFS('KIDS&amp;ADULTS'!$Z$2:$Z$2007,'KIDS&amp;ADULTS'!$B$2:$B$2007,$S49,'KIDS&amp;ADULTS'!$AB$2:$AB$2007,Z$24)</f>
        <v>0</v>
      </c>
      <c r="AA49" s="483">
        <f>SUMIFS('KIDS&amp;ADULTS'!$Z$2:$Z$2007,'KIDS&amp;ADULTS'!$B$2:$B$2007,$S49,'KIDS&amp;ADULTS'!$AB$2:$AB$2007,AA$24)</f>
        <v>0</v>
      </c>
      <c r="AB49" s="483">
        <f>SUMIFS('KIDS&amp;ADULTS'!$Z$2:$Z$2007,'KIDS&amp;ADULTS'!$B$2:$B$2007,$S49,'KIDS&amp;ADULTS'!$AB$2:$AB$2007,AB$24)</f>
        <v>0</v>
      </c>
      <c r="AC49" s="483">
        <f>SUMIFS('KIDS&amp;ADULTS'!$Z$2:$Z$2007,'KIDS&amp;ADULTS'!$B$2:$B$2007,$S49,'KIDS&amp;ADULTS'!$AB$2:$AB$2007,AC$24)</f>
        <v>0</v>
      </c>
      <c r="AD49" s="483">
        <f>SUMIFS('KIDS&amp;ADULTS'!$Z$2:$Z$2007,'KIDS&amp;ADULTS'!$B$2:$B$2007,$S49,'KIDS&amp;ADULTS'!$AB$2:$AB$2007,AD$24)</f>
        <v>0</v>
      </c>
      <c r="AE49" s="483">
        <f>SUMIFS('KIDS&amp;ADULTS'!$Z$2:$Z$2007,'KIDS&amp;ADULTS'!$B$2:$B$2007,$S49,'KIDS&amp;ADULTS'!$AB$2:$AB$2007,AE$24)</f>
        <v>0</v>
      </c>
      <c r="AF49" s="497">
        <f t="shared" si="10"/>
        <v>0</v>
      </c>
      <c r="AG49" s="442"/>
      <c r="AH49" s="442"/>
      <c r="AI49" s="442"/>
      <c r="AJ49" s="442"/>
      <c r="AK49" s="442"/>
      <c r="AL49" s="442"/>
      <c r="AM49" s="442"/>
      <c r="AN49" s="442"/>
      <c r="AO49" s="442"/>
      <c r="AP49" s="442"/>
      <c r="AQ49" s="442"/>
      <c r="AR49" s="442"/>
      <c r="AS49" s="442"/>
      <c r="AT49" s="442"/>
      <c r="AU49" s="442"/>
      <c r="AV49" s="442"/>
    </row>
    <row r="50" ht="15.75" customHeight="1">
      <c r="A50" s="460" t="s">
        <v>4742</v>
      </c>
      <c r="B50" s="461"/>
      <c r="C50" s="467">
        <f t="shared" ref="C50:N50" si="11">sum(C40:C49)</f>
        <v>0</v>
      </c>
      <c r="D50" s="467">
        <f t="shared" si="11"/>
        <v>0</v>
      </c>
      <c r="E50" s="467">
        <f t="shared" si="11"/>
        <v>0</v>
      </c>
      <c r="F50" s="467">
        <f t="shared" si="11"/>
        <v>0</v>
      </c>
      <c r="G50" s="467">
        <f t="shared" si="11"/>
        <v>49</v>
      </c>
      <c r="H50" s="467">
        <f t="shared" si="11"/>
        <v>121</v>
      </c>
      <c r="I50" s="467">
        <f t="shared" si="11"/>
        <v>161</v>
      </c>
      <c r="J50" s="467">
        <f t="shared" si="11"/>
        <v>28</v>
      </c>
      <c r="K50" s="467">
        <f t="shared" si="11"/>
        <v>33</v>
      </c>
      <c r="L50" s="467">
        <f t="shared" si="11"/>
        <v>20</v>
      </c>
      <c r="M50" s="467">
        <f t="shared" si="11"/>
        <v>8</v>
      </c>
      <c r="N50" s="467">
        <f t="shared" si="11"/>
        <v>7</v>
      </c>
      <c r="O50" s="468">
        <f t="shared" si="9"/>
        <v>427</v>
      </c>
      <c r="P50" s="442"/>
      <c r="Q50" s="442"/>
      <c r="R50" s="460" t="s">
        <v>4742</v>
      </c>
      <c r="S50" s="461"/>
      <c r="T50" s="487">
        <f>sum(T40:T49)</f>
        <v>0</v>
      </c>
      <c r="U50" s="488">
        <v>2.893E7</v>
      </c>
      <c r="V50" s="489">
        <v>5.610437E7</v>
      </c>
      <c r="W50" s="489">
        <v>3.50506E7</v>
      </c>
      <c r="X50" s="487">
        <f t="shared" ref="X50:AF50" si="12">sum(X40:X49)</f>
        <v>34686100</v>
      </c>
      <c r="Y50" s="487">
        <f t="shared" si="12"/>
        <v>137190078</v>
      </c>
      <c r="Z50" s="487">
        <f t="shared" si="12"/>
        <v>122041720</v>
      </c>
      <c r="AA50" s="487">
        <f t="shared" si="12"/>
        <v>45720930</v>
      </c>
      <c r="AB50" s="487">
        <f t="shared" si="12"/>
        <v>32141500</v>
      </c>
      <c r="AC50" s="487">
        <f t="shared" si="12"/>
        <v>50651500</v>
      </c>
      <c r="AD50" s="487">
        <f t="shared" si="12"/>
        <v>8224400</v>
      </c>
      <c r="AE50" s="487">
        <f t="shared" si="12"/>
        <v>17571200</v>
      </c>
      <c r="AF50" s="490">
        <f t="shared" si="12"/>
        <v>448227428</v>
      </c>
      <c r="AG50" s="442"/>
      <c r="AH50" s="442"/>
      <c r="AI50" s="442"/>
      <c r="AJ50" s="442"/>
      <c r="AK50" s="442"/>
      <c r="AL50" s="442"/>
      <c r="AM50" s="442"/>
      <c r="AN50" s="442"/>
      <c r="AO50" s="442"/>
      <c r="AP50" s="442"/>
      <c r="AQ50" s="442"/>
      <c r="AR50" s="442"/>
      <c r="AS50" s="442"/>
      <c r="AT50" s="442"/>
      <c r="AU50" s="442"/>
      <c r="AV50" s="442"/>
    </row>
    <row r="51" ht="15.75" customHeight="1">
      <c r="A51" s="442"/>
      <c r="B51" s="442"/>
      <c r="C51" s="442"/>
      <c r="D51" s="442"/>
      <c r="E51" s="442"/>
      <c r="F51" s="442"/>
      <c r="G51" s="442"/>
      <c r="H51" s="442"/>
      <c r="I51" s="442"/>
      <c r="J51" s="442"/>
      <c r="K51" s="442"/>
      <c r="L51" s="442"/>
      <c r="M51" s="442"/>
      <c r="N51" s="442"/>
      <c r="O51" s="442"/>
      <c r="P51" s="442"/>
      <c r="Q51" s="442"/>
      <c r="R51" s="442"/>
      <c r="S51" s="442"/>
      <c r="T51" s="442"/>
      <c r="U51" s="442"/>
      <c r="V51" s="442"/>
      <c r="W51" s="442"/>
      <c r="X51" s="442"/>
      <c r="Y51" s="442"/>
      <c r="Z51" s="442"/>
      <c r="AA51" s="442"/>
      <c r="AB51" s="442"/>
      <c r="AC51" s="442"/>
      <c r="AD51" s="442"/>
      <c r="AE51" s="442"/>
      <c r="AF51" s="442"/>
      <c r="AG51" s="442"/>
      <c r="AH51" s="442"/>
      <c r="AI51" s="442"/>
      <c r="AJ51" s="442"/>
      <c r="AK51" s="442"/>
      <c r="AL51" s="442"/>
      <c r="AM51" s="442"/>
      <c r="AN51" s="442"/>
      <c r="AO51" s="442"/>
      <c r="AP51" s="442"/>
      <c r="AQ51" s="442"/>
      <c r="AR51" s="442"/>
      <c r="AS51" s="442"/>
      <c r="AT51" s="442"/>
      <c r="AU51" s="442"/>
      <c r="AV51" s="442"/>
    </row>
    <row r="52" ht="15.75" customHeight="1">
      <c r="A52" s="442"/>
      <c r="B52" s="442"/>
      <c r="C52" s="442"/>
      <c r="D52" s="442"/>
      <c r="E52" s="442"/>
      <c r="F52" s="442"/>
      <c r="G52" s="442"/>
      <c r="H52" s="442"/>
      <c r="I52" s="442"/>
      <c r="J52" s="442"/>
      <c r="K52" s="442"/>
      <c r="L52" s="442"/>
      <c r="M52" s="442"/>
      <c r="N52" s="442"/>
      <c r="O52" s="442"/>
      <c r="P52" s="442"/>
      <c r="Q52" s="442"/>
      <c r="R52" s="469" t="s">
        <v>4755</v>
      </c>
      <c r="S52" s="470"/>
      <c r="T52" s="470"/>
      <c r="U52" s="470"/>
      <c r="V52" s="470"/>
      <c r="W52" s="470"/>
      <c r="X52" s="470"/>
      <c r="Y52" s="470"/>
      <c r="Z52" s="470"/>
      <c r="AA52" s="470"/>
      <c r="AB52" s="470"/>
      <c r="AC52" s="470"/>
      <c r="AD52" s="470"/>
      <c r="AE52" s="470"/>
      <c r="AF52" s="471"/>
      <c r="AG52" s="442"/>
      <c r="AH52" s="442"/>
      <c r="AI52" s="442"/>
      <c r="AJ52" s="442"/>
      <c r="AK52" s="442"/>
      <c r="AL52" s="442"/>
      <c r="AM52" s="442"/>
      <c r="AN52" s="442"/>
      <c r="AO52" s="442"/>
      <c r="AP52" s="442"/>
      <c r="AQ52" s="442"/>
      <c r="AR52" s="442"/>
      <c r="AS52" s="442"/>
      <c r="AT52" s="442"/>
      <c r="AU52" s="442"/>
      <c r="AV52" s="442"/>
    </row>
    <row r="53" ht="15.75" customHeight="1">
      <c r="A53" s="442"/>
      <c r="B53" s="442"/>
      <c r="C53" s="442"/>
      <c r="D53" s="442"/>
      <c r="E53" s="442"/>
      <c r="F53" s="442"/>
      <c r="G53" s="442"/>
      <c r="H53" s="442"/>
      <c r="I53" s="442"/>
      <c r="J53" s="442"/>
      <c r="K53" s="442"/>
      <c r="L53" s="442"/>
      <c r="M53" s="442"/>
      <c r="N53" s="442"/>
      <c r="O53" s="442"/>
      <c r="P53" s="442"/>
      <c r="Q53" s="442"/>
      <c r="R53" s="476" t="s">
        <v>4743</v>
      </c>
      <c r="S53" s="494" t="s">
        <v>1</v>
      </c>
      <c r="T53" s="477" t="s">
        <v>27</v>
      </c>
      <c r="U53" s="477" t="s">
        <v>27</v>
      </c>
      <c r="V53" s="477" t="s">
        <v>27</v>
      </c>
      <c r="W53" s="477" t="s">
        <v>27</v>
      </c>
      <c r="X53" s="477" t="s">
        <v>27</v>
      </c>
      <c r="Y53" s="477" t="s">
        <v>27</v>
      </c>
      <c r="Z53" s="477" t="s">
        <v>27</v>
      </c>
      <c r="AA53" s="477" t="s">
        <v>27</v>
      </c>
      <c r="AB53" s="477" t="s">
        <v>27</v>
      </c>
      <c r="AC53" s="477" t="s">
        <v>27</v>
      </c>
      <c r="AD53" s="477" t="s">
        <v>27</v>
      </c>
      <c r="AE53" s="478" t="s">
        <v>27</v>
      </c>
      <c r="AF53" s="479" t="s">
        <v>4742</v>
      </c>
      <c r="AG53" s="442"/>
      <c r="AH53" s="442"/>
      <c r="AI53" s="442"/>
      <c r="AJ53" s="442"/>
      <c r="AK53" s="442"/>
      <c r="AL53" s="442"/>
      <c r="AM53" s="442"/>
      <c r="AN53" s="442"/>
      <c r="AO53" s="442"/>
      <c r="AP53" s="442"/>
      <c r="AQ53" s="442"/>
      <c r="AR53" s="442"/>
      <c r="AS53" s="442"/>
      <c r="AT53" s="442"/>
      <c r="AU53" s="442"/>
      <c r="AV53" s="442"/>
    </row>
    <row r="54" ht="15.75" customHeight="1">
      <c r="A54" s="442"/>
      <c r="B54" s="442"/>
      <c r="C54" s="442"/>
      <c r="D54" s="442"/>
      <c r="E54" s="442"/>
      <c r="F54" s="442"/>
      <c r="G54" s="442"/>
      <c r="H54" s="442"/>
      <c r="I54" s="442"/>
      <c r="J54" s="442"/>
      <c r="K54" s="442"/>
      <c r="L54" s="442"/>
      <c r="M54" s="442"/>
      <c r="N54" s="442"/>
      <c r="O54" s="442"/>
      <c r="P54" s="442"/>
      <c r="Q54" s="442"/>
      <c r="R54" s="452"/>
      <c r="S54" s="495"/>
      <c r="T54" s="453">
        <v>1.0</v>
      </c>
      <c r="U54" s="453">
        <v>2.0</v>
      </c>
      <c r="V54" s="453">
        <v>3.0</v>
      </c>
      <c r="W54" s="453">
        <v>4.0</v>
      </c>
      <c r="X54" s="453">
        <v>5.0</v>
      </c>
      <c r="Y54" s="453">
        <v>6.0</v>
      </c>
      <c r="Z54" s="453">
        <v>7.0</v>
      </c>
      <c r="AA54" s="453">
        <v>8.0</v>
      </c>
      <c r="AB54" s="453">
        <v>9.0</v>
      </c>
      <c r="AC54" s="453">
        <v>10.0</v>
      </c>
      <c r="AD54" s="453">
        <v>11.0</v>
      </c>
      <c r="AE54" s="482">
        <v>12.0</v>
      </c>
      <c r="AF54" s="454"/>
      <c r="AG54" s="442"/>
      <c r="AH54" s="442"/>
      <c r="AI54" s="442"/>
      <c r="AJ54" s="442"/>
      <c r="AK54" s="442"/>
      <c r="AL54" s="442"/>
      <c r="AM54" s="442"/>
      <c r="AN54" s="442"/>
      <c r="AO54" s="442"/>
      <c r="AP54" s="442"/>
      <c r="AQ54" s="442"/>
      <c r="AR54" s="442"/>
      <c r="AS54" s="442"/>
      <c r="AT54" s="442"/>
      <c r="AU54" s="442"/>
      <c r="AV54" s="442"/>
    </row>
    <row r="55" ht="15.75" customHeight="1">
      <c r="A55" s="442"/>
      <c r="B55" s="442"/>
      <c r="C55" s="442"/>
      <c r="D55" s="442"/>
      <c r="E55" s="442"/>
      <c r="F55" s="442"/>
      <c r="G55" s="442"/>
      <c r="H55" s="442"/>
      <c r="I55" s="442"/>
      <c r="J55" s="442"/>
      <c r="K55" s="442"/>
      <c r="L55" s="442"/>
      <c r="M55" s="442"/>
      <c r="N55" s="442"/>
      <c r="O55" s="442"/>
      <c r="P55" s="442"/>
      <c r="Q55" s="442"/>
      <c r="R55" s="455">
        <v>1.0</v>
      </c>
      <c r="S55" s="456" t="s">
        <v>4753</v>
      </c>
      <c r="T55" s="456">
        <f>COUNTIFS('KIDS&amp;ADULTS'!$B$1:$B$2007, $S55, 'KIDS&amp;ADULTS'!$AA$1:$AA$2007, T$6,'KIDS&amp;ADULTS'!$N$1:$N$2007,"Đã đóng học phí")
</f>
        <v>0</v>
      </c>
      <c r="U55" s="456">
        <f>COUNTIFS('KIDS&amp;ADULTS'!$B$1:$B$2007, $S55, 'KIDS&amp;ADULTS'!$AA$1:$AA$2007, U$6,'KIDS&amp;ADULTS'!$N$1:$N$2007,"Đã đóng học phí")
</f>
        <v>0</v>
      </c>
      <c r="V55" s="456">
        <f>COUNTIFS('KIDS&amp;ADULTS'!$B$1:$B$2007, $S55, 'KIDS&amp;ADULTS'!$AA$1:$AA$2007, V$6,'KIDS&amp;ADULTS'!$N$1:$N$2007,"Đã đóng học phí")
</f>
        <v>0</v>
      </c>
      <c r="W55" s="456">
        <f>COUNTIFS('KIDS&amp;ADULTS'!$B$1:$B$2007, $S55, 'KIDS&amp;ADULTS'!$AA$1:$AA$2007, W$6,'KIDS&amp;ADULTS'!$N$1:$N$2007,"Đã đóng học phí")
</f>
        <v>0</v>
      </c>
      <c r="X55" s="456">
        <f>COUNTIFS('KIDS&amp;ADULTS'!$B$1:$B$2007, $S55, 'KIDS&amp;ADULTS'!$AA$1:$AA$2007, X$6,'KIDS&amp;ADULTS'!$N$1:$N$2007,"Đã đóng học phí")
</f>
        <v>0</v>
      </c>
      <c r="Y55" s="456">
        <f>COUNTIFS('KIDS&amp;ADULTS'!$B$1:$B$2007, $S55, 'KIDS&amp;ADULTS'!$AA$1:$AA$2007, Y$6,'KIDS&amp;ADULTS'!$N$1:$N$2007,"Đã đóng học phí")
</f>
        <v>0</v>
      </c>
      <c r="Z55" s="456">
        <f>COUNTIFS('KIDS&amp;ADULTS'!$B$1:$B$2007, $S55, 'KIDS&amp;ADULTS'!$AA$1:$AA$2007, Z$6,'KIDS&amp;ADULTS'!$N$1:$N$2007,"Đã đóng học phí")
</f>
        <v>0</v>
      </c>
      <c r="AA55" s="456">
        <f>COUNTIFS('KIDS&amp;ADULTS'!$B$1:$B$2007, $S55, 'KIDS&amp;ADULTS'!$AA$1:$AA$2007, AA$6,'KIDS&amp;ADULTS'!$N$1:$N$2007,"Đã đóng học phí")
</f>
        <v>0</v>
      </c>
      <c r="AB55" s="456">
        <f>COUNTIFS('KIDS&amp;ADULTS'!$B$1:$B$2007, $S55, 'KIDS&amp;ADULTS'!$AA$1:$AA$2007, AB$6,'KIDS&amp;ADULTS'!$N$1:$N$2007,"Đã đóng học phí")
</f>
        <v>0</v>
      </c>
      <c r="AC55" s="456">
        <f>COUNTIFS('KIDS&amp;ADULTS'!$B$1:$B$2007, $S55, 'KIDS&amp;ADULTS'!$AA$1:$AA$2007, AC$6,'KIDS&amp;ADULTS'!$N$1:$N$2007,"Đã đóng học phí")
</f>
        <v>0</v>
      </c>
      <c r="AD55" s="456">
        <f>COUNTIFS('KIDS&amp;ADULTS'!$B$1:$B$2007, $S55, 'KIDS&amp;ADULTS'!$AA$1:$AA$2007, AD$6,'KIDS&amp;ADULTS'!$N$1:$N$2007,"Đã đóng học phí")
</f>
        <v>0</v>
      </c>
      <c r="AE55" s="456">
        <f>COUNTIFS('KIDS&amp;ADULTS'!$B$1:$B$2007, $S55, 'KIDS&amp;ADULTS'!$AA$1:$AA$2007, AE$6,'KIDS&amp;ADULTS'!$N$1:$N$2007,"Đã đóng học phí")
</f>
        <v>0</v>
      </c>
      <c r="AF55" s="498">
        <f t="shared" ref="AF55:AF64" si="13">sum(T55:AE55)</f>
        <v>0</v>
      </c>
      <c r="AG55" s="442"/>
      <c r="AH55" s="442"/>
      <c r="AI55" s="442"/>
      <c r="AJ55" s="442"/>
      <c r="AK55" s="442"/>
      <c r="AL55" s="442"/>
      <c r="AM55" s="442"/>
      <c r="AN55" s="442"/>
      <c r="AO55" s="442"/>
      <c r="AP55" s="442"/>
      <c r="AQ55" s="442"/>
      <c r="AR55" s="442"/>
      <c r="AS55" s="442"/>
      <c r="AT55" s="442"/>
      <c r="AU55" s="442"/>
      <c r="AV55" s="442"/>
    </row>
    <row r="56" ht="15.75" customHeight="1">
      <c r="A56" s="442"/>
      <c r="B56" s="442"/>
      <c r="C56" s="442"/>
      <c r="D56" s="442"/>
      <c r="E56" s="442"/>
      <c r="F56" s="442"/>
      <c r="G56" s="442"/>
      <c r="H56" s="442"/>
      <c r="I56" s="442"/>
      <c r="J56" s="442"/>
      <c r="K56" s="442"/>
      <c r="L56" s="442"/>
      <c r="M56" s="442"/>
      <c r="N56" s="442"/>
      <c r="O56" s="442"/>
      <c r="P56" s="442"/>
      <c r="Q56" s="442"/>
      <c r="R56" s="455">
        <v>2.0</v>
      </c>
      <c r="S56" s="456" t="s">
        <v>4754</v>
      </c>
      <c r="T56" s="456">
        <f>COUNTIFS('KIDS&amp;ADULTS'!$B$1:$B$2007, $S56, 'KIDS&amp;ADULTS'!$AA$1:$AA$2007, T$6,'KIDS&amp;ADULTS'!$N$1:$N$2007,"Đã đóng học phí")
</f>
        <v>0</v>
      </c>
      <c r="U56" s="456">
        <f>COUNTIFS('KIDS&amp;ADULTS'!$B$1:$B$2007, $S56, 'KIDS&amp;ADULTS'!$AA$1:$AA$2007, U$6,'KIDS&amp;ADULTS'!$N$1:$N$2007,"Đã đóng học phí")
</f>
        <v>0</v>
      </c>
      <c r="V56" s="456">
        <f>COUNTIFS('KIDS&amp;ADULTS'!$B$1:$B$2007, $S56, 'KIDS&amp;ADULTS'!$AA$1:$AA$2007, V$6,'KIDS&amp;ADULTS'!$N$1:$N$2007,"Đã đóng học phí")
</f>
        <v>0</v>
      </c>
      <c r="W56" s="456">
        <f>COUNTIFS('KIDS&amp;ADULTS'!$B$1:$B$2007, $S56, 'KIDS&amp;ADULTS'!$AA$1:$AA$2007, W$6,'KIDS&amp;ADULTS'!$N$1:$N$2007,"Đã đóng học phí")
</f>
        <v>0</v>
      </c>
      <c r="X56" s="456">
        <f>COUNTIFS('KIDS&amp;ADULTS'!$B$1:$B$2007, $S56, 'KIDS&amp;ADULTS'!$AA$1:$AA$2007, X$6,'KIDS&amp;ADULTS'!$N$1:$N$2007,"Đã đóng học phí")
</f>
        <v>0</v>
      </c>
      <c r="Y56" s="456">
        <f>COUNTIFS('KIDS&amp;ADULTS'!$B$1:$B$2007, $S56, 'KIDS&amp;ADULTS'!$AA$1:$AA$2007, Y$6,'KIDS&amp;ADULTS'!$N$1:$N$2007,"Đã đóng học phí")
</f>
        <v>0</v>
      </c>
      <c r="Z56" s="456">
        <f>COUNTIFS('KIDS&amp;ADULTS'!$B$1:$B$2007, $S56, 'KIDS&amp;ADULTS'!$AA$1:$AA$2007, Z$6,'KIDS&amp;ADULTS'!$N$1:$N$2007,"Đã đóng học phí")
</f>
        <v>0</v>
      </c>
      <c r="AA56" s="456">
        <f>COUNTIFS('KIDS&amp;ADULTS'!$B$1:$B$2007, $S56, 'KIDS&amp;ADULTS'!$AA$1:$AA$2007, AA$6,'KIDS&amp;ADULTS'!$N$1:$N$2007,"Đã đóng học phí")
</f>
        <v>0</v>
      </c>
      <c r="AB56" s="456">
        <f>COUNTIFS('KIDS&amp;ADULTS'!$B$1:$B$2007, $S56, 'KIDS&amp;ADULTS'!$AA$1:$AA$2007, AB$6,'KIDS&amp;ADULTS'!$N$1:$N$2007,"Đã đóng học phí")
</f>
        <v>0</v>
      </c>
      <c r="AC56" s="456">
        <f>COUNTIFS('KIDS&amp;ADULTS'!$B$1:$B$2007, $S56, 'KIDS&amp;ADULTS'!$AA$1:$AA$2007, AC$6,'KIDS&amp;ADULTS'!$N$1:$N$2007,"Đã đóng học phí")
</f>
        <v>0</v>
      </c>
      <c r="AD56" s="456">
        <f>COUNTIFS('KIDS&amp;ADULTS'!$B$1:$B$2007, $S56, 'KIDS&amp;ADULTS'!$AA$1:$AA$2007, AD$6,'KIDS&amp;ADULTS'!$N$1:$N$2007,"Đã đóng học phí")
</f>
        <v>0</v>
      </c>
      <c r="AE56" s="456">
        <f>COUNTIFS('KIDS&amp;ADULTS'!$B$1:$B$2007, $S56, 'KIDS&amp;ADULTS'!$AA$1:$AA$2007, AE$6,'KIDS&amp;ADULTS'!$N$1:$N$2007,"Đã đóng học phí")
</f>
        <v>0</v>
      </c>
      <c r="AF56" s="498">
        <f t="shared" si="13"/>
        <v>0</v>
      </c>
      <c r="AG56" s="442"/>
      <c r="AH56" s="442"/>
      <c r="AI56" s="442"/>
      <c r="AJ56" s="442"/>
      <c r="AK56" s="442"/>
      <c r="AL56" s="442"/>
      <c r="AM56" s="442"/>
      <c r="AN56" s="442"/>
      <c r="AO56" s="442"/>
      <c r="AP56" s="442"/>
      <c r="AQ56" s="442"/>
      <c r="AR56" s="442"/>
      <c r="AS56" s="442"/>
      <c r="AT56" s="442"/>
      <c r="AU56" s="442"/>
      <c r="AV56" s="442"/>
    </row>
    <row r="57" ht="15.75" customHeight="1">
      <c r="A57" s="442"/>
      <c r="B57" s="442"/>
      <c r="C57" s="442"/>
      <c r="D57" s="442"/>
      <c r="E57" s="442"/>
      <c r="F57" s="442"/>
      <c r="G57" s="442"/>
      <c r="H57" s="442"/>
      <c r="I57" s="442"/>
      <c r="J57" s="442"/>
      <c r="K57" s="442"/>
      <c r="L57" s="442"/>
      <c r="M57" s="442"/>
      <c r="N57" s="442"/>
      <c r="O57" s="442"/>
      <c r="P57" s="442"/>
      <c r="Q57" s="442"/>
      <c r="R57" s="455">
        <v>3.0</v>
      </c>
      <c r="S57" s="456" t="s">
        <v>73</v>
      </c>
      <c r="T57" s="456">
        <f>COUNTIFS('KIDS&amp;ADULTS'!$B$1:$B$2007, $S57, 'KIDS&amp;ADULTS'!$AA$1:$AA$2007, T$6,'KIDS&amp;ADULTS'!$N$1:$N$2007,"Đã đóng học phí")
</f>
        <v>0</v>
      </c>
      <c r="U57" s="456">
        <f>COUNTIFS('KIDS&amp;ADULTS'!$B$1:$B$2007, $S57, 'KIDS&amp;ADULTS'!$AA$1:$AA$2007, U$6,'KIDS&amp;ADULTS'!$N$1:$N$2007,"Đã đóng học phí")
</f>
        <v>0</v>
      </c>
      <c r="V57" s="456">
        <f>COUNTIFS('KIDS&amp;ADULTS'!$B$1:$B$2007, $S57, 'KIDS&amp;ADULTS'!$AA$1:$AA$2007, V$6,'KIDS&amp;ADULTS'!$N$1:$N$2007,"Đã đóng học phí")
</f>
        <v>0</v>
      </c>
      <c r="W57" s="456">
        <f>COUNTIFS('KIDS&amp;ADULTS'!$B$1:$B$2007, $S57, 'KIDS&amp;ADULTS'!$AA$1:$AA$2007, W$6,'KIDS&amp;ADULTS'!$N$1:$N$2007,"Đã đóng học phí")
</f>
        <v>0</v>
      </c>
      <c r="X57" s="456">
        <f>COUNTIFS('KIDS&amp;ADULTS'!$B$1:$B$2007, $S57, 'KIDS&amp;ADULTS'!$AA$1:$AA$2007, X$6,'KIDS&amp;ADULTS'!$N$1:$N$2007,"Đã đóng học phí")
</f>
        <v>0</v>
      </c>
      <c r="Y57" s="456">
        <f>COUNTIFS('KIDS&amp;ADULTS'!$B$1:$B$2007, $S57, 'KIDS&amp;ADULTS'!$AA$1:$AA$2007, Y$6,'KIDS&amp;ADULTS'!$N$1:$N$2007,"Đã đóng học phí")
</f>
        <v>1</v>
      </c>
      <c r="Z57" s="456">
        <f>COUNTIFS('KIDS&amp;ADULTS'!$B$1:$B$2007, $S57, 'KIDS&amp;ADULTS'!$AA$1:$AA$2007, Z$6,'KIDS&amp;ADULTS'!$N$1:$N$2007,"Đã đóng học phí")
</f>
        <v>0</v>
      </c>
      <c r="AA57" s="456">
        <f>COUNTIFS('KIDS&amp;ADULTS'!$B$1:$B$2007, $S57, 'KIDS&amp;ADULTS'!$AA$1:$AA$2007, AA$6,'KIDS&amp;ADULTS'!$N$1:$N$2007,"Đã đóng học phí")
</f>
        <v>1</v>
      </c>
      <c r="AB57" s="456">
        <f>COUNTIFS('KIDS&amp;ADULTS'!$B$1:$B$2007, $S57, 'KIDS&amp;ADULTS'!$AA$1:$AA$2007, AB$6,'KIDS&amp;ADULTS'!$N$1:$N$2007,"Đã đóng học phí")
</f>
        <v>0</v>
      </c>
      <c r="AC57" s="456">
        <f>COUNTIFS('KIDS&amp;ADULTS'!$B$1:$B$2007, $S57, 'KIDS&amp;ADULTS'!$AA$1:$AA$2007, AC$6,'KIDS&amp;ADULTS'!$N$1:$N$2007,"Đã đóng học phí")
</f>
        <v>0</v>
      </c>
      <c r="AD57" s="456">
        <f>COUNTIFS('KIDS&amp;ADULTS'!$B$1:$B$2007, $S57, 'KIDS&amp;ADULTS'!$AA$1:$AA$2007, AD$6,'KIDS&amp;ADULTS'!$N$1:$N$2007,"Đã đóng học phí")
</f>
        <v>0</v>
      </c>
      <c r="AE57" s="456">
        <f>COUNTIFS('KIDS&amp;ADULTS'!$B$1:$B$2007, $S57, 'KIDS&amp;ADULTS'!$AA$1:$AA$2007, AE$6,'KIDS&amp;ADULTS'!$N$1:$N$2007,"Đã đóng học phí")
</f>
        <v>0</v>
      </c>
      <c r="AF57" s="498">
        <f t="shared" si="13"/>
        <v>2</v>
      </c>
      <c r="AG57" s="442"/>
      <c r="AH57" s="442"/>
      <c r="AI57" s="442"/>
      <c r="AJ57" s="442"/>
      <c r="AK57" s="442"/>
      <c r="AL57" s="442"/>
      <c r="AM57" s="442"/>
      <c r="AN57" s="442"/>
      <c r="AO57" s="442"/>
      <c r="AP57" s="442"/>
      <c r="AQ57" s="442"/>
      <c r="AR57" s="442"/>
      <c r="AS57" s="442"/>
      <c r="AT57" s="442"/>
      <c r="AU57" s="442"/>
      <c r="AV57" s="442"/>
    </row>
    <row r="58" ht="15.75" customHeight="1">
      <c r="A58" s="442"/>
      <c r="B58" s="442"/>
      <c r="C58" s="442"/>
      <c r="D58" s="442"/>
      <c r="E58" s="442"/>
      <c r="F58" s="442"/>
      <c r="G58" s="442"/>
      <c r="H58" s="442"/>
      <c r="I58" s="442"/>
      <c r="J58" s="442"/>
      <c r="K58" s="442"/>
      <c r="L58" s="442"/>
      <c r="M58" s="442"/>
      <c r="N58" s="442"/>
      <c r="O58" s="442"/>
      <c r="P58" s="442"/>
      <c r="Q58" s="442"/>
      <c r="R58" s="455">
        <v>4.0</v>
      </c>
      <c r="S58" s="456" t="s">
        <v>201</v>
      </c>
      <c r="T58" s="456">
        <f>COUNTIFS('KIDS&amp;ADULTS'!$B$1:$B$2007, $S58, 'KIDS&amp;ADULTS'!$AA$1:$AA$2007, T$6,'KIDS&amp;ADULTS'!$N$1:$N$2007,"Đã đóng học phí")
</f>
        <v>0</v>
      </c>
      <c r="U58" s="456">
        <f>COUNTIFS('KIDS&amp;ADULTS'!$B$1:$B$2007, $S58, 'KIDS&amp;ADULTS'!$AA$1:$AA$2007, U$6,'KIDS&amp;ADULTS'!$N$1:$N$2007,"Đã đóng học phí")
</f>
        <v>0</v>
      </c>
      <c r="V58" s="456">
        <f>COUNTIFS('KIDS&amp;ADULTS'!$B$1:$B$2007, $S58, 'KIDS&amp;ADULTS'!$AA$1:$AA$2007, V$6,'KIDS&amp;ADULTS'!$N$1:$N$2007,"Đã đóng học phí")
</f>
        <v>0</v>
      </c>
      <c r="W58" s="456">
        <f>COUNTIFS('KIDS&amp;ADULTS'!$B$1:$B$2007, $S58, 'KIDS&amp;ADULTS'!$AA$1:$AA$2007, W$6,'KIDS&amp;ADULTS'!$N$1:$N$2007,"Đã đóng học phí")
</f>
        <v>0</v>
      </c>
      <c r="X58" s="456">
        <f>COUNTIFS('KIDS&amp;ADULTS'!$B$1:$B$2007, $S58, 'KIDS&amp;ADULTS'!$AA$1:$AA$2007, X$6,'KIDS&amp;ADULTS'!$N$1:$N$2007,"Đã đóng học phí")
</f>
        <v>1</v>
      </c>
      <c r="Y58" s="456">
        <f>COUNTIFS('KIDS&amp;ADULTS'!$B$1:$B$2007, $S58, 'KIDS&amp;ADULTS'!$AA$1:$AA$2007, Y$6,'KIDS&amp;ADULTS'!$N$1:$N$2007,"Đã đóng học phí")
</f>
        <v>12</v>
      </c>
      <c r="Z58" s="456">
        <f>COUNTIFS('KIDS&amp;ADULTS'!$B$1:$B$2007, $S58, 'KIDS&amp;ADULTS'!$AA$1:$AA$2007, Z$6,'KIDS&amp;ADULTS'!$N$1:$N$2007,"Đã đóng học phí")
</f>
        <v>12</v>
      </c>
      <c r="AA58" s="456">
        <f>COUNTIFS('KIDS&amp;ADULTS'!$B$1:$B$2007, $S58, 'KIDS&amp;ADULTS'!$AA$1:$AA$2007, AA$6,'KIDS&amp;ADULTS'!$N$1:$N$2007,"Đã đóng học phí")
</f>
        <v>7</v>
      </c>
      <c r="AB58" s="456">
        <f>COUNTIFS('KIDS&amp;ADULTS'!$B$1:$B$2007, $S58, 'KIDS&amp;ADULTS'!$AA$1:$AA$2007, AB$6,'KIDS&amp;ADULTS'!$N$1:$N$2007,"Đã đóng học phí")
</f>
        <v>3</v>
      </c>
      <c r="AC58" s="456">
        <f>COUNTIFS('KIDS&amp;ADULTS'!$B$1:$B$2007, $S58, 'KIDS&amp;ADULTS'!$AA$1:$AA$2007, AC$6,'KIDS&amp;ADULTS'!$N$1:$N$2007,"Đã đóng học phí")
</f>
        <v>4</v>
      </c>
      <c r="AD58" s="456">
        <f>COUNTIFS('KIDS&amp;ADULTS'!$B$1:$B$2007, $S58, 'KIDS&amp;ADULTS'!$AA$1:$AA$2007, AD$6,'KIDS&amp;ADULTS'!$N$1:$N$2007,"Đã đóng học phí")
</f>
        <v>2</v>
      </c>
      <c r="AE58" s="456">
        <f>COUNTIFS('KIDS&amp;ADULTS'!$B$1:$B$2007, $S58, 'KIDS&amp;ADULTS'!$AA$1:$AA$2007, AE$6,'KIDS&amp;ADULTS'!$N$1:$N$2007,"Đã đóng học phí")
</f>
        <v>1</v>
      </c>
      <c r="AF58" s="498">
        <f t="shared" si="13"/>
        <v>42</v>
      </c>
      <c r="AG58" s="442"/>
      <c r="AH58" s="442"/>
      <c r="AI58" s="442"/>
      <c r="AJ58" s="442"/>
      <c r="AK58" s="442"/>
      <c r="AL58" s="442"/>
      <c r="AM58" s="442"/>
      <c r="AN58" s="442"/>
      <c r="AO58" s="442"/>
      <c r="AP58" s="442"/>
      <c r="AQ58" s="442"/>
      <c r="AR58" s="442"/>
      <c r="AS58" s="442"/>
      <c r="AT58" s="442"/>
      <c r="AU58" s="442"/>
      <c r="AV58" s="442"/>
    </row>
    <row r="59" ht="15.75" customHeight="1">
      <c r="A59" s="442"/>
      <c r="B59" s="442"/>
      <c r="C59" s="442"/>
      <c r="D59" s="442"/>
      <c r="E59" s="442"/>
      <c r="F59" s="442"/>
      <c r="G59" s="442"/>
      <c r="H59" s="442"/>
      <c r="I59" s="442"/>
      <c r="J59" s="442"/>
      <c r="K59" s="442"/>
      <c r="L59" s="442"/>
      <c r="M59" s="442"/>
      <c r="N59" s="442"/>
      <c r="O59" s="442"/>
      <c r="P59" s="442"/>
      <c r="Q59" s="442"/>
      <c r="R59" s="455">
        <v>5.0</v>
      </c>
      <c r="S59" s="456" t="s">
        <v>84</v>
      </c>
      <c r="T59" s="456">
        <f>COUNTIFS('KIDS&amp;ADULTS'!$B$1:$B$2007, $S59, 'KIDS&amp;ADULTS'!$AA$1:$AA$2007, T$6,'KIDS&amp;ADULTS'!$N$1:$N$2007,"Đã đóng học phí")
</f>
        <v>0</v>
      </c>
      <c r="U59" s="456">
        <f>COUNTIFS('KIDS&amp;ADULTS'!$B$1:$B$2007, $S59, 'KIDS&amp;ADULTS'!$AA$1:$AA$2007, U$6,'KIDS&amp;ADULTS'!$N$1:$N$2007,"Đã đóng học phí")
</f>
        <v>0</v>
      </c>
      <c r="V59" s="456">
        <f>COUNTIFS('KIDS&amp;ADULTS'!$B$1:$B$2007, $S59, 'KIDS&amp;ADULTS'!$AA$1:$AA$2007, V$6,'KIDS&amp;ADULTS'!$N$1:$N$2007,"Đã đóng học phí")
</f>
        <v>0</v>
      </c>
      <c r="W59" s="456">
        <f>COUNTIFS('KIDS&amp;ADULTS'!$B$1:$B$2007, $S59, 'KIDS&amp;ADULTS'!$AA$1:$AA$2007, W$6,'KIDS&amp;ADULTS'!$N$1:$N$2007,"Đã đóng học phí")
</f>
        <v>0</v>
      </c>
      <c r="X59" s="456">
        <f>COUNTIFS('KIDS&amp;ADULTS'!$B$1:$B$2007, $S59, 'KIDS&amp;ADULTS'!$AA$1:$AA$2007, X$6,'KIDS&amp;ADULTS'!$N$1:$N$2007,"Đã đóng học phí")
</f>
        <v>8</v>
      </c>
      <c r="Y59" s="456">
        <f>COUNTIFS('KIDS&amp;ADULTS'!$B$1:$B$2007, $S59, 'KIDS&amp;ADULTS'!$AA$1:$AA$2007, Y$6,'KIDS&amp;ADULTS'!$N$1:$N$2007,"Đã đóng học phí")
</f>
        <v>14</v>
      </c>
      <c r="Z59" s="456">
        <f>COUNTIFS('KIDS&amp;ADULTS'!$B$1:$B$2007, $S59, 'KIDS&amp;ADULTS'!$AA$1:$AA$2007, Z$6,'KIDS&amp;ADULTS'!$N$1:$N$2007,"Đã đóng học phí")
</f>
        <v>4</v>
      </c>
      <c r="AA59" s="456">
        <f>COUNTIFS('KIDS&amp;ADULTS'!$B$1:$B$2007, $S59, 'KIDS&amp;ADULTS'!$AA$1:$AA$2007, AA$6,'KIDS&amp;ADULTS'!$N$1:$N$2007,"Đã đóng học phí")
</f>
        <v>1</v>
      </c>
      <c r="AB59" s="456">
        <f>COUNTIFS('KIDS&amp;ADULTS'!$B$1:$B$2007, $S59, 'KIDS&amp;ADULTS'!$AA$1:$AA$2007, AB$6,'KIDS&amp;ADULTS'!$N$1:$N$2007,"Đã đóng học phí")
</f>
        <v>2</v>
      </c>
      <c r="AC59" s="456">
        <f>COUNTIFS('KIDS&amp;ADULTS'!$B$1:$B$2007, $S59, 'KIDS&amp;ADULTS'!$AA$1:$AA$2007, AC$6,'KIDS&amp;ADULTS'!$N$1:$N$2007,"Đã đóng học phí")
</f>
        <v>3</v>
      </c>
      <c r="AD59" s="456">
        <f>COUNTIFS('KIDS&amp;ADULTS'!$B$1:$B$2007, $S59, 'KIDS&amp;ADULTS'!$AA$1:$AA$2007, AD$6,'KIDS&amp;ADULTS'!$N$1:$N$2007,"Đã đóng học phí")
</f>
        <v>1</v>
      </c>
      <c r="AE59" s="456">
        <f>COUNTIFS('KIDS&amp;ADULTS'!$B$1:$B$2007, $S59, 'KIDS&amp;ADULTS'!$AA$1:$AA$2007, AE$6,'KIDS&amp;ADULTS'!$N$1:$N$2007,"Đã đóng học phí")
</f>
        <v>1</v>
      </c>
      <c r="AF59" s="498">
        <f t="shared" si="13"/>
        <v>34</v>
      </c>
      <c r="AG59" s="442"/>
      <c r="AH59" s="442"/>
      <c r="AI59" s="442"/>
      <c r="AJ59" s="442"/>
      <c r="AK59" s="442"/>
      <c r="AL59" s="442"/>
      <c r="AM59" s="442"/>
      <c r="AN59" s="442"/>
      <c r="AO59" s="442"/>
      <c r="AP59" s="442"/>
      <c r="AQ59" s="442"/>
      <c r="AR59" s="442"/>
      <c r="AS59" s="442"/>
      <c r="AT59" s="442"/>
      <c r="AU59" s="442"/>
      <c r="AV59" s="442"/>
    </row>
    <row r="60" ht="15.75" customHeight="1">
      <c r="A60" s="442"/>
      <c r="B60" s="442"/>
      <c r="C60" s="442"/>
      <c r="D60" s="442"/>
      <c r="E60" s="442"/>
      <c r="F60" s="442"/>
      <c r="G60" s="442"/>
      <c r="H60" s="442"/>
      <c r="I60" s="442"/>
      <c r="J60" s="442"/>
      <c r="K60" s="442"/>
      <c r="L60" s="442"/>
      <c r="M60" s="442"/>
      <c r="N60" s="442"/>
      <c r="O60" s="442"/>
      <c r="P60" s="442"/>
      <c r="Q60" s="442"/>
      <c r="R60" s="455">
        <v>6.0</v>
      </c>
      <c r="S60" s="456" t="s">
        <v>703</v>
      </c>
      <c r="T60" s="456">
        <f>COUNTIFS('KIDS&amp;ADULTS'!$B$1:$B$2007, $S60, 'KIDS&amp;ADULTS'!$AA$1:$AA$2007, T$6,'KIDS&amp;ADULTS'!$N$1:$N$2007,"Đã đóng học phí")
</f>
        <v>0</v>
      </c>
      <c r="U60" s="456">
        <f>COUNTIFS('KIDS&amp;ADULTS'!$B$1:$B$2007, $S60, 'KIDS&amp;ADULTS'!$AA$1:$AA$2007, U$6,'KIDS&amp;ADULTS'!$N$1:$N$2007,"Đã đóng học phí")
</f>
        <v>0</v>
      </c>
      <c r="V60" s="456">
        <f>COUNTIFS('KIDS&amp;ADULTS'!$B$1:$B$2007, $S60, 'KIDS&amp;ADULTS'!$AA$1:$AA$2007, V$6,'KIDS&amp;ADULTS'!$N$1:$N$2007,"Đã đóng học phí")
</f>
        <v>0</v>
      </c>
      <c r="W60" s="456">
        <f>COUNTIFS('KIDS&amp;ADULTS'!$B$1:$B$2007, $S60, 'KIDS&amp;ADULTS'!$AA$1:$AA$2007, W$6,'KIDS&amp;ADULTS'!$N$1:$N$2007,"Đã đóng học phí")
</f>
        <v>0</v>
      </c>
      <c r="X60" s="456">
        <f>COUNTIFS('KIDS&amp;ADULTS'!$B$1:$B$2007, $S60, 'KIDS&amp;ADULTS'!$AA$1:$AA$2007, X$6,'KIDS&amp;ADULTS'!$N$1:$N$2007,"Đã đóng học phí")
</f>
        <v>0</v>
      </c>
      <c r="Y60" s="456">
        <f>COUNTIFS('KIDS&amp;ADULTS'!$B$1:$B$2007, $S60, 'KIDS&amp;ADULTS'!$AA$1:$AA$2007, Y$6,'KIDS&amp;ADULTS'!$N$1:$N$2007,"Đã đóng học phí")
</f>
        <v>1</v>
      </c>
      <c r="Z60" s="456">
        <f>COUNTIFS('KIDS&amp;ADULTS'!$B$1:$B$2007, $S60, 'KIDS&amp;ADULTS'!$AA$1:$AA$2007, Z$6,'KIDS&amp;ADULTS'!$N$1:$N$2007,"Đã đóng học phí")
</f>
        <v>0</v>
      </c>
      <c r="AA60" s="456">
        <f>COUNTIFS('KIDS&amp;ADULTS'!$B$1:$B$2007, $S60, 'KIDS&amp;ADULTS'!$AA$1:$AA$2007, AA$6,'KIDS&amp;ADULTS'!$N$1:$N$2007,"Đã đóng học phí")
</f>
        <v>0</v>
      </c>
      <c r="AB60" s="456">
        <f>COUNTIFS('KIDS&amp;ADULTS'!$B$1:$B$2007, $S60, 'KIDS&amp;ADULTS'!$AA$1:$AA$2007, AB$6,'KIDS&amp;ADULTS'!$N$1:$N$2007,"Đã đóng học phí")
</f>
        <v>0</v>
      </c>
      <c r="AC60" s="456">
        <f>COUNTIFS('KIDS&amp;ADULTS'!$B$1:$B$2007, $S60, 'KIDS&amp;ADULTS'!$AA$1:$AA$2007, AC$6,'KIDS&amp;ADULTS'!$N$1:$N$2007,"Đã đóng học phí")
</f>
        <v>0</v>
      </c>
      <c r="AD60" s="456">
        <f>COUNTIFS('KIDS&amp;ADULTS'!$B$1:$B$2007, $S60, 'KIDS&amp;ADULTS'!$AA$1:$AA$2007, AD$6,'KIDS&amp;ADULTS'!$N$1:$N$2007,"Đã đóng học phí")
</f>
        <v>0</v>
      </c>
      <c r="AE60" s="456">
        <f>COUNTIFS('KIDS&amp;ADULTS'!$B$1:$B$2007, $S60, 'KIDS&amp;ADULTS'!$AA$1:$AA$2007, AE$6,'KIDS&amp;ADULTS'!$N$1:$N$2007,"Đã đóng học phí")
</f>
        <v>0</v>
      </c>
      <c r="AF60" s="498">
        <f t="shared" si="13"/>
        <v>1</v>
      </c>
      <c r="AG60" s="442"/>
      <c r="AH60" s="442"/>
      <c r="AI60" s="442"/>
      <c r="AJ60" s="442"/>
      <c r="AK60" s="442"/>
      <c r="AL60" s="442"/>
      <c r="AM60" s="442"/>
      <c r="AN60" s="442"/>
      <c r="AO60" s="442"/>
      <c r="AP60" s="442"/>
      <c r="AQ60" s="442"/>
      <c r="AR60" s="442"/>
      <c r="AS60" s="442"/>
      <c r="AT60" s="442"/>
      <c r="AU60" s="442"/>
      <c r="AV60" s="442"/>
    </row>
    <row r="61" ht="15.75" customHeight="1">
      <c r="A61" s="442"/>
      <c r="B61" s="442"/>
      <c r="C61" s="442"/>
      <c r="D61" s="442"/>
      <c r="E61" s="442"/>
      <c r="F61" s="442"/>
      <c r="G61" s="442"/>
      <c r="H61" s="442"/>
      <c r="I61" s="442"/>
      <c r="J61" s="442"/>
      <c r="K61" s="442"/>
      <c r="L61" s="442"/>
      <c r="M61" s="442"/>
      <c r="N61" s="442"/>
      <c r="O61" s="442"/>
      <c r="P61" s="442"/>
      <c r="Q61" s="442"/>
      <c r="R61" s="455">
        <v>7.0</v>
      </c>
      <c r="S61" s="456" t="s">
        <v>60</v>
      </c>
      <c r="T61" s="456">
        <f>COUNTIFS('KIDS&amp;ADULTS'!$B$1:$B$2007, $S61, 'KIDS&amp;ADULTS'!$AA$1:$AA$2007, T$6,'KIDS&amp;ADULTS'!$N$1:$N$2007,"Đã đóng học phí")
</f>
        <v>0</v>
      </c>
      <c r="U61" s="456">
        <f>COUNTIFS('KIDS&amp;ADULTS'!$B$1:$B$2007, $S61, 'KIDS&amp;ADULTS'!$AA$1:$AA$2007, U$6,'KIDS&amp;ADULTS'!$N$1:$N$2007,"Đã đóng học phí")
</f>
        <v>0</v>
      </c>
      <c r="V61" s="456">
        <f>COUNTIFS('KIDS&amp;ADULTS'!$B$1:$B$2007, $S61, 'KIDS&amp;ADULTS'!$AA$1:$AA$2007, V$6,'KIDS&amp;ADULTS'!$N$1:$N$2007,"Đã đóng học phí")
</f>
        <v>0</v>
      </c>
      <c r="W61" s="456">
        <f>COUNTIFS('KIDS&amp;ADULTS'!$B$1:$B$2007, $S61, 'KIDS&amp;ADULTS'!$AA$1:$AA$2007, W$6,'KIDS&amp;ADULTS'!$N$1:$N$2007,"Đã đóng học phí")
</f>
        <v>0</v>
      </c>
      <c r="X61" s="456">
        <f>COUNTIFS('KIDS&amp;ADULTS'!$B$1:$B$2007, $S61, 'KIDS&amp;ADULTS'!$AA$1:$AA$2007, X$6,'KIDS&amp;ADULTS'!$N$1:$N$2007,"Đã đóng học phí")
</f>
        <v>4</v>
      </c>
      <c r="Y61" s="456">
        <f>COUNTIFS('KIDS&amp;ADULTS'!$B$1:$B$2007, $S61, 'KIDS&amp;ADULTS'!$AA$1:$AA$2007, Y$6,'KIDS&amp;ADULTS'!$N$1:$N$2007,"Đã đóng học phí")
</f>
        <v>2</v>
      </c>
      <c r="Z61" s="456">
        <f>COUNTIFS('KIDS&amp;ADULTS'!$B$1:$B$2007, $S61, 'KIDS&amp;ADULTS'!$AA$1:$AA$2007, Z$6,'KIDS&amp;ADULTS'!$N$1:$N$2007,"Đã đóng học phí")
</f>
        <v>5</v>
      </c>
      <c r="AA61" s="456">
        <f>COUNTIFS('KIDS&amp;ADULTS'!$B$1:$B$2007, $S61, 'KIDS&amp;ADULTS'!$AA$1:$AA$2007, AA$6,'KIDS&amp;ADULTS'!$N$1:$N$2007,"Đã đóng học phí")
</f>
        <v>0</v>
      </c>
      <c r="AB61" s="456">
        <f>COUNTIFS('KIDS&amp;ADULTS'!$B$1:$B$2007, $S61, 'KIDS&amp;ADULTS'!$AA$1:$AA$2007, AB$6,'KIDS&amp;ADULTS'!$N$1:$N$2007,"Đã đóng học phí")
</f>
        <v>1</v>
      </c>
      <c r="AC61" s="456">
        <f>COUNTIFS('KIDS&amp;ADULTS'!$B$1:$B$2007, $S61, 'KIDS&amp;ADULTS'!$AA$1:$AA$2007, AC$6,'KIDS&amp;ADULTS'!$N$1:$N$2007,"Đã đóng học phí")
</f>
        <v>0</v>
      </c>
      <c r="AD61" s="456">
        <f>COUNTIFS('KIDS&amp;ADULTS'!$B$1:$B$2007, $S61, 'KIDS&amp;ADULTS'!$AA$1:$AA$2007, AD$6,'KIDS&amp;ADULTS'!$N$1:$N$2007,"Đã đóng học phí")
</f>
        <v>0</v>
      </c>
      <c r="AE61" s="456">
        <f>COUNTIFS('KIDS&amp;ADULTS'!$B$1:$B$2007, $S61, 'KIDS&amp;ADULTS'!$AA$1:$AA$2007, AE$6,'KIDS&amp;ADULTS'!$N$1:$N$2007,"Đã đóng học phí")
</f>
        <v>0</v>
      </c>
      <c r="AF61" s="498">
        <f t="shared" si="13"/>
        <v>12</v>
      </c>
      <c r="AG61" s="442"/>
      <c r="AH61" s="442"/>
      <c r="AI61" s="442"/>
      <c r="AJ61" s="442"/>
      <c r="AK61" s="442"/>
      <c r="AL61" s="442"/>
      <c r="AM61" s="442"/>
      <c r="AN61" s="442"/>
      <c r="AO61" s="442"/>
      <c r="AP61" s="442"/>
      <c r="AQ61" s="442"/>
      <c r="AR61" s="442"/>
      <c r="AS61" s="442"/>
      <c r="AT61" s="442"/>
      <c r="AU61" s="442"/>
      <c r="AV61" s="442"/>
    </row>
    <row r="62" ht="15.75" customHeight="1">
      <c r="A62" s="442"/>
      <c r="B62" s="442"/>
      <c r="C62" s="442"/>
      <c r="D62" s="442"/>
      <c r="E62" s="442"/>
      <c r="F62" s="442"/>
      <c r="G62" s="442"/>
      <c r="H62" s="442"/>
      <c r="I62" s="442"/>
      <c r="J62" s="442"/>
      <c r="K62" s="442"/>
      <c r="L62" s="442"/>
      <c r="M62" s="442"/>
      <c r="N62" s="442"/>
      <c r="O62" s="442"/>
      <c r="P62" s="442"/>
      <c r="Q62" s="442"/>
      <c r="R62" s="455">
        <v>8.0</v>
      </c>
      <c r="S62" s="456" t="s">
        <v>539</v>
      </c>
      <c r="T62" s="456">
        <f>COUNTIFS('KIDS&amp;ADULTS'!$B$1:$B$2007, $S62, 'KIDS&amp;ADULTS'!$AA$1:$AA$2007, T$6,'KIDS&amp;ADULTS'!$N$1:$N$2007,"Đã đóng học phí")
</f>
        <v>0</v>
      </c>
      <c r="U62" s="456">
        <f>COUNTIFS('KIDS&amp;ADULTS'!$B$1:$B$2007, $S62, 'KIDS&amp;ADULTS'!$AA$1:$AA$2007, U$6,'KIDS&amp;ADULTS'!$N$1:$N$2007,"Đã đóng học phí")
</f>
        <v>0</v>
      </c>
      <c r="V62" s="456">
        <f>COUNTIFS('KIDS&amp;ADULTS'!$B$1:$B$2007, $S62, 'KIDS&amp;ADULTS'!$AA$1:$AA$2007, V$6,'KIDS&amp;ADULTS'!$N$1:$N$2007,"Đã đóng học phí")
</f>
        <v>0</v>
      </c>
      <c r="W62" s="456">
        <f>COUNTIFS('KIDS&amp;ADULTS'!$B$1:$B$2007, $S62, 'KIDS&amp;ADULTS'!$AA$1:$AA$2007, W$6,'KIDS&amp;ADULTS'!$N$1:$N$2007,"Đã đóng học phí")
</f>
        <v>0</v>
      </c>
      <c r="X62" s="456">
        <f>COUNTIFS('KIDS&amp;ADULTS'!$B$1:$B$2007, $S62, 'KIDS&amp;ADULTS'!$AA$1:$AA$2007, X$6,'KIDS&amp;ADULTS'!$N$1:$N$2007,"Đã đóng học phí")
</f>
        <v>0</v>
      </c>
      <c r="Y62" s="456">
        <f>COUNTIFS('KIDS&amp;ADULTS'!$B$1:$B$2007, $S62, 'KIDS&amp;ADULTS'!$AA$1:$AA$2007, Y$6,'KIDS&amp;ADULTS'!$N$1:$N$2007,"Đã đóng học phí")
</f>
        <v>0</v>
      </c>
      <c r="Z62" s="456">
        <f>COUNTIFS('KIDS&amp;ADULTS'!$B$1:$B$2007, $S62, 'KIDS&amp;ADULTS'!$AA$1:$AA$2007, Z$6,'KIDS&amp;ADULTS'!$N$1:$N$2007,"Đã đóng học phí")
</f>
        <v>3</v>
      </c>
      <c r="AA62" s="456">
        <f>COUNTIFS('KIDS&amp;ADULTS'!$B$1:$B$2007, $S62, 'KIDS&amp;ADULTS'!$AA$1:$AA$2007, AA$6,'KIDS&amp;ADULTS'!$N$1:$N$2007,"Đã đóng học phí")
</f>
        <v>0</v>
      </c>
      <c r="AB62" s="456">
        <f>COUNTIFS('KIDS&amp;ADULTS'!$B$1:$B$2007, $S62, 'KIDS&amp;ADULTS'!$AA$1:$AA$2007, AB$6,'KIDS&amp;ADULTS'!$N$1:$N$2007,"Đã đóng học phí")
</f>
        <v>0</v>
      </c>
      <c r="AC62" s="456">
        <f>COUNTIFS('KIDS&amp;ADULTS'!$B$1:$B$2007, $S62, 'KIDS&amp;ADULTS'!$AA$1:$AA$2007, AC$6,'KIDS&amp;ADULTS'!$N$1:$N$2007,"Đã đóng học phí")
</f>
        <v>0</v>
      </c>
      <c r="AD62" s="456">
        <f>COUNTIFS('KIDS&amp;ADULTS'!$B$1:$B$2007, $S62, 'KIDS&amp;ADULTS'!$AA$1:$AA$2007, AD$6,'KIDS&amp;ADULTS'!$N$1:$N$2007,"Đã đóng học phí")
</f>
        <v>0</v>
      </c>
      <c r="AE62" s="456">
        <f>COUNTIFS('KIDS&amp;ADULTS'!$B$1:$B$2007, $S62, 'KIDS&amp;ADULTS'!$AA$1:$AA$2007, AE$6,'KIDS&amp;ADULTS'!$N$1:$N$2007,"Đã đóng học phí")
</f>
        <v>0</v>
      </c>
      <c r="AF62" s="498">
        <f t="shared" si="13"/>
        <v>3</v>
      </c>
      <c r="AG62" s="442"/>
      <c r="AH62" s="442"/>
      <c r="AI62" s="442"/>
      <c r="AJ62" s="442"/>
      <c r="AK62" s="442"/>
      <c r="AL62" s="442"/>
      <c r="AM62" s="442"/>
      <c r="AN62" s="442"/>
      <c r="AO62" s="442"/>
      <c r="AP62" s="442"/>
      <c r="AQ62" s="442"/>
      <c r="AR62" s="442"/>
      <c r="AS62" s="442"/>
      <c r="AT62" s="442"/>
      <c r="AU62" s="442"/>
      <c r="AV62" s="442"/>
    </row>
    <row r="63" ht="15.75" customHeight="1">
      <c r="A63" s="442"/>
      <c r="B63" s="442"/>
      <c r="C63" s="442"/>
      <c r="D63" s="442"/>
      <c r="E63" s="442"/>
      <c r="F63" s="442"/>
      <c r="G63" s="442"/>
      <c r="H63" s="442"/>
      <c r="I63" s="442"/>
      <c r="J63" s="442"/>
      <c r="K63" s="442"/>
      <c r="L63" s="442"/>
      <c r="M63" s="442"/>
      <c r="N63" s="442"/>
      <c r="O63" s="442"/>
      <c r="P63" s="442"/>
      <c r="Q63" s="442"/>
      <c r="R63" s="455">
        <v>9.0</v>
      </c>
      <c r="S63" s="456" t="s">
        <v>340</v>
      </c>
      <c r="T63" s="456">
        <f>COUNTIFS('KIDS&amp;ADULTS'!$B$1:$B$2007, $S63, 'KIDS&amp;ADULTS'!$AA$1:$AA$2007, T$6,'KIDS&amp;ADULTS'!$N$1:$N$2007,"Đã đóng học phí")
</f>
        <v>0</v>
      </c>
      <c r="U63" s="456">
        <f>COUNTIFS('KIDS&amp;ADULTS'!$B$1:$B$2007, $S63, 'KIDS&amp;ADULTS'!$AA$1:$AA$2007, U$6,'KIDS&amp;ADULTS'!$N$1:$N$2007,"Đã đóng học phí")
</f>
        <v>0</v>
      </c>
      <c r="V63" s="456">
        <f>COUNTIFS('KIDS&amp;ADULTS'!$B$1:$B$2007, $S63, 'KIDS&amp;ADULTS'!$AA$1:$AA$2007, V$6,'KIDS&amp;ADULTS'!$N$1:$N$2007,"Đã đóng học phí")
</f>
        <v>0</v>
      </c>
      <c r="W63" s="456">
        <f>COUNTIFS('KIDS&amp;ADULTS'!$B$1:$B$2007, $S63, 'KIDS&amp;ADULTS'!$AA$1:$AA$2007, W$6,'KIDS&amp;ADULTS'!$N$1:$N$2007,"Đã đóng học phí")
</f>
        <v>0</v>
      </c>
      <c r="X63" s="456">
        <f>COUNTIFS('KIDS&amp;ADULTS'!$B$1:$B$2007, $S63, 'KIDS&amp;ADULTS'!$AA$1:$AA$2007, X$6,'KIDS&amp;ADULTS'!$N$1:$N$2007,"Đã đóng học phí")
</f>
        <v>0</v>
      </c>
      <c r="Y63" s="456">
        <f>COUNTIFS('KIDS&amp;ADULTS'!$B$1:$B$2007, $S63, 'KIDS&amp;ADULTS'!$AA$1:$AA$2007, Y$6,'KIDS&amp;ADULTS'!$N$1:$N$2007,"Đã đóng học phí")
</f>
        <v>0</v>
      </c>
      <c r="Z63" s="456">
        <f>COUNTIFS('KIDS&amp;ADULTS'!$B$1:$B$2007, $S63, 'KIDS&amp;ADULTS'!$AA$1:$AA$2007, Z$6,'KIDS&amp;ADULTS'!$N$1:$N$2007,"Đã đóng học phí")
</f>
        <v>0</v>
      </c>
      <c r="AA63" s="456">
        <f>COUNTIFS('KIDS&amp;ADULTS'!$B$1:$B$2007, $S63, 'KIDS&amp;ADULTS'!$AA$1:$AA$2007, AA$6,'KIDS&amp;ADULTS'!$N$1:$N$2007,"Đã đóng học phí")
</f>
        <v>0</v>
      </c>
      <c r="AB63" s="456">
        <f>COUNTIFS('KIDS&amp;ADULTS'!$B$1:$B$2007, $S63, 'KIDS&amp;ADULTS'!$AA$1:$AA$2007, AB$6,'KIDS&amp;ADULTS'!$N$1:$N$2007,"Đã đóng học phí")
</f>
        <v>0</v>
      </c>
      <c r="AC63" s="456">
        <f>COUNTIFS('KIDS&amp;ADULTS'!$B$1:$B$2007, $S63, 'KIDS&amp;ADULTS'!$AA$1:$AA$2007, AC$6,'KIDS&amp;ADULTS'!$N$1:$N$2007,"Đã đóng học phí")
</f>
        <v>0</v>
      </c>
      <c r="AD63" s="456">
        <f>COUNTIFS('KIDS&amp;ADULTS'!$B$1:$B$2007, $S63, 'KIDS&amp;ADULTS'!$AA$1:$AA$2007, AD$6,'KIDS&amp;ADULTS'!$N$1:$N$2007,"Đã đóng học phí")
</f>
        <v>0</v>
      </c>
      <c r="AE63" s="456">
        <f>COUNTIFS('KIDS&amp;ADULTS'!$B$1:$B$2007, $S63, 'KIDS&amp;ADULTS'!$AA$1:$AA$2007, AE$6,'KIDS&amp;ADULTS'!$N$1:$N$2007,"Đã đóng học phí")
</f>
        <v>0</v>
      </c>
      <c r="AF63" s="498">
        <f t="shared" si="13"/>
        <v>0</v>
      </c>
      <c r="AG63" s="442"/>
      <c r="AH63" s="442"/>
      <c r="AI63" s="442"/>
      <c r="AJ63" s="442"/>
      <c r="AK63" s="442"/>
      <c r="AL63" s="442"/>
      <c r="AM63" s="442"/>
      <c r="AN63" s="442"/>
      <c r="AO63" s="442"/>
      <c r="AP63" s="442"/>
      <c r="AQ63" s="442"/>
      <c r="AR63" s="442"/>
      <c r="AS63" s="442"/>
      <c r="AT63" s="442"/>
      <c r="AU63" s="442"/>
      <c r="AV63" s="442"/>
    </row>
    <row r="64" ht="15.75" customHeight="1">
      <c r="A64" s="442"/>
      <c r="B64" s="442"/>
      <c r="C64" s="442"/>
      <c r="D64" s="442"/>
      <c r="E64" s="442"/>
      <c r="F64" s="442"/>
      <c r="G64" s="442"/>
      <c r="H64" s="442"/>
      <c r="I64" s="442"/>
      <c r="J64" s="442"/>
      <c r="K64" s="442"/>
      <c r="L64" s="442"/>
      <c r="M64" s="442"/>
      <c r="N64" s="442"/>
      <c r="O64" s="442"/>
      <c r="P64" s="442"/>
      <c r="Q64" s="442"/>
      <c r="R64" s="455">
        <v>10.0</v>
      </c>
      <c r="S64" s="456" t="s">
        <v>1996</v>
      </c>
      <c r="T64" s="456">
        <f>COUNTIFS('KIDS&amp;ADULTS'!$B$1:$B$2007, $S64, 'KIDS&amp;ADULTS'!$AA$1:$AA$2007, T$6,'KIDS&amp;ADULTS'!$N$1:$N$2007,"Đã đóng học phí")
</f>
        <v>0</v>
      </c>
      <c r="U64" s="456">
        <f>COUNTIFS('KIDS&amp;ADULTS'!$B$1:$B$2007, $S64, 'KIDS&amp;ADULTS'!$AA$1:$AA$2007, U$6,'KIDS&amp;ADULTS'!$N$1:$N$2007,"Đã đóng học phí")
</f>
        <v>0</v>
      </c>
      <c r="V64" s="456">
        <f>COUNTIFS('KIDS&amp;ADULTS'!$B$1:$B$2007, $S64, 'KIDS&amp;ADULTS'!$AA$1:$AA$2007, V$6,'KIDS&amp;ADULTS'!$N$1:$N$2007,"Đã đóng học phí")
</f>
        <v>0</v>
      </c>
      <c r="W64" s="456">
        <f>COUNTIFS('KIDS&amp;ADULTS'!$B$1:$B$2007, $S64, 'KIDS&amp;ADULTS'!$AA$1:$AA$2007, W$6,'KIDS&amp;ADULTS'!$N$1:$N$2007,"Đã đóng học phí")
</f>
        <v>0</v>
      </c>
      <c r="X64" s="456">
        <f>COUNTIFS('KIDS&amp;ADULTS'!$B$1:$B$2007, $S64, 'KIDS&amp;ADULTS'!$AA$1:$AA$2007, X$6,'KIDS&amp;ADULTS'!$N$1:$N$2007,"Đã đóng học phí")
</f>
        <v>0</v>
      </c>
      <c r="Y64" s="456">
        <f>COUNTIFS('KIDS&amp;ADULTS'!$B$1:$B$2007, $S64, 'KIDS&amp;ADULTS'!$AA$1:$AA$2007, Y$6,'KIDS&amp;ADULTS'!$N$1:$N$2007,"Đã đóng học phí")
</f>
        <v>0</v>
      </c>
      <c r="Z64" s="456">
        <f>COUNTIFS('KIDS&amp;ADULTS'!$B$1:$B$2007, $S64, 'KIDS&amp;ADULTS'!$AA$1:$AA$2007, Z$6,'KIDS&amp;ADULTS'!$N$1:$N$2007,"Đã đóng học phí")
</f>
        <v>0</v>
      </c>
      <c r="AA64" s="456">
        <f>COUNTIFS('KIDS&amp;ADULTS'!$B$1:$B$2007, $S64, 'KIDS&amp;ADULTS'!$AA$1:$AA$2007, AA$6,'KIDS&amp;ADULTS'!$N$1:$N$2007,"Đã đóng học phí")
</f>
        <v>0</v>
      </c>
      <c r="AB64" s="456">
        <f>COUNTIFS('KIDS&amp;ADULTS'!$B$1:$B$2007, $S64, 'KIDS&amp;ADULTS'!$AA$1:$AA$2007, AB$6,'KIDS&amp;ADULTS'!$N$1:$N$2007,"Đã đóng học phí")
</f>
        <v>0</v>
      </c>
      <c r="AC64" s="456">
        <f>COUNTIFS('KIDS&amp;ADULTS'!$B$1:$B$2007, $S64, 'KIDS&amp;ADULTS'!$AA$1:$AA$2007, AC$6,'KIDS&amp;ADULTS'!$N$1:$N$2007,"Đã đóng học phí")
</f>
        <v>0</v>
      </c>
      <c r="AD64" s="456">
        <f>COUNTIFS('KIDS&amp;ADULTS'!$B$1:$B$2007, $S64, 'KIDS&amp;ADULTS'!$AA$1:$AA$2007, AD$6,'KIDS&amp;ADULTS'!$N$1:$N$2007,"Đã đóng học phí")
</f>
        <v>0</v>
      </c>
      <c r="AE64" s="456">
        <f>COUNTIFS('KIDS&amp;ADULTS'!$B$1:$B$2007, $S64, 'KIDS&amp;ADULTS'!$AA$1:$AA$2007, AE$6,'KIDS&amp;ADULTS'!$N$1:$N$2007,"Đã đóng học phí")
</f>
        <v>0</v>
      </c>
      <c r="AF64" s="498">
        <f t="shared" si="13"/>
        <v>0</v>
      </c>
      <c r="AG64" s="442"/>
      <c r="AH64" s="442"/>
      <c r="AI64" s="442"/>
      <c r="AJ64" s="442"/>
      <c r="AK64" s="442"/>
      <c r="AL64" s="442"/>
      <c r="AM64" s="442"/>
      <c r="AN64" s="442"/>
      <c r="AO64" s="442"/>
      <c r="AP64" s="442"/>
      <c r="AQ64" s="442"/>
      <c r="AR64" s="442"/>
      <c r="AS64" s="442"/>
      <c r="AT64" s="442"/>
      <c r="AU64" s="442"/>
      <c r="AV64" s="442"/>
    </row>
    <row r="65" ht="15.75" customHeight="1">
      <c r="A65" s="442"/>
      <c r="B65" s="442"/>
      <c r="C65" s="442"/>
      <c r="D65" s="442"/>
      <c r="E65" s="442"/>
      <c r="F65" s="442"/>
      <c r="G65" s="442"/>
      <c r="H65" s="442"/>
      <c r="I65" s="442"/>
      <c r="J65" s="442"/>
      <c r="K65" s="442"/>
      <c r="L65" s="442"/>
      <c r="M65" s="442"/>
      <c r="N65" s="442"/>
      <c r="O65" s="442"/>
      <c r="P65" s="442"/>
      <c r="Q65" s="442"/>
      <c r="R65" s="460" t="s">
        <v>4742</v>
      </c>
      <c r="S65" s="461"/>
      <c r="T65" s="462">
        <f t="shared" ref="T65:AF65" si="14">sum(T55:T64)</f>
        <v>0</v>
      </c>
      <c r="U65" s="462">
        <f t="shared" si="14"/>
        <v>0</v>
      </c>
      <c r="V65" s="462">
        <f t="shared" si="14"/>
        <v>0</v>
      </c>
      <c r="W65" s="462">
        <f t="shared" si="14"/>
        <v>0</v>
      </c>
      <c r="X65" s="462">
        <f t="shared" si="14"/>
        <v>13</v>
      </c>
      <c r="Y65" s="462">
        <f t="shared" si="14"/>
        <v>30</v>
      </c>
      <c r="Z65" s="462">
        <f t="shared" si="14"/>
        <v>24</v>
      </c>
      <c r="AA65" s="462">
        <f t="shared" si="14"/>
        <v>9</v>
      </c>
      <c r="AB65" s="462">
        <f t="shared" si="14"/>
        <v>6</v>
      </c>
      <c r="AC65" s="462">
        <f t="shared" si="14"/>
        <v>7</v>
      </c>
      <c r="AD65" s="462">
        <f t="shared" si="14"/>
        <v>3</v>
      </c>
      <c r="AE65" s="462">
        <f t="shared" si="14"/>
        <v>2</v>
      </c>
      <c r="AF65" s="499">
        <f t="shared" si="14"/>
        <v>94</v>
      </c>
      <c r="AG65" s="442"/>
      <c r="AH65" s="442"/>
      <c r="AI65" s="442"/>
      <c r="AJ65" s="442"/>
      <c r="AK65" s="442"/>
      <c r="AL65" s="442"/>
      <c r="AM65" s="442"/>
      <c r="AN65" s="442"/>
      <c r="AO65" s="442"/>
      <c r="AP65" s="442"/>
      <c r="AQ65" s="442"/>
      <c r="AR65" s="442"/>
      <c r="AS65" s="442"/>
      <c r="AT65" s="442"/>
      <c r="AU65" s="442"/>
      <c r="AV65" s="442"/>
    </row>
    <row r="66" ht="15.75" customHeight="1">
      <c r="A66" s="442"/>
      <c r="B66" s="442"/>
      <c r="C66" s="442"/>
      <c r="D66" s="442"/>
      <c r="E66" s="442"/>
      <c r="F66" s="442"/>
      <c r="G66" s="442"/>
      <c r="H66" s="442"/>
      <c r="I66" s="442"/>
      <c r="J66" s="442"/>
      <c r="K66" s="442"/>
      <c r="L66" s="442"/>
      <c r="M66" s="442"/>
      <c r="N66" s="442"/>
      <c r="O66" s="442"/>
      <c r="P66" s="442"/>
      <c r="Q66" s="442"/>
      <c r="R66" s="442"/>
      <c r="S66" s="442"/>
      <c r="T66" s="442"/>
      <c r="U66" s="442"/>
      <c r="V66" s="442"/>
      <c r="W66" s="442"/>
      <c r="X66" s="442"/>
      <c r="Y66" s="442"/>
      <c r="Z66" s="442"/>
      <c r="AA66" s="442"/>
      <c r="AB66" s="442"/>
      <c r="AC66" s="442"/>
      <c r="AD66" s="442"/>
      <c r="AE66" s="442"/>
      <c r="AF66" s="442"/>
      <c r="AG66" s="442"/>
      <c r="AH66" s="442"/>
      <c r="AI66" s="442"/>
      <c r="AJ66" s="442"/>
      <c r="AK66" s="442"/>
      <c r="AL66" s="442"/>
      <c r="AM66" s="442"/>
      <c r="AN66" s="442"/>
      <c r="AO66" s="442"/>
      <c r="AP66" s="442"/>
      <c r="AQ66" s="442"/>
      <c r="AR66" s="442"/>
      <c r="AS66" s="442"/>
      <c r="AT66" s="442"/>
      <c r="AU66" s="442"/>
      <c r="AV66" s="442"/>
    </row>
    <row r="67" ht="15.75" customHeight="1">
      <c r="A67" s="442"/>
      <c r="B67" s="442"/>
      <c r="C67" s="442"/>
      <c r="D67" s="442"/>
      <c r="E67" s="442"/>
      <c r="F67" s="442"/>
      <c r="G67" s="442"/>
      <c r="H67" s="442"/>
      <c r="I67" s="442"/>
      <c r="J67" s="442"/>
      <c r="K67" s="442"/>
      <c r="L67" s="442"/>
      <c r="M67" s="442"/>
      <c r="N67" s="442"/>
      <c r="O67" s="442"/>
      <c r="P67" s="442"/>
      <c r="Q67" s="442"/>
      <c r="R67" s="442"/>
      <c r="S67" s="442"/>
      <c r="T67" s="442"/>
      <c r="U67" s="442"/>
      <c r="V67" s="442"/>
      <c r="W67" s="442"/>
      <c r="X67" s="442"/>
      <c r="Y67" s="442"/>
      <c r="Z67" s="442"/>
      <c r="AA67" s="442"/>
      <c r="AB67" s="442"/>
      <c r="AC67" s="442"/>
      <c r="AD67" s="442"/>
      <c r="AE67" s="442"/>
      <c r="AF67" s="442"/>
      <c r="AG67" s="442"/>
      <c r="AH67" s="442"/>
      <c r="AI67" s="442"/>
      <c r="AJ67" s="442"/>
      <c r="AK67" s="442"/>
      <c r="AL67" s="442"/>
      <c r="AM67" s="442"/>
      <c r="AN67" s="442"/>
      <c r="AO67" s="442"/>
      <c r="AP67" s="442"/>
      <c r="AQ67" s="442"/>
      <c r="AR67" s="442"/>
      <c r="AS67" s="442"/>
      <c r="AT67" s="442"/>
      <c r="AU67" s="442"/>
      <c r="AV67" s="442"/>
    </row>
    <row r="68" ht="15.75" customHeight="1">
      <c r="A68" s="442"/>
      <c r="B68" s="442"/>
      <c r="C68" s="442"/>
      <c r="D68" s="442"/>
      <c r="E68" s="442"/>
      <c r="F68" s="442"/>
      <c r="G68" s="442"/>
      <c r="H68" s="442"/>
      <c r="I68" s="442"/>
      <c r="J68" s="442"/>
      <c r="K68" s="442"/>
      <c r="L68" s="442"/>
      <c r="M68" s="442"/>
      <c r="N68" s="442"/>
      <c r="O68" s="442"/>
      <c r="P68" s="442"/>
      <c r="Q68" s="442"/>
      <c r="R68" s="442"/>
      <c r="S68" s="442"/>
      <c r="T68" s="442"/>
      <c r="U68" s="442"/>
      <c r="V68" s="442"/>
      <c r="W68" s="442"/>
      <c r="X68" s="442"/>
      <c r="Y68" s="442"/>
      <c r="Z68" s="442"/>
      <c r="AA68" s="442"/>
      <c r="AB68" s="442"/>
      <c r="AC68" s="442"/>
      <c r="AD68" s="442"/>
      <c r="AE68" s="442"/>
      <c r="AF68" s="442"/>
      <c r="AG68" s="442"/>
      <c r="AH68" s="442"/>
      <c r="AI68" s="442"/>
      <c r="AJ68" s="442"/>
      <c r="AK68" s="442"/>
      <c r="AL68" s="442"/>
      <c r="AM68" s="442"/>
      <c r="AN68" s="442"/>
      <c r="AO68" s="442"/>
      <c r="AP68" s="442"/>
      <c r="AQ68" s="442"/>
      <c r="AR68" s="442"/>
      <c r="AS68" s="442"/>
      <c r="AT68" s="442"/>
      <c r="AU68" s="442"/>
      <c r="AV68" s="442"/>
    </row>
    <row r="69" ht="15.75" customHeight="1">
      <c r="A69" s="442"/>
      <c r="B69" s="442"/>
      <c r="C69" s="442"/>
      <c r="D69" s="442"/>
      <c r="E69" s="442"/>
      <c r="F69" s="442"/>
      <c r="G69" s="442"/>
      <c r="H69" s="442"/>
      <c r="I69" s="442"/>
      <c r="J69" s="442"/>
      <c r="K69" s="442"/>
      <c r="L69" s="442"/>
      <c r="M69" s="442"/>
      <c r="N69" s="442"/>
      <c r="O69" s="442"/>
      <c r="P69" s="442"/>
      <c r="Q69" s="442"/>
      <c r="R69" s="442"/>
      <c r="S69" s="442"/>
      <c r="T69" s="442"/>
      <c r="U69" s="442"/>
      <c r="V69" s="442"/>
      <c r="W69" s="442"/>
      <c r="X69" s="442"/>
      <c r="Y69" s="442"/>
      <c r="Z69" s="442"/>
      <c r="AA69" s="442"/>
      <c r="AB69" s="442"/>
      <c r="AC69" s="442"/>
      <c r="AD69" s="442"/>
      <c r="AE69" s="442"/>
      <c r="AF69" s="442"/>
      <c r="AG69" s="442"/>
      <c r="AH69" s="442"/>
      <c r="AI69" s="442"/>
      <c r="AJ69" s="442"/>
      <c r="AK69" s="442"/>
      <c r="AL69" s="442"/>
      <c r="AM69" s="442"/>
      <c r="AN69" s="442"/>
      <c r="AO69" s="442"/>
      <c r="AP69" s="442"/>
      <c r="AQ69" s="442"/>
      <c r="AR69" s="442"/>
      <c r="AS69" s="442"/>
      <c r="AT69" s="442"/>
      <c r="AU69" s="442"/>
      <c r="AV69" s="442"/>
    </row>
    <row r="70" ht="15.75" customHeight="1">
      <c r="A70" s="442"/>
      <c r="B70" s="442"/>
      <c r="C70" s="442"/>
      <c r="D70" s="442"/>
      <c r="E70" s="442"/>
      <c r="F70" s="442"/>
      <c r="G70" s="442"/>
      <c r="H70" s="442"/>
      <c r="I70" s="442"/>
      <c r="J70" s="442"/>
      <c r="K70" s="442"/>
      <c r="L70" s="442"/>
      <c r="M70" s="442"/>
      <c r="N70" s="442"/>
      <c r="O70" s="442"/>
      <c r="P70" s="442"/>
      <c r="Q70" s="442"/>
      <c r="R70" s="442"/>
      <c r="S70" s="442"/>
      <c r="T70" s="442"/>
      <c r="U70" s="442"/>
      <c r="V70" s="442"/>
      <c r="W70" s="442"/>
      <c r="X70" s="442"/>
      <c r="Y70" s="442"/>
      <c r="Z70" s="442"/>
      <c r="AA70" s="442"/>
      <c r="AB70" s="442"/>
      <c r="AC70" s="442"/>
      <c r="AD70" s="442"/>
      <c r="AE70" s="442"/>
      <c r="AF70" s="442"/>
      <c r="AG70" s="442"/>
      <c r="AH70" s="442"/>
      <c r="AI70" s="442"/>
      <c r="AJ70" s="442"/>
      <c r="AK70" s="442"/>
      <c r="AL70" s="442"/>
      <c r="AM70" s="442"/>
      <c r="AN70" s="442"/>
      <c r="AO70" s="442"/>
      <c r="AP70" s="442"/>
      <c r="AQ70" s="442"/>
      <c r="AR70" s="442"/>
      <c r="AS70" s="442"/>
      <c r="AT70" s="442"/>
      <c r="AU70" s="442"/>
      <c r="AV70" s="442"/>
    </row>
    <row r="71" ht="15.75" customHeight="1">
      <c r="A71" s="442"/>
      <c r="B71" s="442"/>
      <c r="C71" s="442"/>
      <c r="D71" s="442"/>
      <c r="E71" s="442"/>
      <c r="F71" s="442"/>
      <c r="G71" s="442"/>
      <c r="H71" s="442"/>
      <c r="I71" s="442"/>
      <c r="J71" s="442"/>
      <c r="K71" s="442"/>
      <c r="L71" s="442"/>
      <c r="M71" s="442"/>
      <c r="N71" s="442"/>
      <c r="O71" s="442"/>
      <c r="P71" s="442"/>
      <c r="Q71" s="442"/>
      <c r="R71" s="442"/>
      <c r="S71" s="442"/>
      <c r="T71" s="442"/>
      <c r="U71" s="442"/>
      <c r="V71" s="442"/>
      <c r="W71" s="442"/>
      <c r="X71" s="442"/>
      <c r="Y71" s="442"/>
      <c r="Z71" s="442"/>
      <c r="AA71" s="442"/>
      <c r="AB71" s="442"/>
      <c r="AC71" s="442"/>
      <c r="AD71" s="442"/>
      <c r="AE71" s="442"/>
      <c r="AF71" s="442"/>
      <c r="AG71" s="442"/>
      <c r="AH71" s="442"/>
      <c r="AI71" s="442"/>
      <c r="AJ71" s="442"/>
      <c r="AK71" s="442"/>
      <c r="AL71" s="442"/>
      <c r="AM71" s="442"/>
      <c r="AN71" s="442"/>
      <c r="AO71" s="442"/>
      <c r="AP71" s="442"/>
      <c r="AQ71" s="442"/>
      <c r="AR71" s="442"/>
      <c r="AS71" s="442"/>
      <c r="AT71" s="442"/>
      <c r="AU71" s="442"/>
      <c r="AV71" s="442"/>
    </row>
    <row r="72" ht="15.75" customHeight="1">
      <c r="A72" s="442"/>
      <c r="B72" s="442"/>
      <c r="C72" s="442"/>
      <c r="D72" s="442"/>
      <c r="E72" s="442"/>
      <c r="F72" s="442"/>
      <c r="G72" s="442"/>
      <c r="H72" s="442"/>
      <c r="I72" s="442"/>
      <c r="J72" s="442"/>
      <c r="K72" s="442"/>
      <c r="L72" s="442"/>
      <c r="M72" s="442"/>
      <c r="N72" s="442"/>
      <c r="O72" s="442"/>
      <c r="P72" s="442"/>
      <c r="Q72" s="442"/>
      <c r="R72" s="442"/>
      <c r="S72" s="442"/>
      <c r="T72" s="442"/>
      <c r="U72" s="442"/>
      <c r="V72" s="442"/>
      <c r="W72" s="442"/>
      <c r="X72" s="442"/>
      <c r="Y72" s="442"/>
      <c r="Z72" s="442"/>
      <c r="AA72" s="442"/>
      <c r="AB72" s="442"/>
      <c r="AC72" s="442"/>
      <c r="AD72" s="442"/>
      <c r="AE72" s="442"/>
      <c r="AF72" s="442"/>
      <c r="AG72" s="442"/>
      <c r="AH72" s="442"/>
      <c r="AI72" s="442"/>
      <c r="AJ72" s="442"/>
      <c r="AK72" s="442"/>
      <c r="AL72" s="442"/>
      <c r="AM72" s="442"/>
      <c r="AN72" s="442"/>
      <c r="AO72" s="442"/>
      <c r="AP72" s="442"/>
      <c r="AQ72" s="442"/>
      <c r="AR72" s="442"/>
      <c r="AS72" s="442"/>
      <c r="AT72" s="442"/>
      <c r="AU72" s="442"/>
      <c r="AV72" s="442"/>
    </row>
    <row r="73" ht="15.75" customHeight="1">
      <c r="A73" s="442"/>
      <c r="B73" s="442"/>
      <c r="C73" s="442"/>
      <c r="D73" s="442"/>
      <c r="E73" s="442"/>
      <c r="F73" s="442"/>
      <c r="G73" s="442"/>
      <c r="H73" s="442"/>
      <c r="I73" s="442"/>
      <c r="J73" s="442"/>
      <c r="K73" s="442"/>
      <c r="L73" s="442"/>
      <c r="M73" s="442"/>
      <c r="N73" s="442"/>
      <c r="O73" s="442"/>
      <c r="P73" s="442"/>
      <c r="Q73" s="442"/>
      <c r="R73" s="442"/>
      <c r="S73" s="442"/>
      <c r="T73" s="442"/>
      <c r="U73" s="442"/>
      <c r="V73" s="442"/>
      <c r="W73" s="442"/>
      <c r="X73" s="442"/>
      <c r="Y73" s="442"/>
      <c r="Z73" s="442"/>
      <c r="AA73" s="442"/>
      <c r="AB73" s="442"/>
      <c r="AC73" s="442"/>
      <c r="AD73" s="442"/>
      <c r="AE73" s="442"/>
      <c r="AF73" s="442"/>
      <c r="AG73" s="442"/>
      <c r="AH73" s="442"/>
      <c r="AI73" s="442"/>
      <c r="AJ73" s="442"/>
      <c r="AK73" s="442"/>
      <c r="AL73" s="442"/>
      <c r="AM73" s="442"/>
      <c r="AN73" s="442"/>
      <c r="AO73" s="442"/>
      <c r="AP73" s="442"/>
      <c r="AQ73" s="442"/>
      <c r="AR73" s="442"/>
      <c r="AS73" s="442"/>
      <c r="AT73" s="442"/>
      <c r="AU73" s="442"/>
      <c r="AV73" s="442"/>
    </row>
    <row r="74" ht="15.75" customHeight="1">
      <c r="A74" s="442"/>
      <c r="B74" s="442"/>
      <c r="C74" s="442"/>
      <c r="D74" s="442"/>
      <c r="E74" s="442"/>
      <c r="F74" s="442"/>
      <c r="G74" s="442"/>
      <c r="H74" s="442"/>
      <c r="I74" s="442"/>
      <c r="J74" s="442"/>
      <c r="K74" s="442"/>
      <c r="L74" s="442"/>
      <c r="M74" s="442"/>
      <c r="N74" s="442"/>
      <c r="O74" s="442"/>
      <c r="P74" s="442"/>
      <c r="Q74" s="442"/>
      <c r="R74" s="442"/>
      <c r="S74" s="442"/>
      <c r="T74" s="442"/>
      <c r="U74" s="442"/>
      <c r="V74" s="442"/>
      <c r="W74" s="442"/>
      <c r="X74" s="442"/>
      <c r="Y74" s="442"/>
      <c r="Z74" s="442"/>
      <c r="AA74" s="442"/>
      <c r="AB74" s="442"/>
      <c r="AC74" s="442"/>
      <c r="AD74" s="442"/>
      <c r="AE74" s="442"/>
      <c r="AF74" s="442"/>
      <c r="AG74" s="442"/>
      <c r="AH74" s="442"/>
      <c r="AI74" s="442"/>
      <c r="AJ74" s="442"/>
      <c r="AK74" s="442"/>
      <c r="AL74" s="442"/>
      <c r="AM74" s="442"/>
      <c r="AN74" s="442"/>
      <c r="AO74" s="442"/>
      <c r="AP74" s="442"/>
      <c r="AQ74" s="442"/>
      <c r="AR74" s="442"/>
      <c r="AS74" s="442"/>
      <c r="AT74" s="442"/>
      <c r="AU74" s="442"/>
      <c r="AV74" s="442"/>
    </row>
    <row r="75" ht="15.75" customHeight="1">
      <c r="A75" s="442"/>
      <c r="B75" s="442"/>
      <c r="C75" s="442"/>
      <c r="D75" s="442"/>
      <c r="E75" s="442"/>
      <c r="F75" s="442"/>
      <c r="G75" s="442"/>
      <c r="H75" s="442"/>
      <c r="I75" s="442"/>
      <c r="J75" s="442"/>
      <c r="K75" s="442"/>
      <c r="L75" s="442"/>
      <c r="M75" s="442"/>
      <c r="N75" s="442"/>
      <c r="O75" s="442"/>
      <c r="P75" s="442"/>
      <c r="Q75" s="442"/>
      <c r="R75" s="442"/>
      <c r="S75" s="442"/>
      <c r="T75" s="442"/>
      <c r="U75" s="442"/>
      <c r="V75" s="442"/>
      <c r="W75" s="442"/>
      <c r="X75" s="442"/>
      <c r="Y75" s="442"/>
      <c r="Z75" s="442"/>
      <c r="AA75" s="442"/>
      <c r="AB75" s="442"/>
      <c r="AC75" s="442"/>
      <c r="AD75" s="442"/>
      <c r="AE75" s="442"/>
      <c r="AF75" s="442"/>
      <c r="AG75" s="442"/>
      <c r="AH75" s="442"/>
      <c r="AI75" s="442"/>
      <c r="AJ75" s="442"/>
      <c r="AK75" s="442"/>
      <c r="AL75" s="442"/>
      <c r="AM75" s="442"/>
      <c r="AN75" s="442"/>
      <c r="AO75" s="442"/>
      <c r="AP75" s="442"/>
      <c r="AQ75" s="442"/>
      <c r="AR75" s="442"/>
      <c r="AS75" s="442"/>
      <c r="AT75" s="442"/>
      <c r="AU75" s="442"/>
      <c r="AV75" s="442"/>
    </row>
    <row r="76" ht="15.75" customHeight="1">
      <c r="A76" s="442"/>
      <c r="B76" s="442"/>
      <c r="C76" s="442"/>
      <c r="D76" s="442"/>
      <c r="E76" s="442"/>
      <c r="F76" s="442"/>
      <c r="G76" s="442"/>
      <c r="H76" s="442"/>
      <c r="I76" s="442"/>
      <c r="J76" s="442"/>
      <c r="K76" s="442"/>
      <c r="L76" s="442"/>
      <c r="M76" s="442"/>
      <c r="N76" s="442"/>
      <c r="O76" s="442"/>
      <c r="P76" s="442"/>
      <c r="Q76" s="442"/>
      <c r="R76" s="442"/>
      <c r="S76" s="442"/>
      <c r="T76" s="442"/>
      <c r="U76" s="442"/>
      <c r="V76" s="442"/>
      <c r="W76" s="442"/>
      <c r="X76" s="442"/>
      <c r="Y76" s="442"/>
      <c r="Z76" s="442"/>
      <c r="AA76" s="442"/>
      <c r="AB76" s="442"/>
      <c r="AC76" s="442"/>
      <c r="AD76" s="442"/>
      <c r="AE76" s="442"/>
      <c r="AF76" s="442"/>
      <c r="AG76" s="442"/>
      <c r="AH76" s="442"/>
      <c r="AI76" s="442"/>
      <c r="AJ76" s="442"/>
      <c r="AK76" s="442"/>
      <c r="AL76" s="442"/>
      <c r="AM76" s="442"/>
      <c r="AN76" s="442"/>
      <c r="AO76" s="442"/>
      <c r="AP76" s="442"/>
      <c r="AQ76" s="442"/>
      <c r="AR76" s="442"/>
      <c r="AS76" s="442"/>
      <c r="AT76" s="442"/>
      <c r="AU76" s="442"/>
      <c r="AV76" s="442"/>
    </row>
    <row r="77" ht="15.75" customHeight="1">
      <c r="A77" s="442"/>
      <c r="B77" s="442"/>
      <c r="C77" s="442"/>
      <c r="D77" s="442"/>
      <c r="E77" s="442"/>
      <c r="F77" s="442"/>
      <c r="G77" s="442"/>
      <c r="H77" s="442"/>
      <c r="I77" s="442"/>
      <c r="J77" s="442"/>
      <c r="K77" s="442"/>
      <c r="L77" s="442"/>
      <c r="M77" s="442"/>
      <c r="N77" s="442"/>
      <c r="O77" s="442"/>
      <c r="P77" s="442"/>
      <c r="Q77" s="442"/>
      <c r="R77" s="442"/>
      <c r="S77" s="442"/>
      <c r="T77" s="442"/>
      <c r="U77" s="442"/>
      <c r="V77" s="442"/>
      <c r="W77" s="442"/>
      <c r="X77" s="442"/>
      <c r="Y77" s="442"/>
      <c r="Z77" s="442"/>
      <c r="AA77" s="442"/>
      <c r="AB77" s="442"/>
      <c r="AC77" s="442"/>
      <c r="AD77" s="442"/>
      <c r="AE77" s="442"/>
      <c r="AF77" s="442"/>
      <c r="AG77" s="442"/>
      <c r="AH77" s="442"/>
      <c r="AI77" s="442"/>
      <c r="AJ77" s="442"/>
      <c r="AK77" s="442"/>
      <c r="AL77" s="442"/>
      <c r="AM77" s="442"/>
      <c r="AN77" s="442"/>
      <c r="AO77" s="442"/>
      <c r="AP77" s="442"/>
      <c r="AQ77" s="442"/>
      <c r="AR77" s="442"/>
      <c r="AS77" s="442"/>
      <c r="AT77" s="442"/>
      <c r="AU77" s="442"/>
      <c r="AV77" s="442"/>
    </row>
    <row r="78" ht="15.75" customHeight="1">
      <c r="A78" s="442"/>
      <c r="B78" s="442"/>
      <c r="C78" s="442"/>
      <c r="D78" s="442"/>
      <c r="E78" s="442"/>
      <c r="F78" s="442"/>
      <c r="G78" s="442"/>
      <c r="H78" s="442"/>
      <c r="I78" s="442"/>
      <c r="J78" s="442"/>
      <c r="K78" s="442"/>
      <c r="L78" s="442"/>
      <c r="M78" s="442"/>
      <c r="N78" s="442"/>
      <c r="O78" s="442"/>
      <c r="P78" s="442"/>
      <c r="Q78" s="442"/>
      <c r="R78" s="442"/>
      <c r="S78" s="442"/>
      <c r="T78" s="442"/>
      <c r="U78" s="442"/>
      <c r="V78" s="442"/>
      <c r="W78" s="442"/>
      <c r="X78" s="442"/>
      <c r="Y78" s="442"/>
      <c r="Z78" s="442"/>
      <c r="AA78" s="442"/>
      <c r="AB78" s="442"/>
      <c r="AC78" s="442"/>
      <c r="AD78" s="442"/>
      <c r="AE78" s="442"/>
      <c r="AF78" s="442"/>
      <c r="AG78" s="442"/>
      <c r="AH78" s="442"/>
      <c r="AI78" s="442"/>
      <c r="AJ78" s="442"/>
      <c r="AK78" s="442"/>
      <c r="AL78" s="442"/>
      <c r="AM78" s="442"/>
      <c r="AN78" s="442"/>
      <c r="AO78" s="442"/>
      <c r="AP78" s="442"/>
      <c r="AQ78" s="442"/>
      <c r="AR78" s="442"/>
      <c r="AS78" s="442"/>
      <c r="AT78" s="442"/>
      <c r="AU78" s="442"/>
      <c r="AV78" s="442"/>
    </row>
    <row r="79" ht="15.75" customHeight="1">
      <c r="A79" s="442"/>
      <c r="B79" s="442"/>
      <c r="C79" s="442"/>
      <c r="D79" s="442"/>
      <c r="E79" s="442"/>
      <c r="F79" s="442"/>
      <c r="G79" s="442"/>
      <c r="H79" s="442"/>
      <c r="I79" s="442"/>
      <c r="J79" s="442"/>
      <c r="K79" s="442"/>
      <c r="L79" s="442"/>
      <c r="M79" s="442"/>
      <c r="N79" s="442"/>
      <c r="O79" s="442"/>
      <c r="P79" s="442"/>
      <c r="Q79" s="442"/>
      <c r="R79" s="442"/>
      <c r="S79" s="442"/>
      <c r="T79" s="442"/>
      <c r="U79" s="442"/>
      <c r="V79" s="442"/>
      <c r="W79" s="442"/>
      <c r="X79" s="442"/>
      <c r="Y79" s="442"/>
      <c r="Z79" s="442"/>
      <c r="AA79" s="442"/>
      <c r="AB79" s="442"/>
      <c r="AC79" s="442"/>
      <c r="AD79" s="442"/>
      <c r="AE79" s="442"/>
      <c r="AF79" s="442"/>
      <c r="AG79" s="442"/>
      <c r="AH79" s="442"/>
      <c r="AI79" s="442"/>
      <c r="AJ79" s="442"/>
      <c r="AK79" s="442"/>
      <c r="AL79" s="442"/>
      <c r="AM79" s="442"/>
      <c r="AN79" s="442"/>
      <c r="AO79" s="442"/>
      <c r="AP79" s="442"/>
      <c r="AQ79" s="442"/>
      <c r="AR79" s="442"/>
      <c r="AS79" s="442"/>
      <c r="AT79" s="442"/>
      <c r="AU79" s="442"/>
      <c r="AV79" s="442"/>
    </row>
    <row r="80" ht="15.75" customHeight="1">
      <c r="A80" s="442"/>
      <c r="B80" s="442"/>
      <c r="C80" s="442"/>
      <c r="D80" s="442"/>
      <c r="E80" s="442"/>
      <c r="F80" s="442"/>
      <c r="G80" s="442"/>
      <c r="H80" s="442"/>
      <c r="I80" s="442"/>
      <c r="J80" s="442"/>
      <c r="K80" s="442"/>
      <c r="L80" s="442"/>
      <c r="M80" s="442"/>
      <c r="N80" s="442"/>
      <c r="O80" s="442"/>
      <c r="P80" s="442"/>
      <c r="Q80" s="442"/>
      <c r="R80" s="442"/>
      <c r="S80" s="442"/>
      <c r="T80" s="442"/>
      <c r="U80" s="442"/>
      <c r="V80" s="442"/>
      <c r="W80" s="442"/>
      <c r="X80" s="442"/>
      <c r="Y80" s="442"/>
      <c r="Z80" s="442"/>
      <c r="AA80" s="442"/>
      <c r="AB80" s="442"/>
      <c r="AC80" s="442"/>
      <c r="AD80" s="442"/>
      <c r="AE80" s="442"/>
      <c r="AF80" s="442"/>
      <c r="AG80" s="442"/>
      <c r="AH80" s="442"/>
      <c r="AI80" s="442"/>
      <c r="AJ80" s="442"/>
      <c r="AK80" s="442"/>
      <c r="AL80" s="442"/>
      <c r="AM80" s="442"/>
      <c r="AN80" s="442"/>
      <c r="AO80" s="442"/>
      <c r="AP80" s="442"/>
      <c r="AQ80" s="442"/>
      <c r="AR80" s="442"/>
      <c r="AS80" s="442"/>
      <c r="AT80" s="442"/>
      <c r="AU80" s="442"/>
      <c r="AV80" s="442"/>
    </row>
    <row r="81" ht="15.75" customHeight="1">
      <c r="A81" s="442"/>
      <c r="B81" s="442"/>
      <c r="C81" s="442"/>
      <c r="D81" s="442"/>
      <c r="E81" s="442"/>
      <c r="F81" s="442"/>
      <c r="G81" s="442"/>
      <c r="H81" s="442"/>
      <c r="I81" s="442"/>
      <c r="J81" s="442"/>
      <c r="K81" s="442"/>
      <c r="L81" s="442"/>
      <c r="M81" s="442"/>
      <c r="N81" s="442"/>
      <c r="O81" s="442"/>
      <c r="P81" s="442"/>
      <c r="Q81" s="442"/>
      <c r="R81" s="442"/>
      <c r="S81" s="442"/>
      <c r="T81" s="442"/>
      <c r="U81" s="442"/>
      <c r="V81" s="442"/>
      <c r="W81" s="442"/>
      <c r="X81" s="442"/>
      <c r="Y81" s="442"/>
      <c r="Z81" s="442"/>
      <c r="AA81" s="442"/>
      <c r="AB81" s="442"/>
      <c r="AC81" s="442"/>
      <c r="AD81" s="442"/>
      <c r="AE81" s="442"/>
      <c r="AF81" s="442"/>
      <c r="AG81" s="442"/>
      <c r="AH81" s="442"/>
      <c r="AI81" s="442"/>
      <c r="AJ81" s="442"/>
      <c r="AK81" s="442"/>
      <c r="AL81" s="442"/>
      <c r="AM81" s="442"/>
      <c r="AN81" s="442"/>
      <c r="AO81" s="442"/>
      <c r="AP81" s="442"/>
      <c r="AQ81" s="442"/>
      <c r="AR81" s="442"/>
      <c r="AS81" s="442"/>
      <c r="AT81" s="442"/>
      <c r="AU81" s="442"/>
      <c r="AV81" s="442"/>
    </row>
    <row r="82" ht="15.75" customHeight="1">
      <c r="A82" s="442"/>
      <c r="B82" s="442"/>
      <c r="C82" s="442"/>
      <c r="D82" s="442"/>
      <c r="E82" s="442"/>
      <c r="F82" s="442"/>
      <c r="G82" s="442"/>
      <c r="H82" s="442"/>
      <c r="I82" s="442"/>
      <c r="J82" s="442"/>
      <c r="K82" s="442"/>
      <c r="L82" s="442"/>
      <c r="M82" s="442"/>
      <c r="N82" s="442"/>
      <c r="O82" s="442"/>
      <c r="P82" s="442"/>
      <c r="Q82" s="442"/>
      <c r="R82" s="442"/>
      <c r="S82" s="442"/>
      <c r="T82" s="442"/>
      <c r="U82" s="442"/>
      <c r="V82" s="442"/>
      <c r="W82" s="442"/>
      <c r="X82" s="442"/>
      <c r="Y82" s="442"/>
      <c r="Z82" s="442"/>
      <c r="AA82" s="442"/>
      <c r="AB82" s="442"/>
      <c r="AC82" s="442"/>
      <c r="AD82" s="442"/>
      <c r="AE82" s="442"/>
      <c r="AF82" s="442"/>
      <c r="AG82" s="442"/>
      <c r="AH82" s="442"/>
      <c r="AI82" s="442"/>
      <c r="AJ82" s="442"/>
      <c r="AK82" s="442"/>
      <c r="AL82" s="442"/>
      <c r="AM82" s="442"/>
      <c r="AN82" s="442"/>
      <c r="AO82" s="442"/>
      <c r="AP82" s="442"/>
      <c r="AQ82" s="442"/>
      <c r="AR82" s="442"/>
      <c r="AS82" s="442"/>
      <c r="AT82" s="442"/>
      <c r="AU82" s="442"/>
      <c r="AV82" s="442"/>
    </row>
    <row r="83" ht="15.75" customHeight="1">
      <c r="A83" s="442"/>
      <c r="B83" s="442"/>
      <c r="C83" s="442"/>
      <c r="D83" s="442"/>
      <c r="E83" s="442"/>
      <c r="F83" s="442"/>
      <c r="G83" s="442"/>
      <c r="H83" s="442"/>
      <c r="I83" s="442"/>
      <c r="J83" s="442"/>
      <c r="K83" s="442"/>
      <c r="L83" s="442"/>
      <c r="M83" s="442"/>
      <c r="N83" s="442"/>
      <c r="O83" s="442"/>
      <c r="P83" s="442"/>
      <c r="Q83" s="442"/>
      <c r="R83" s="442"/>
      <c r="S83" s="442"/>
      <c r="T83" s="442"/>
      <c r="U83" s="442"/>
      <c r="V83" s="442"/>
      <c r="W83" s="442"/>
      <c r="X83" s="442"/>
      <c r="Y83" s="442"/>
      <c r="Z83" s="442"/>
      <c r="AA83" s="442"/>
      <c r="AB83" s="442"/>
      <c r="AC83" s="442"/>
      <c r="AD83" s="442"/>
      <c r="AE83" s="442"/>
      <c r="AF83" s="442"/>
      <c r="AG83" s="442"/>
      <c r="AH83" s="442"/>
      <c r="AI83" s="442"/>
      <c r="AJ83" s="442"/>
      <c r="AK83" s="442"/>
      <c r="AL83" s="442"/>
      <c r="AM83" s="442"/>
      <c r="AN83" s="442"/>
      <c r="AO83" s="442"/>
      <c r="AP83" s="442"/>
      <c r="AQ83" s="442"/>
      <c r="AR83" s="442"/>
      <c r="AS83" s="442"/>
      <c r="AT83" s="442"/>
      <c r="AU83" s="442"/>
      <c r="AV83" s="442"/>
    </row>
    <row r="84" ht="15.75" customHeight="1">
      <c r="A84" s="442"/>
      <c r="B84" s="442"/>
      <c r="C84" s="442"/>
      <c r="D84" s="442"/>
      <c r="E84" s="442"/>
      <c r="F84" s="442"/>
      <c r="G84" s="442"/>
      <c r="H84" s="442"/>
      <c r="I84" s="442"/>
      <c r="J84" s="442"/>
      <c r="K84" s="442"/>
      <c r="L84" s="442"/>
      <c r="M84" s="442"/>
      <c r="N84" s="442"/>
      <c r="O84" s="442"/>
      <c r="P84" s="442"/>
      <c r="Q84" s="442"/>
      <c r="R84" s="442"/>
      <c r="S84" s="442"/>
      <c r="T84" s="442"/>
      <c r="U84" s="442"/>
      <c r="V84" s="442"/>
      <c r="W84" s="442"/>
      <c r="X84" s="442"/>
      <c r="Y84" s="442"/>
      <c r="Z84" s="442"/>
      <c r="AA84" s="442"/>
      <c r="AB84" s="442"/>
      <c r="AC84" s="442"/>
      <c r="AD84" s="442"/>
      <c r="AE84" s="442"/>
      <c r="AF84" s="442"/>
      <c r="AG84" s="442"/>
      <c r="AH84" s="442"/>
      <c r="AI84" s="442"/>
      <c r="AJ84" s="442"/>
      <c r="AK84" s="442"/>
      <c r="AL84" s="442"/>
      <c r="AM84" s="442"/>
      <c r="AN84" s="442"/>
      <c r="AO84" s="442"/>
      <c r="AP84" s="442"/>
      <c r="AQ84" s="442"/>
      <c r="AR84" s="442"/>
      <c r="AS84" s="442"/>
      <c r="AT84" s="442"/>
      <c r="AU84" s="442"/>
      <c r="AV84" s="442"/>
    </row>
    <row r="85" ht="15.75" customHeight="1">
      <c r="A85" s="442"/>
      <c r="B85" s="442"/>
      <c r="C85" s="442"/>
      <c r="D85" s="442"/>
      <c r="E85" s="442"/>
      <c r="F85" s="442"/>
      <c r="G85" s="442"/>
      <c r="H85" s="442"/>
      <c r="I85" s="442"/>
      <c r="J85" s="442"/>
      <c r="K85" s="442"/>
      <c r="L85" s="442"/>
      <c r="M85" s="442"/>
      <c r="N85" s="442"/>
      <c r="O85" s="442"/>
      <c r="P85" s="442"/>
      <c r="Q85" s="442"/>
      <c r="R85" s="442"/>
      <c r="S85" s="442"/>
      <c r="T85" s="442"/>
      <c r="U85" s="442"/>
      <c r="V85" s="442"/>
      <c r="W85" s="442"/>
      <c r="X85" s="442"/>
      <c r="Y85" s="442"/>
      <c r="Z85" s="442"/>
      <c r="AA85" s="442"/>
      <c r="AB85" s="442"/>
      <c r="AC85" s="442"/>
      <c r="AD85" s="442"/>
      <c r="AE85" s="442"/>
      <c r="AF85" s="442"/>
      <c r="AG85" s="442"/>
      <c r="AH85" s="442"/>
      <c r="AI85" s="442"/>
      <c r="AJ85" s="442"/>
      <c r="AK85" s="442"/>
      <c r="AL85" s="442"/>
      <c r="AM85" s="442"/>
      <c r="AN85" s="442"/>
      <c r="AO85" s="442"/>
      <c r="AP85" s="442"/>
      <c r="AQ85" s="442"/>
      <c r="AR85" s="442"/>
      <c r="AS85" s="442"/>
      <c r="AT85" s="442"/>
      <c r="AU85" s="442"/>
      <c r="AV85" s="442"/>
    </row>
    <row r="86" ht="15.75" customHeight="1">
      <c r="A86" s="442"/>
      <c r="B86" s="442"/>
      <c r="C86" s="442"/>
      <c r="D86" s="442"/>
      <c r="E86" s="442"/>
      <c r="F86" s="442"/>
      <c r="G86" s="442"/>
      <c r="H86" s="442"/>
      <c r="I86" s="442"/>
      <c r="J86" s="442"/>
      <c r="K86" s="442"/>
      <c r="L86" s="442"/>
      <c r="M86" s="442"/>
      <c r="N86" s="442"/>
      <c r="O86" s="442"/>
      <c r="P86" s="442"/>
      <c r="Q86" s="442"/>
      <c r="R86" s="442"/>
      <c r="S86" s="442"/>
      <c r="T86" s="442"/>
      <c r="U86" s="442"/>
      <c r="V86" s="442"/>
      <c r="W86" s="442"/>
      <c r="X86" s="442"/>
      <c r="Y86" s="442"/>
      <c r="Z86" s="442"/>
      <c r="AA86" s="442"/>
      <c r="AB86" s="442"/>
      <c r="AC86" s="442"/>
      <c r="AD86" s="442"/>
      <c r="AE86" s="442"/>
      <c r="AF86" s="442"/>
      <c r="AG86" s="442"/>
      <c r="AH86" s="442"/>
      <c r="AI86" s="442"/>
      <c r="AJ86" s="442"/>
      <c r="AK86" s="442"/>
      <c r="AL86" s="442"/>
      <c r="AM86" s="442"/>
      <c r="AN86" s="442"/>
      <c r="AO86" s="442"/>
      <c r="AP86" s="442"/>
      <c r="AQ86" s="442"/>
      <c r="AR86" s="442"/>
      <c r="AS86" s="442"/>
      <c r="AT86" s="442"/>
      <c r="AU86" s="442"/>
      <c r="AV86" s="442"/>
    </row>
    <row r="87" ht="15.75" customHeight="1">
      <c r="A87" s="442"/>
      <c r="B87" s="442"/>
      <c r="C87" s="442"/>
      <c r="D87" s="442"/>
      <c r="E87" s="442"/>
      <c r="F87" s="442"/>
      <c r="G87" s="442"/>
      <c r="H87" s="442"/>
      <c r="I87" s="442"/>
      <c r="J87" s="442"/>
      <c r="K87" s="442"/>
      <c r="L87" s="442"/>
      <c r="M87" s="442"/>
      <c r="N87" s="442"/>
      <c r="O87" s="442"/>
      <c r="P87" s="442"/>
      <c r="Q87" s="442"/>
      <c r="R87" s="442"/>
      <c r="S87" s="442"/>
      <c r="T87" s="442"/>
      <c r="U87" s="442"/>
      <c r="V87" s="442"/>
      <c r="W87" s="442"/>
      <c r="X87" s="442"/>
      <c r="Y87" s="442"/>
      <c r="Z87" s="442"/>
      <c r="AA87" s="442"/>
      <c r="AB87" s="442"/>
      <c r="AC87" s="442"/>
      <c r="AD87" s="442"/>
      <c r="AE87" s="442"/>
      <c r="AF87" s="442"/>
      <c r="AG87" s="442"/>
      <c r="AH87" s="442"/>
      <c r="AI87" s="442"/>
      <c r="AJ87" s="442"/>
      <c r="AK87" s="442"/>
      <c r="AL87" s="442"/>
      <c r="AM87" s="442"/>
      <c r="AN87" s="442"/>
      <c r="AO87" s="442"/>
      <c r="AP87" s="442"/>
      <c r="AQ87" s="442"/>
      <c r="AR87" s="442"/>
      <c r="AS87" s="442"/>
      <c r="AT87" s="442"/>
      <c r="AU87" s="442"/>
      <c r="AV87" s="442"/>
    </row>
    <row r="88" ht="15.75" customHeight="1">
      <c r="A88" s="442"/>
      <c r="B88" s="442"/>
      <c r="C88" s="442"/>
      <c r="D88" s="442"/>
      <c r="E88" s="442"/>
      <c r="F88" s="442"/>
      <c r="G88" s="442"/>
      <c r="H88" s="442"/>
      <c r="I88" s="442"/>
      <c r="J88" s="442"/>
      <c r="K88" s="442"/>
      <c r="L88" s="442"/>
      <c r="M88" s="442"/>
      <c r="N88" s="442"/>
      <c r="O88" s="442"/>
      <c r="P88" s="442"/>
      <c r="Q88" s="442"/>
      <c r="R88" s="442"/>
      <c r="S88" s="442"/>
      <c r="T88" s="442"/>
      <c r="U88" s="442"/>
      <c r="V88" s="442"/>
      <c r="W88" s="442"/>
      <c r="X88" s="442"/>
      <c r="Y88" s="442"/>
      <c r="Z88" s="442"/>
      <c r="AA88" s="442"/>
      <c r="AB88" s="442"/>
      <c r="AC88" s="442"/>
      <c r="AD88" s="442"/>
      <c r="AE88" s="442"/>
      <c r="AF88" s="442"/>
      <c r="AG88" s="442"/>
      <c r="AH88" s="442"/>
      <c r="AI88" s="442"/>
      <c r="AJ88" s="442"/>
      <c r="AK88" s="442"/>
      <c r="AL88" s="442"/>
      <c r="AM88" s="442"/>
      <c r="AN88" s="442"/>
      <c r="AO88" s="442"/>
      <c r="AP88" s="442"/>
      <c r="AQ88" s="442"/>
      <c r="AR88" s="442"/>
      <c r="AS88" s="442"/>
      <c r="AT88" s="442"/>
      <c r="AU88" s="442"/>
      <c r="AV88" s="442"/>
    </row>
    <row r="89" ht="15.75" customHeight="1">
      <c r="A89" s="442"/>
      <c r="B89" s="442"/>
      <c r="C89" s="442"/>
      <c r="D89" s="442"/>
      <c r="E89" s="442"/>
      <c r="F89" s="442"/>
      <c r="G89" s="442"/>
      <c r="H89" s="442"/>
      <c r="I89" s="442"/>
      <c r="J89" s="442"/>
      <c r="K89" s="442"/>
      <c r="L89" s="442"/>
      <c r="M89" s="442"/>
      <c r="N89" s="442"/>
      <c r="O89" s="442"/>
      <c r="P89" s="442"/>
      <c r="Q89" s="442"/>
      <c r="R89" s="442"/>
      <c r="S89" s="442"/>
      <c r="T89" s="442"/>
      <c r="U89" s="442"/>
      <c r="V89" s="442"/>
      <c r="W89" s="442"/>
      <c r="X89" s="442"/>
      <c r="Y89" s="442"/>
      <c r="Z89" s="442"/>
      <c r="AA89" s="442"/>
      <c r="AB89" s="442"/>
      <c r="AC89" s="442"/>
      <c r="AD89" s="442"/>
      <c r="AE89" s="442"/>
      <c r="AF89" s="442"/>
      <c r="AG89" s="442"/>
      <c r="AH89" s="442"/>
      <c r="AI89" s="442"/>
      <c r="AJ89" s="442"/>
      <c r="AK89" s="442"/>
      <c r="AL89" s="442"/>
      <c r="AM89" s="442"/>
      <c r="AN89" s="442"/>
      <c r="AO89" s="442"/>
      <c r="AP89" s="442"/>
      <c r="AQ89" s="442"/>
      <c r="AR89" s="442"/>
      <c r="AS89" s="442"/>
      <c r="AT89" s="442"/>
      <c r="AU89" s="442"/>
      <c r="AV89" s="442"/>
    </row>
    <row r="90" ht="15.75" customHeight="1">
      <c r="A90" s="442"/>
      <c r="B90" s="442"/>
      <c r="C90" s="442"/>
      <c r="D90" s="442"/>
      <c r="E90" s="442"/>
      <c r="F90" s="442"/>
      <c r="G90" s="442"/>
      <c r="H90" s="442"/>
      <c r="I90" s="442"/>
      <c r="J90" s="442"/>
      <c r="K90" s="442"/>
      <c r="L90" s="442"/>
      <c r="M90" s="442"/>
      <c r="N90" s="442"/>
      <c r="O90" s="442"/>
      <c r="P90" s="442"/>
      <c r="Q90" s="442"/>
      <c r="R90" s="442"/>
      <c r="S90" s="442"/>
      <c r="T90" s="442"/>
      <c r="U90" s="442"/>
      <c r="V90" s="442"/>
      <c r="W90" s="442"/>
      <c r="X90" s="442"/>
      <c r="Y90" s="442"/>
      <c r="Z90" s="442"/>
      <c r="AA90" s="442"/>
      <c r="AB90" s="442"/>
      <c r="AC90" s="442"/>
      <c r="AD90" s="442"/>
      <c r="AE90" s="442"/>
      <c r="AF90" s="442"/>
      <c r="AG90" s="442"/>
      <c r="AH90" s="442"/>
      <c r="AI90" s="442"/>
      <c r="AJ90" s="442"/>
      <c r="AK90" s="442"/>
      <c r="AL90" s="442"/>
      <c r="AM90" s="442"/>
      <c r="AN90" s="442"/>
      <c r="AO90" s="442"/>
      <c r="AP90" s="442"/>
      <c r="AQ90" s="442"/>
      <c r="AR90" s="442"/>
      <c r="AS90" s="442"/>
      <c r="AT90" s="442"/>
      <c r="AU90" s="442"/>
      <c r="AV90" s="442"/>
    </row>
    <row r="91" ht="15.75" customHeight="1">
      <c r="A91" s="442"/>
      <c r="B91" s="442"/>
      <c r="C91" s="442"/>
      <c r="D91" s="442"/>
      <c r="E91" s="442"/>
      <c r="F91" s="442"/>
      <c r="G91" s="442"/>
      <c r="H91" s="442"/>
      <c r="I91" s="442"/>
      <c r="J91" s="442"/>
      <c r="K91" s="442"/>
      <c r="L91" s="442"/>
      <c r="M91" s="442"/>
      <c r="N91" s="442"/>
      <c r="O91" s="442"/>
      <c r="P91" s="442"/>
      <c r="Q91" s="442"/>
      <c r="R91" s="442"/>
      <c r="S91" s="442"/>
      <c r="T91" s="442"/>
      <c r="U91" s="442"/>
      <c r="V91" s="442"/>
      <c r="W91" s="442"/>
      <c r="X91" s="442"/>
      <c r="Y91" s="442"/>
      <c r="Z91" s="442"/>
      <c r="AA91" s="442"/>
      <c r="AB91" s="442"/>
      <c r="AC91" s="442"/>
      <c r="AD91" s="442"/>
      <c r="AE91" s="442"/>
      <c r="AF91" s="442"/>
      <c r="AG91" s="442"/>
      <c r="AH91" s="442"/>
      <c r="AI91" s="442"/>
      <c r="AJ91" s="442"/>
      <c r="AK91" s="442"/>
      <c r="AL91" s="442"/>
      <c r="AM91" s="442"/>
      <c r="AN91" s="442"/>
      <c r="AO91" s="442"/>
      <c r="AP91" s="442"/>
      <c r="AQ91" s="442"/>
      <c r="AR91" s="442"/>
      <c r="AS91" s="442"/>
      <c r="AT91" s="442"/>
      <c r="AU91" s="442"/>
      <c r="AV91" s="442"/>
    </row>
    <row r="92" ht="15.75" customHeight="1">
      <c r="A92" s="442"/>
      <c r="B92" s="442"/>
      <c r="C92" s="442"/>
      <c r="D92" s="442"/>
      <c r="E92" s="442"/>
      <c r="F92" s="442"/>
      <c r="G92" s="442"/>
      <c r="H92" s="442"/>
      <c r="I92" s="442"/>
      <c r="J92" s="442"/>
      <c r="K92" s="442"/>
      <c r="L92" s="442"/>
      <c r="M92" s="442"/>
      <c r="N92" s="442"/>
      <c r="O92" s="442"/>
      <c r="P92" s="442"/>
      <c r="Q92" s="442"/>
      <c r="R92" s="442"/>
      <c r="S92" s="442"/>
      <c r="T92" s="442"/>
      <c r="U92" s="442"/>
      <c r="V92" s="442"/>
      <c r="W92" s="442"/>
      <c r="X92" s="442"/>
      <c r="Y92" s="442"/>
      <c r="Z92" s="442"/>
      <c r="AA92" s="442"/>
      <c r="AB92" s="442"/>
      <c r="AC92" s="442"/>
      <c r="AD92" s="442"/>
      <c r="AE92" s="442"/>
      <c r="AF92" s="442"/>
      <c r="AG92" s="442"/>
      <c r="AH92" s="442"/>
      <c r="AI92" s="442"/>
      <c r="AJ92" s="442"/>
      <c r="AK92" s="442"/>
      <c r="AL92" s="442"/>
      <c r="AM92" s="442"/>
      <c r="AN92" s="442"/>
      <c r="AO92" s="442"/>
      <c r="AP92" s="442"/>
      <c r="AQ92" s="442"/>
      <c r="AR92" s="442"/>
      <c r="AS92" s="442"/>
      <c r="AT92" s="442"/>
      <c r="AU92" s="442"/>
      <c r="AV92" s="442"/>
    </row>
    <row r="93" ht="15.75" customHeight="1">
      <c r="A93" s="442"/>
      <c r="B93" s="442"/>
      <c r="C93" s="442"/>
      <c r="D93" s="442"/>
      <c r="E93" s="442"/>
      <c r="F93" s="442"/>
      <c r="G93" s="442"/>
      <c r="H93" s="442"/>
      <c r="I93" s="442"/>
      <c r="J93" s="442"/>
      <c r="K93" s="442"/>
      <c r="L93" s="442"/>
      <c r="M93" s="442"/>
      <c r="N93" s="442"/>
      <c r="O93" s="442"/>
      <c r="P93" s="442"/>
      <c r="Q93" s="442"/>
      <c r="R93" s="442"/>
      <c r="S93" s="442"/>
      <c r="T93" s="442"/>
      <c r="U93" s="442"/>
      <c r="V93" s="442"/>
      <c r="W93" s="442"/>
      <c r="X93" s="442"/>
      <c r="Y93" s="442"/>
      <c r="Z93" s="442"/>
      <c r="AA93" s="442"/>
      <c r="AB93" s="442"/>
      <c r="AC93" s="442"/>
      <c r="AD93" s="442"/>
      <c r="AE93" s="442"/>
      <c r="AF93" s="442"/>
      <c r="AG93" s="442"/>
      <c r="AH93" s="442"/>
      <c r="AI93" s="442"/>
      <c r="AJ93" s="442"/>
      <c r="AK93" s="442"/>
      <c r="AL93" s="442"/>
      <c r="AM93" s="442"/>
      <c r="AN93" s="442"/>
      <c r="AO93" s="442"/>
      <c r="AP93" s="442"/>
      <c r="AQ93" s="442"/>
      <c r="AR93" s="442"/>
      <c r="AS93" s="442"/>
      <c r="AT93" s="442"/>
      <c r="AU93" s="442"/>
      <c r="AV93" s="442"/>
    </row>
    <row r="94" ht="15.75" customHeight="1">
      <c r="A94" s="442"/>
      <c r="B94" s="442"/>
      <c r="C94" s="442"/>
      <c r="D94" s="442"/>
      <c r="E94" s="442"/>
      <c r="F94" s="442"/>
      <c r="G94" s="442"/>
      <c r="H94" s="442"/>
      <c r="I94" s="442"/>
      <c r="J94" s="442"/>
      <c r="K94" s="442"/>
      <c r="L94" s="442"/>
      <c r="M94" s="442"/>
      <c r="N94" s="442"/>
      <c r="O94" s="442"/>
      <c r="P94" s="442"/>
      <c r="Q94" s="442"/>
      <c r="R94" s="442"/>
      <c r="S94" s="442"/>
      <c r="T94" s="442"/>
      <c r="U94" s="442"/>
      <c r="V94" s="442"/>
      <c r="W94" s="442"/>
      <c r="X94" s="442"/>
      <c r="Y94" s="442"/>
      <c r="Z94" s="442"/>
      <c r="AA94" s="442"/>
      <c r="AB94" s="442"/>
      <c r="AC94" s="442"/>
      <c r="AD94" s="442"/>
      <c r="AE94" s="442"/>
      <c r="AF94" s="442"/>
      <c r="AG94" s="442"/>
      <c r="AH94" s="442"/>
      <c r="AI94" s="442"/>
      <c r="AJ94" s="442"/>
      <c r="AK94" s="442"/>
      <c r="AL94" s="442"/>
      <c r="AM94" s="442"/>
      <c r="AN94" s="442"/>
      <c r="AO94" s="442"/>
      <c r="AP94" s="442"/>
      <c r="AQ94" s="442"/>
      <c r="AR94" s="442"/>
      <c r="AS94" s="442"/>
      <c r="AT94" s="442"/>
      <c r="AU94" s="442"/>
      <c r="AV94" s="442"/>
    </row>
    <row r="95" ht="15.75" customHeight="1">
      <c r="A95" s="442"/>
      <c r="B95" s="442"/>
      <c r="C95" s="442"/>
      <c r="D95" s="442"/>
      <c r="E95" s="442"/>
      <c r="F95" s="442"/>
      <c r="G95" s="442"/>
      <c r="H95" s="442"/>
      <c r="I95" s="442"/>
      <c r="J95" s="442"/>
      <c r="K95" s="442"/>
      <c r="L95" s="442"/>
      <c r="M95" s="442"/>
      <c r="N95" s="442"/>
      <c r="O95" s="442"/>
      <c r="P95" s="442"/>
      <c r="Q95" s="442"/>
      <c r="R95" s="442"/>
      <c r="S95" s="442"/>
      <c r="T95" s="442"/>
      <c r="U95" s="442"/>
      <c r="V95" s="442"/>
      <c r="W95" s="442"/>
      <c r="X95" s="442"/>
      <c r="Y95" s="442"/>
      <c r="Z95" s="442"/>
      <c r="AA95" s="442"/>
      <c r="AB95" s="442"/>
      <c r="AC95" s="442"/>
      <c r="AD95" s="442"/>
      <c r="AE95" s="442"/>
      <c r="AF95" s="442"/>
      <c r="AG95" s="442"/>
      <c r="AH95" s="442"/>
      <c r="AI95" s="442"/>
      <c r="AJ95" s="442"/>
      <c r="AK95" s="442"/>
      <c r="AL95" s="442"/>
      <c r="AM95" s="442"/>
      <c r="AN95" s="442"/>
      <c r="AO95" s="442"/>
      <c r="AP95" s="442"/>
      <c r="AQ95" s="442"/>
      <c r="AR95" s="442"/>
      <c r="AS95" s="442"/>
      <c r="AT95" s="442"/>
      <c r="AU95" s="442"/>
      <c r="AV95" s="442"/>
    </row>
    <row r="96" ht="15.75" customHeight="1">
      <c r="A96" s="442"/>
      <c r="B96" s="442"/>
      <c r="C96" s="442"/>
      <c r="D96" s="442"/>
      <c r="E96" s="442"/>
      <c r="F96" s="442"/>
      <c r="G96" s="442"/>
      <c r="H96" s="442"/>
      <c r="I96" s="442"/>
      <c r="J96" s="442"/>
      <c r="K96" s="442"/>
      <c r="L96" s="442"/>
      <c r="M96" s="442"/>
      <c r="N96" s="442"/>
      <c r="O96" s="442"/>
      <c r="P96" s="442"/>
      <c r="Q96" s="442"/>
      <c r="R96" s="442"/>
      <c r="S96" s="442"/>
      <c r="T96" s="442"/>
      <c r="U96" s="442"/>
      <c r="V96" s="442"/>
      <c r="W96" s="442"/>
      <c r="X96" s="442"/>
      <c r="Y96" s="442"/>
      <c r="Z96" s="442"/>
      <c r="AA96" s="442"/>
      <c r="AB96" s="442"/>
      <c r="AC96" s="442"/>
      <c r="AD96" s="442"/>
      <c r="AE96" s="442"/>
      <c r="AF96" s="442"/>
      <c r="AG96" s="442"/>
      <c r="AH96" s="442"/>
      <c r="AI96" s="442"/>
      <c r="AJ96" s="442"/>
      <c r="AK96" s="442"/>
      <c r="AL96" s="442"/>
      <c r="AM96" s="442"/>
      <c r="AN96" s="442"/>
      <c r="AO96" s="442"/>
      <c r="AP96" s="442"/>
      <c r="AQ96" s="442"/>
      <c r="AR96" s="442"/>
      <c r="AS96" s="442"/>
      <c r="AT96" s="442"/>
      <c r="AU96" s="442"/>
      <c r="AV96" s="442"/>
    </row>
    <row r="97" ht="15.75" customHeight="1">
      <c r="A97" s="442"/>
      <c r="B97" s="442"/>
      <c r="C97" s="442"/>
      <c r="D97" s="442"/>
      <c r="E97" s="442"/>
      <c r="F97" s="442"/>
      <c r="G97" s="442"/>
      <c r="H97" s="442"/>
      <c r="I97" s="442"/>
      <c r="J97" s="442"/>
      <c r="K97" s="442"/>
      <c r="L97" s="442"/>
      <c r="M97" s="442"/>
      <c r="N97" s="442"/>
      <c r="O97" s="442"/>
      <c r="P97" s="442"/>
      <c r="Q97" s="442"/>
      <c r="R97" s="442"/>
      <c r="S97" s="442"/>
      <c r="T97" s="442"/>
      <c r="U97" s="442"/>
      <c r="V97" s="442"/>
      <c r="W97" s="442"/>
      <c r="X97" s="442"/>
      <c r="Y97" s="442"/>
      <c r="Z97" s="442"/>
      <c r="AA97" s="442"/>
      <c r="AB97" s="442"/>
      <c r="AC97" s="442"/>
      <c r="AD97" s="442"/>
      <c r="AE97" s="442"/>
      <c r="AF97" s="442"/>
      <c r="AG97" s="442"/>
      <c r="AH97" s="442"/>
      <c r="AI97" s="442"/>
      <c r="AJ97" s="442"/>
      <c r="AK97" s="442"/>
      <c r="AL97" s="442"/>
      <c r="AM97" s="442"/>
      <c r="AN97" s="442"/>
      <c r="AO97" s="442"/>
      <c r="AP97" s="442"/>
      <c r="AQ97" s="442"/>
      <c r="AR97" s="442"/>
      <c r="AS97" s="442"/>
      <c r="AT97" s="442"/>
      <c r="AU97" s="442"/>
      <c r="AV97" s="442"/>
    </row>
    <row r="98" ht="15.75" customHeight="1">
      <c r="A98" s="442"/>
      <c r="B98" s="442"/>
      <c r="C98" s="442"/>
      <c r="D98" s="442"/>
      <c r="E98" s="442"/>
      <c r="F98" s="442"/>
      <c r="G98" s="442"/>
      <c r="H98" s="442"/>
      <c r="I98" s="442"/>
      <c r="J98" s="442"/>
      <c r="K98" s="442"/>
      <c r="L98" s="442"/>
      <c r="M98" s="442"/>
      <c r="N98" s="442"/>
      <c r="O98" s="442"/>
      <c r="P98" s="442"/>
      <c r="Q98" s="442"/>
      <c r="R98" s="442"/>
      <c r="S98" s="442"/>
      <c r="T98" s="442"/>
      <c r="U98" s="442"/>
      <c r="V98" s="442"/>
      <c r="W98" s="442"/>
      <c r="X98" s="442"/>
      <c r="Y98" s="442"/>
      <c r="Z98" s="442"/>
      <c r="AA98" s="442"/>
      <c r="AB98" s="442"/>
      <c r="AC98" s="442"/>
      <c r="AD98" s="442"/>
      <c r="AE98" s="442"/>
      <c r="AF98" s="442"/>
      <c r="AG98" s="442"/>
      <c r="AH98" s="442"/>
      <c r="AI98" s="442"/>
      <c r="AJ98" s="442"/>
      <c r="AK98" s="442"/>
      <c r="AL98" s="442"/>
      <c r="AM98" s="442"/>
      <c r="AN98" s="442"/>
      <c r="AO98" s="442"/>
      <c r="AP98" s="442"/>
      <c r="AQ98" s="442"/>
      <c r="AR98" s="442"/>
      <c r="AS98" s="442"/>
      <c r="AT98" s="442"/>
      <c r="AU98" s="442"/>
      <c r="AV98" s="442"/>
    </row>
    <row r="99" ht="15.75" customHeight="1">
      <c r="A99" s="442"/>
      <c r="B99" s="442"/>
      <c r="C99" s="442"/>
      <c r="D99" s="442"/>
      <c r="E99" s="442"/>
      <c r="F99" s="442"/>
      <c r="G99" s="442"/>
      <c r="H99" s="442"/>
      <c r="I99" s="442"/>
      <c r="J99" s="442"/>
      <c r="K99" s="442"/>
      <c r="L99" s="442"/>
      <c r="M99" s="442"/>
      <c r="N99" s="442"/>
      <c r="O99" s="442"/>
      <c r="P99" s="442"/>
      <c r="Q99" s="442"/>
      <c r="R99" s="442"/>
      <c r="S99" s="442"/>
      <c r="T99" s="442"/>
      <c r="U99" s="442"/>
      <c r="V99" s="442"/>
      <c r="W99" s="442"/>
      <c r="X99" s="442"/>
      <c r="Y99" s="442"/>
      <c r="Z99" s="442"/>
      <c r="AA99" s="442"/>
      <c r="AB99" s="442"/>
      <c r="AC99" s="442"/>
      <c r="AD99" s="442"/>
      <c r="AE99" s="442"/>
      <c r="AF99" s="442"/>
      <c r="AG99" s="442"/>
      <c r="AH99" s="442"/>
      <c r="AI99" s="442"/>
      <c r="AJ99" s="442"/>
      <c r="AK99" s="442"/>
      <c r="AL99" s="442"/>
      <c r="AM99" s="442"/>
      <c r="AN99" s="442"/>
      <c r="AO99" s="442"/>
      <c r="AP99" s="442"/>
      <c r="AQ99" s="442"/>
      <c r="AR99" s="442"/>
      <c r="AS99" s="442"/>
      <c r="AT99" s="442"/>
      <c r="AU99" s="442"/>
      <c r="AV99" s="442"/>
    </row>
    <row r="100" ht="15.75" customHeight="1">
      <c r="A100" s="442"/>
      <c r="B100" s="442"/>
      <c r="C100" s="442"/>
      <c r="D100" s="442"/>
      <c r="E100" s="442"/>
      <c r="F100" s="442"/>
      <c r="G100" s="442"/>
      <c r="H100" s="442"/>
      <c r="I100" s="442"/>
      <c r="J100" s="442"/>
      <c r="K100" s="442"/>
      <c r="L100" s="442"/>
      <c r="M100" s="442"/>
      <c r="N100" s="442"/>
      <c r="O100" s="442"/>
      <c r="P100" s="442"/>
      <c r="Q100" s="442"/>
      <c r="R100" s="442"/>
      <c r="S100" s="442"/>
      <c r="T100" s="442"/>
      <c r="U100" s="442"/>
      <c r="V100" s="442"/>
      <c r="W100" s="442"/>
      <c r="X100" s="442"/>
      <c r="Y100" s="442"/>
      <c r="Z100" s="442"/>
      <c r="AA100" s="442"/>
      <c r="AB100" s="442"/>
      <c r="AC100" s="442"/>
      <c r="AD100" s="442"/>
      <c r="AE100" s="442"/>
      <c r="AF100" s="442"/>
      <c r="AG100" s="442"/>
      <c r="AH100" s="442"/>
      <c r="AI100" s="442"/>
      <c r="AJ100" s="442"/>
      <c r="AK100" s="442"/>
      <c r="AL100" s="442"/>
      <c r="AM100" s="442"/>
      <c r="AN100" s="442"/>
      <c r="AO100" s="442"/>
      <c r="AP100" s="442"/>
      <c r="AQ100" s="442"/>
      <c r="AR100" s="442"/>
      <c r="AS100" s="442"/>
      <c r="AT100" s="442"/>
      <c r="AU100" s="442"/>
      <c r="AV100" s="442"/>
    </row>
    <row r="101" ht="15.75" customHeight="1">
      <c r="A101" s="442"/>
      <c r="B101" s="442"/>
      <c r="C101" s="442"/>
      <c r="D101" s="442"/>
      <c r="E101" s="442"/>
      <c r="F101" s="442"/>
      <c r="G101" s="442"/>
      <c r="H101" s="442"/>
      <c r="I101" s="442"/>
      <c r="J101" s="442"/>
      <c r="K101" s="442"/>
      <c r="L101" s="442"/>
      <c r="M101" s="442"/>
      <c r="N101" s="442"/>
      <c r="O101" s="442"/>
      <c r="P101" s="442"/>
      <c r="Q101" s="442"/>
      <c r="R101" s="442"/>
      <c r="S101" s="442"/>
      <c r="T101" s="442"/>
      <c r="U101" s="442"/>
      <c r="V101" s="442"/>
      <c r="W101" s="442"/>
      <c r="X101" s="442"/>
      <c r="Y101" s="442"/>
      <c r="Z101" s="442"/>
      <c r="AA101" s="442"/>
      <c r="AB101" s="442"/>
      <c r="AC101" s="442"/>
      <c r="AD101" s="442"/>
      <c r="AE101" s="442"/>
      <c r="AF101" s="442"/>
      <c r="AG101" s="442"/>
      <c r="AH101" s="442"/>
      <c r="AI101" s="442"/>
      <c r="AJ101" s="442"/>
      <c r="AK101" s="442"/>
      <c r="AL101" s="442"/>
      <c r="AM101" s="442"/>
      <c r="AN101" s="442"/>
      <c r="AO101" s="442"/>
      <c r="AP101" s="442"/>
      <c r="AQ101" s="442"/>
      <c r="AR101" s="442"/>
      <c r="AS101" s="442"/>
      <c r="AT101" s="442"/>
      <c r="AU101" s="442"/>
      <c r="AV101" s="442"/>
    </row>
    <row r="102" ht="15.75" customHeight="1">
      <c r="A102" s="442"/>
      <c r="B102" s="442"/>
      <c r="C102" s="442"/>
      <c r="D102" s="442"/>
      <c r="E102" s="442"/>
      <c r="F102" s="442"/>
      <c r="G102" s="442"/>
      <c r="H102" s="442"/>
      <c r="I102" s="442"/>
      <c r="J102" s="442"/>
      <c r="K102" s="442"/>
      <c r="L102" s="442"/>
      <c r="M102" s="442"/>
      <c r="N102" s="442"/>
      <c r="O102" s="442"/>
      <c r="P102" s="442"/>
      <c r="Q102" s="442"/>
      <c r="R102" s="442"/>
      <c r="S102" s="442"/>
      <c r="T102" s="442"/>
      <c r="U102" s="442"/>
      <c r="V102" s="442"/>
      <c r="W102" s="442"/>
      <c r="X102" s="442"/>
      <c r="Y102" s="442"/>
      <c r="Z102" s="442"/>
      <c r="AA102" s="442"/>
      <c r="AB102" s="442"/>
      <c r="AC102" s="442"/>
      <c r="AD102" s="442"/>
      <c r="AE102" s="442"/>
      <c r="AF102" s="442"/>
      <c r="AG102" s="442"/>
      <c r="AH102" s="442"/>
      <c r="AI102" s="442"/>
      <c r="AJ102" s="442"/>
      <c r="AK102" s="442"/>
      <c r="AL102" s="442"/>
      <c r="AM102" s="442"/>
      <c r="AN102" s="442"/>
      <c r="AO102" s="442"/>
      <c r="AP102" s="442"/>
      <c r="AQ102" s="442"/>
      <c r="AR102" s="442"/>
      <c r="AS102" s="442"/>
      <c r="AT102" s="442"/>
      <c r="AU102" s="442"/>
      <c r="AV102" s="442"/>
    </row>
    <row r="103" ht="15.75" customHeight="1">
      <c r="A103" s="442"/>
      <c r="B103" s="442"/>
      <c r="C103" s="442"/>
      <c r="D103" s="442"/>
      <c r="E103" s="442"/>
      <c r="F103" s="442"/>
      <c r="G103" s="442"/>
      <c r="H103" s="442"/>
      <c r="I103" s="442"/>
      <c r="J103" s="442"/>
      <c r="K103" s="442"/>
      <c r="L103" s="442"/>
      <c r="M103" s="442"/>
      <c r="N103" s="442"/>
      <c r="O103" s="442"/>
      <c r="P103" s="442"/>
      <c r="Q103" s="442"/>
      <c r="R103" s="442"/>
      <c r="S103" s="442"/>
      <c r="T103" s="442"/>
      <c r="U103" s="442"/>
      <c r="V103" s="442"/>
      <c r="W103" s="442"/>
      <c r="X103" s="442"/>
      <c r="Y103" s="442"/>
      <c r="Z103" s="442"/>
      <c r="AA103" s="442"/>
      <c r="AB103" s="442"/>
      <c r="AC103" s="442"/>
      <c r="AD103" s="442"/>
      <c r="AE103" s="442"/>
      <c r="AF103" s="442"/>
      <c r="AG103" s="442"/>
      <c r="AH103" s="442"/>
      <c r="AI103" s="442"/>
      <c r="AJ103" s="442"/>
      <c r="AK103" s="442"/>
      <c r="AL103" s="442"/>
      <c r="AM103" s="442"/>
      <c r="AN103" s="442"/>
      <c r="AO103" s="442"/>
      <c r="AP103" s="442"/>
      <c r="AQ103" s="442"/>
      <c r="AR103" s="442"/>
      <c r="AS103" s="442"/>
      <c r="AT103" s="442"/>
      <c r="AU103" s="442"/>
      <c r="AV103" s="442"/>
    </row>
    <row r="104" ht="15.75" customHeight="1">
      <c r="A104" s="442"/>
      <c r="B104" s="442"/>
      <c r="C104" s="442"/>
      <c r="D104" s="442"/>
      <c r="E104" s="442"/>
      <c r="F104" s="442"/>
      <c r="G104" s="442"/>
      <c r="H104" s="442"/>
      <c r="I104" s="442"/>
      <c r="J104" s="442"/>
      <c r="K104" s="442"/>
      <c r="L104" s="442"/>
      <c r="M104" s="442"/>
      <c r="N104" s="442"/>
      <c r="O104" s="442"/>
      <c r="P104" s="442"/>
      <c r="Q104" s="442"/>
      <c r="R104" s="442"/>
      <c r="S104" s="442"/>
      <c r="T104" s="442"/>
      <c r="U104" s="442"/>
      <c r="V104" s="442"/>
      <c r="W104" s="442"/>
      <c r="X104" s="442"/>
      <c r="Y104" s="442"/>
      <c r="Z104" s="442"/>
      <c r="AA104" s="442"/>
      <c r="AB104" s="442"/>
      <c r="AC104" s="442"/>
      <c r="AD104" s="442"/>
      <c r="AE104" s="442"/>
      <c r="AF104" s="442"/>
      <c r="AG104" s="442"/>
      <c r="AH104" s="442"/>
      <c r="AI104" s="442"/>
      <c r="AJ104" s="442"/>
      <c r="AK104" s="442"/>
      <c r="AL104" s="442"/>
      <c r="AM104" s="442"/>
      <c r="AN104" s="442"/>
      <c r="AO104" s="442"/>
      <c r="AP104" s="442"/>
      <c r="AQ104" s="442"/>
      <c r="AR104" s="442"/>
      <c r="AS104" s="442"/>
      <c r="AT104" s="442"/>
      <c r="AU104" s="442"/>
      <c r="AV104" s="442"/>
    </row>
    <row r="105" ht="15.75" customHeight="1">
      <c r="A105" s="442"/>
      <c r="B105" s="442"/>
      <c r="C105" s="442"/>
      <c r="D105" s="442"/>
      <c r="E105" s="442"/>
      <c r="F105" s="442"/>
      <c r="G105" s="442"/>
      <c r="H105" s="442"/>
      <c r="I105" s="442"/>
      <c r="J105" s="442"/>
      <c r="K105" s="442"/>
      <c r="L105" s="442"/>
      <c r="M105" s="442"/>
      <c r="N105" s="442"/>
      <c r="O105" s="442"/>
      <c r="P105" s="442"/>
      <c r="Q105" s="442"/>
      <c r="R105" s="442"/>
      <c r="S105" s="442"/>
      <c r="T105" s="442"/>
      <c r="U105" s="442"/>
      <c r="V105" s="442"/>
      <c r="W105" s="442"/>
      <c r="X105" s="442"/>
      <c r="Y105" s="442"/>
      <c r="Z105" s="442"/>
      <c r="AA105" s="442"/>
      <c r="AB105" s="442"/>
      <c r="AC105" s="442"/>
      <c r="AD105" s="442"/>
      <c r="AE105" s="442"/>
      <c r="AF105" s="442"/>
      <c r="AG105" s="442"/>
      <c r="AH105" s="442"/>
      <c r="AI105" s="442"/>
      <c r="AJ105" s="442"/>
      <c r="AK105" s="442"/>
      <c r="AL105" s="442"/>
      <c r="AM105" s="442"/>
      <c r="AN105" s="442"/>
      <c r="AO105" s="442"/>
      <c r="AP105" s="442"/>
      <c r="AQ105" s="442"/>
      <c r="AR105" s="442"/>
      <c r="AS105" s="442"/>
      <c r="AT105" s="442"/>
      <c r="AU105" s="442"/>
      <c r="AV105" s="442"/>
    </row>
    <row r="106" ht="15.75" customHeight="1">
      <c r="A106" s="442"/>
      <c r="B106" s="442"/>
      <c r="C106" s="442"/>
      <c r="D106" s="442"/>
      <c r="E106" s="442"/>
      <c r="F106" s="442"/>
      <c r="G106" s="442"/>
      <c r="H106" s="442"/>
      <c r="I106" s="442"/>
      <c r="J106" s="442"/>
      <c r="K106" s="442"/>
      <c r="L106" s="442"/>
      <c r="M106" s="442"/>
      <c r="N106" s="442"/>
      <c r="O106" s="442"/>
      <c r="P106" s="442"/>
      <c r="Q106" s="442"/>
      <c r="R106" s="442"/>
      <c r="S106" s="442"/>
      <c r="T106" s="442"/>
      <c r="U106" s="442"/>
      <c r="V106" s="442"/>
      <c r="W106" s="442"/>
      <c r="X106" s="442"/>
      <c r="Y106" s="442"/>
      <c r="Z106" s="442"/>
      <c r="AA106" s="442"/>
      <c r="AB106" s="442"/>
      <c r="AC106" s="442"/>
      <c r="AD106" s="442"/>
      <c r="AE106" s="442"/>
      <c r="AF106" s="442"/>
      <c r="AG106" s="442"/>
      <c r="AH106" s="442"/>
      <c r="AI106" s="442"/>
      <c r="AJ106" s="442"/>
      <c r="AK106" s="442"/>
      <c r="AL106" s="442"/>
      <c r="AM106" s="442"/>
      <c r="AN106" s="442"/>
      <c r="AO106" s="442"/>
      <c r="AP106" s="442"/>
      <c r="AQ106" s="442"/>
      <c r="AR106" s="442"/>
      <c r="AS106" s="442"/>
      <c r="AT106" s="442"/>
      <c r="AU106" s="442"/>
      <c r="AV106" s="442"/>
    </row>
    <row r="107" ht="15.75" customHeight="1">
      <c r="A107" s="442"/>
      <c r="B107" s="442"/>
      <c r="C107" s="442"/>
      <c r="D107" s="442"/>
      <c r="E107" s="442"/>
      <c r="F107" s="442"/>
      <c r="G107" s="442"/>
      <c r="H107" s="442"/>
      <c r="I107" s="442"/>
      <c r="J107" s="442"/>
      <c r="K107" s="442"/>
      <c r="L107" s="442"/>
      <c r="M107" s="442"/>
      <c r="N107" s="442"/>
      <c r="O107" s="442"/>
      <c r="P107" s="442"/>
      <c r="Q107" s="442"/>
      <c r="R107" s="442"/>
      <c r="S107" s="442"/>
      <c r="T107" s="442"/>
      <c r="U107" s="442"/>
      <c r="V107" s="442"/>
      <c r="W107" s="442"/>
      <c r="X107" s="442"/>
      <c r="Y107" s="442"/>
      <c r="Z107" s="442"/>
      <c r="AA107" s="442"/>
      <c r="AB107" s="442"/>
      <c r="AC107" s="442"/>
      <c r="AD107" s="442"/>
      <c r="AE107" s="442"/>
      <c r="AF107" s="442"/>
      <c r="AG107" s="442"/>
      <c r="AH107" s="442"/>
      <c r="AI107" s="442"/>
      <c r="AJ107" s="442"/>
      <c r="AK107" s="442"/>
      <c r="AL107" s="442"/>
      <c r="AM107" s="442"/>
      <c r="AN107" s="442"/>
      <c r="AO107" s="442"/>
      <c r="AP107" s="442"/>
      <c r="AQ107" s="442"/>
      <c r="AR107" s="442"/>
      <c r="AS107" s="442"/>
      <c r="AT107" s="442"/>
      <c r="AU107" s="442"/>
      <c r="AV107" s="442"/>
    </row>
    <row r="108" ht="15.75" customHeight="1">
      <c r="A108" s="442"/>
      <c r="B108" s="442"/>
      <c r="C108" s="442"/>
      <c r="D108" s="442"/>
      <c r="E108" s="442"/>
      <c r="F108" s="442"/>
      <c r="G108" s="442"/>
      <c r="H108" s="442"/>
      <c r="I108" s="442"/>
      <c r="J108" s="442"/>
      <c r="K108" s="442"/>
      <c r="L108" s="442"/>
      <c r="M108" s="442"/>
      <c r="N108" s="442"/>
      <c r="O108" s="442"/>
      <c r="P108" s="442"/>
      <c r="Q108" s="442"/>
      <c r="R108" s="442"/>
      <c r="S108" s="442"/>
      <c r="T108" s="442"/>
      <c r="U108" s="442"/>
      <c r="V108" s="442"/>
      <c r="W108" s="442"/>
      <c r="X108" s="442"/>
      <c r="Y108" s="442"/>
      <c r="Z108" s="442"/>
      <c r="AA108" s="442"/>
      <c r="AB108" s="442"/>
      <c r="AC108" s="442"/>
      <c r="AD108" s="442"/>
      <c r="AE108" s="442"/>
      <c r="AF108" s="442"/>
      <c r="AG108" s="442"/>
      <c r="AH108" s="442"/>
      <c r="AI108" s="442"/>
      <c r="AJ108" s="442"/>
      <c r="AK108" s="442"/>
      <c r="AL108" s="442"/>
      <c r="AM108" s="442"/>
      <c r="AN108" s="442"/>
      <c r="AO108" s="442"/>
      <c r="AP108" s="442"/>
      <c r="AQ108" s="442"/>
      <c r="AR108" s="442"/>
      <c r="AS108" s="442"/>
      <c r="AT108" s="442"/>
      <c r="AU108" s="442"/>
      <c r="AV108" s="442"/>
    </row>
    <row r="109" ht="15.75" customHeight="1">
      <c r="A109" s="442"/>
      <c r="B109" s="442"/>
      <c r="C109" s="442"/>
      <c r="D109" s="442"/>
      <c r="E109" s="442"/>
      <c r="F109" s="442"/>
      <c r="G109" s="442"/>
      <c r="H109" s="442"/>
      <c r="I109" s="442"/>
      <c r="J109" s="442"/>
      <c r="K109" s="442"/>
      <c r="L109" s="442"/>
      <c r="M109" s="442"/>
      <c r="N109" s="442"/>
      <c r="O109" s="442"/>
      <c r="P109" s="442"/>
      <c r="Q109" s="442"/>
      <c r="R109" s="442"/>
      <c r="S109" s="442"/>
      <c r="T109" s="442"/>
      <c r="U109" s="442"/>
      <c r="V109" s="442"/>
      <c r="W109" s="442"/>
      <c r="X109" s="442"/>
      <c r="Y109" s="442"/>
      <c r="Z109" s="442"/>
      <c r="AA109" s="442"/>
      <c r="AB109" s="442"/>
      <c r="AC109" s="442"/>
      <c r="AD109" s="442"/>
      <c r="AE109" s="442"/>
      <c r="AF109" s="442"/>
      <c r="AG109" s="442"/>
      <c r="AH109" s="442"/>
      <c r="AI109" s="442"/>
      <c r="AJ109" s="442"/>
      <c r="AK109" s="442"/>
      <c r="AL109" s="442"/>
      <c r="AM109" s="442"/>
      <c r="AN109" s="442"/>
      <c r="AO109" s="442"/>
      <c r="AP109" s="442"/>
      <c r="AQ109" s="442"/>
      <c r="AR109" s="442"/>
      <c r="AS109" s="442"/>
      <c r="AT109" s="442"/>
      <c r="AU109" s="442"/>
      <c r="AV109" s="442"/>
    </row>
    <row r="110" ht="15.75" customHeight="1">
      <c r="A110" s="442"/>
      <c r="B110" s="442"/>
      <c r="C110" s="442"/>
      <c r="D110" s="442"/>
      <c r="E110" s="442"/>
      <c r="F110" s="442"/>
      <c r="G110" s="442"/>
      <c r="H110" s="442"/>
      <c r="I110" s="442"/>
      <c r="J110" s="442"/>
      <c r="K110" s="442"/>
      <c r="L110" s="442"/>
      <c r="M110" s="442"/>
      <c r="N110" s="442"/>
      <c r="O110" s="442"/>
      <c r="P110" s="442"/>
      <c r="Q110" s="442"/>
      <c r="R110" s="442"/>
      <c r="S110" s="442"/>
      <c r="T110" s="442"/>
      <c r="U110" s="442"/>
      <c r="V110" s="442"/>
      <c r="W110" s="442"/>
      <c r="X110" s="442"/>
      <c r="Y110" s="442"/>
      <c r="Z110" s="442"/>
      <c r="AA110" s="442"/>
      <c r="AB110" s="442"/>
      <c r="AC110" s="442"/>
      <c r="AD110" s="442"/>
      <c r="AE110" s="442"/>
      <c r="AF110" s="442"/>
      <c r="AG110" s="442"/>
      <c r="AH110" s="442"/>
      <c r="AI110" s="442"/>
      <c r="AJ110" s="442"/>
      <c r="AK110" s="442"/>
      <c r="AL110" s="442"/>
      <c r="AM110" s="442"/>
      <c r="AN110" s="442"/>
      <c r="AO110" s="442"/>
      <c r="AP110" s="442"/>
      <c r="AQ110" s="442"/>
      <c r="AR110" s="442"/>
      <c r="AS110" s="442"/>
      <c r="AT110" s="442"/>
      <c r="AU110" s="442"/>
      <c r="AV110" s="442"/>
    </row>
    <row r="111" ht="15.75" customHeight="1">
      <c r="A111" s="442"/>
      <c r="B111" s="442"/>
      <c r="C111" s="442"/>
      <c r="D111" s="442"/>
      <c r="E111" s="442"/>
      <c r="F111" s="442"/>
      <c r="G111" s="442"/>
      <c r="H111" s="442"/>
      <c r="I111" s="442"/>
      <c r="J111" s="442"/>
      <c r="K111" s="442"/>
      <c r="L111" s="442"/>
      <c r="M111" s="442"/>
      <c r="N111" s="442"/>
      <c r="O111" s="442"/>
      <c r="P111" s="442"/>
      <c r="Q111" s="442"/>
      <c r="R111" s="442"/>
      <c r="S111" s="442"/>
      <c r="T111" s="442"/>
      <c r="U111" s="442"/>
      <c r="V111" s="442"/>
      <c r="W111" s="442"/>
      <c r="X111" s="442"/>
      <c r="Y111" s="442"/>
      <c r="Z111" s="442"/>
      <c r="AA111" s="442"/>
      <c r="AB111" s="442"/>
      <c r="AC111" s="442"/>
      <c r="AD111" s="442"/>
      <c r="AE111" s="442"/>
      <c r="AF111" s="442"/>
      <c r="AG111" s="442"/>
      <c r="AH111" s="442"/>
      <c r="AI111" s="442"/>
      <c r="AJ111" s="442"/>
      <c r="AK111" s="442"/>
      <c r="AL111" s="442"/>
      <c r="AM111" s="442"/>
      <c r="AN111" s="442"/>
      <c r="AO111" s="442"/>
      <c r="AP111" s="442"/>
      <c r="AQ111" s="442"/>
      <c r="AR111" s="442"/>
      <c r="AS111" s="442"/>
      <c r="AT111" s="442"/>
      <c r="AU111" s="442"/>
      <c r="AV111" s="442"/>
    </row>
    <row r="112" ht="15.75" customHeight="1">
      <c r="A112" s="442"/>
      <c r="B112" s="442"/>
      <c r="C112" s="442"/>
      <c r="D112" s="442"/>
      <c r="E112" s="442"/>
      <c r="F112" s="442"/>
      <c r="G112" s="442"/>
      <c r="H112" s="442"/>
      <c r="I112" s="442"/>
      <c r="J112" s="442"/>
      <c r="K112" s="442"/>
      <c r="L112" s="442"/>
      <c r="M112" s="442"/>
      <c r="N112" s="442"/>
      <c r="O112" s="442"/>
      <c r="P112" s="442"/>
      <c r="Q112" s="442"/>
      <c r="R112" s="442"/>
      <c r="S112" s="442"/>
      <c r="T112" s="442"/>
      <c r="U112" s="442"/>
      <c r="V112" s="442"/>
      <c r="W112" s="442"/>
      <c r="X112" s="442"/>
      <c r="Y112" s="442"/>
      <c r="Z112" s="442"/>
      <c r="AA112" s="442"/>
      <c r="AB112" s="442"/>
      <c r="AC112" s="442"/>
      <c r="AD112" s="442"/>
      <c r="AE112" s="442"/>
      <c r="AF112" s="442"/>
      <c r="AG112" s="442"/>
      <c r="AH112" s="442"/>
      <c r="AI112" s="442"/>
      <c r="AJ112" s="442"/>
      <c r="AK112" s="442"/>
      <c r="AL112" s="442"/>
      <c r="AM112" s="442"/>
      <c r="AN112" s="442"/>
      <c r="AO112" s="442"/>
      <c r="AP112" s="442"/>
      <c r="AQ112" s="442"/>
      <c r="AR112" s="442"/>
      <c r="AS112" s="442"/>
      <c r="AT112" s="442"/>
      <c r="AU112" s="442"/>
      <c r="AV112" s="442"/>
    </row>
    <row r="113" ht="15.75" customHeight="1">
      <c r="A113" s="442"/>
      <c r="B113" s="442"/>
      <c r="C113" s="442"/>
      <c r="D113" s="442"/>
      <c r="E113" s="442"/>
      <c r="F113" s="442"/>
      <c r="G113" s="442"/>
      <c r="H113" s="442"/>
      <c r="I113" s="442"/>
      <c r="J113" s="442"/>
      <c r="K113" s="442"/>
      <c r="L113" s="442"/>
      <c r="M113" s="442"/>
      <c r="N113" s="442"/>
      <c r="O113" s="442"/>
      <c r="P113" s="442"/>
      <c r="Q113" s="442"/>
      <c r="R113" s="442"/>
      <c r="S113" s="442"/>
      <c r="T113" s="442"/>
      <c r="U113" s="442"/>
      <c r="V113" s="442"/>
      <c r="W113" s="442"/>
      <c r="X113" s="442"/>
      <c r="Y113" s="442"/>
      <c r="Z113" s="442"/>
      <c r="AA113" s="442"/>
      <c r="AB113" s="442"/>
      <c r="AC113" s="442"/>
      <c r="AD113" s="442"/>
      <c r="AE113" s="442"/>
      <c r="AF113" s="442"/>
      <c r="AG113" s="442"/>
      <c r="AH113" s="442"/>
      <c r="AI113" s="442"/>
      <c r="AJ113" s="442"/>
      <c r="AK113" s="442"/>
      <c r="AL113" s="442"/>
      <c r="AM113" s="442"/>
      <c r="AN113" s="442"/>
      <c r="AO113" s="442"/>
      <c r="AP113" s="442"/>
      <c r="AQ113" s="442"/>
      <c r="AR113" s="442"/>
      <c r="AS113" s="442"/>
      <c r="AT113" s="442"/>
      <c r="AU113" s="442"/>
      <c r="AV113" s="442"/>
    </row>
    <row r="114" ht="15.75" customHeight="1">
      <c r="A114" s="442"/>
      <c r="B114" s="442"/>
      <c r="C114" s="442"/>
      <c r="D114" s="442"/>
      <c r="E114" s="442"/>
      <c r="F114" s="442"/>
      <c r="G114" s="442"/>
      <c r="H114" s="442"/>
      <c r="I114" s="442"/>
      <c r="J114" s="442"/>
      <c r="K114" s="442"/>
      <c r="L114" s="442"/>
      <c r="M114" s="442"/>
      <c r="N114" s="442"/>
      <c r="O114" s="442"/>
      <c r="P114" s="442"/>
      <c r="Q114" s="442"/>
      <c r="R114" s="442"/>
      <c r="S114" s="442"/>
      <c r="T114" s="442"/>
      <c r="U114" s="442"/>
      <c r="V114" s="442"/>
      <c r="W114" s="442"/>
      <c r="X114" s="442"/>
      <c r="Y114" s="442"/>
      <c r="Z114" s="442"/>
      <c r="AA114" s="442"/>
      <c r="AB114" s="442"/>
      <c r="AC114" s="442"/>
      <c r="AD114" s="442"/>
      <c r="AE114" s="442"/>
      <c r="AF114" s="442"/>
      <c r="AG114" s="442"/>
      <c r="AH114" s="442"/>
      <c r="AI114" s="442"/>
      <c r="AJ114" s="442"/>
      <c r="AK114" s="442"/>
      <c r="AL114" s="442"/>
      <c r="AM114" s="442"/>
      <c r="AN114" s="442"/>
      <c r="AO114" s="442"/>
      <c r="AP114" s="442"/>
      <c r="AQ114" s="442"/>
      <c r="AR114" s="442"/>
      <c r="AS114" s="442"/>
      <c r="AT114" s="442"/>
      <c r="AU114" s="442"/>
      <c r="AV114" s="442"/>
    </row>
    <row r="115" ht="15.75" customHeight="1">
      <c r="A115" s="442"/>
      <c r="B115" s="442"/>
      <c r="C115" s="442"/>
      <c r="D115" s="442"/>
      <c r="E115" s="442"/>
      <c r="F115" s="442"/>
      <c r="G115" s="442"/>
      <c r="H115" s="442"/>
      <c r="I115" s="442"/>
      <c r="J115" s="442"/>
      <c r="K115" s="442"/>
      <c r="L115" s="442"/>
      <c r="M115" s="442"/>
      <c r="N115" s="442"/>
      <c r="O115" s="442"/>
      <c r="P115" s="442"/>
      <c r="Q115" s="442"/>
      <c r="R115" s="442"/>
      <c r="S115" s="442"/>
      <c r="T115" s="442"/>
      <c r="U115" s="442"/>
      <c r="V115" s="442"/>
      <c r="W115" s="442"/>
      <c r="X115" s="442"/>
      <c r="Y115" s="442"/>
      <c r="Z115" s="442"/>
      <c r="AA115" s="442"/>
      <c r="AB115" s="442"/>
      <c r="AC115" s="442"/>
      <c r="AD115" s="442"/>
      <c r="AE115" s="442"/>
      <c r="AF115" s="442"/>
      <c r="AG115" s="442"/>
      <c r="AH115" s="442"/>
      <c r="AI115" s="442"/>
      <c r="AJ115" s="442"/>
      <c r="AK115" s="442"/>
      <c r="AL115" s="442"/>
      <c r="AM115" s="442"/>
      <c r="AN115" s="442"/>
      <c r="AO115" s="442"/>
      <c r="AP115" s="442"/>
      <c r="AQ115" s="442"/>
      <c r="AR115" s="442"/>
      <c r="AS115" s="442"/>
      <c r="AT115" s="442"/>
      <c r="AU115" s="442"/>
      <c r="AV115" s="442"/>
    </row>
    <row r="116" ht="15.75" customHeight="1">
      <c r="A116" s="442"/>
      <c r="B116" s="442"/>
      <c r="C116" s="442"/>
      <c r="D116" s="442"/>
      <c r="E116" s="442"/>
      <c r="F116" s="442"/>
      <c r="G116" s="442"/>
      <c r="H116" s="442"/>
      <c r="I116" s="442"/>
      <c r="J116" s="442"/>
      <c r="K116" s="442"/>
      <c r="L116" s="442"/>
      <c r="M116" s="442"/>
      <c r="N116" s="442"/>
      <c r="O116" s="442"/>
      <c r="P116" s="442"/>
      <c r="Q116" s="442"/>
      <c r="R116" s="442"/>
      <c r="S116" s="442"/>
      <c r="T116" s="442"/>
      <c r="U116" s="442"/>
      <c r="V116" s="442"/>
      <c r="W116" s="442"/>
      <c r="X116" s="442"/>
      <c r="Y116" s="442"/>
      <c r="Z116" s="442"/>
      <c r="AA116" s="442"/>
      <c r="AB116" s="442"/>
      <c r="AC116" s="442"/>
      <c r="AD116" s="442"/>
      <c r="AE116" s="442"/>
      <c r="AF116" s="442"/>
      <c r="AG116" s="442"/>
      <c r="AH116" s="442"/>
      <c r="AI116" s="442"/>
      <c r="AJ116" s="442"/>
      <c r="AK116" s="442"/>
      <c r="AL116" s="442"/>
      <c r="AM116" s="442"/>
      <c r="AN116" s="442"/>
      <c r="AO116" s="442"/>
      <c r="AP116" s="442"/>
      <c r="AQ116" s="442"/>
      <c r="AR116" s="442"/>
      <c r="AS116" s="442"/>
      <c r="AT116" s="442"/>
      <c r="AU116" s="442"/>
      <c r="AV116" s="442"/>
    </row>
    <row r="117" ht="15.75" customHeight="1">
      <c r="A117" s="442"/>
      <c r="B117" s="442"/>
      <c r="C117" s="442"/>
      <c r="D117" s="442"/>
      <c r="E117" s="442"/>
      <c r="F117" s="442"/>
      <c r="G117" s="442"/>
      <c r="H117" s="442"/>
      <c r="I117" s="442"/>
      <c r="J117" s="442"/>
      <c r="K117" s="442"/>
      <c r="L117" s="442"/>
      <c r="M117" s="442"/>
      <c r="N117" s="442"/>
      <c r="O117" s="442"/>
      <c r="P117" s="442"/>
      <c r="Q117" s="442"/>
      <c r="R117" s="442"/>
      <c r="S117" s="442"/>
      <c r="T117" s="442"/>
      <c r="U117" s="442"/>
      <c r="V117" s="442"/>
      <c r="W117" s="442"/>
      <c r="X117" s="442"/>
      <c r="Y117" s="442"/>
      <c r="Z117" s="442"/>
      <c r="AA117" s="442"/>
      <c r="AB117" s="442"/>
      <c r="AC117" s="442"/>
      <c r="AD117" s="442"/>
      <c r="AE117" s="442"/>
      <c r="AF117" s="442"/>
      <c r="AG117" s="442"/>
      <c r="AH117" s="442"/>
      <c r="AI117" s="442"/>
      <c r="AJ117" s="442"/>
      <c r="AK117" s="442"/>
      <c r="AL117" s="442"/>
      <c r="AM117" s="442"/>
      <c r="AN117" s="442"/>
      <c r="AO117" s="442"/>
      <c r="AP117" s="442"/>
      <c r="AQ117" s="442"/>
      <c r="AR117" s="442"/>
      <c r="AS117" s="442"/>
      <c r="AT117" s="442"/>
      <c r="AU117" s="442"/>
      <c r="AV117" s="442"/>
    </row>
    <row r="118" ht="15.75" customHeight="1">
      <c r="A118" s="442"/>
      <c r="B118" s="442"/>
      <c r="C118" s="442"/>
      <c r="D118" s="442"/>
      <c r="E118" s="442"/>
      <c r="F118" s="442"/>
      <c r="G118" s="442"/>
      <c r="H118" s="442"/>
      <c r="I118" s="442"/>
      <c r="J118" s="442"/>
      <c r="K118" s="442"/>
      <c r="L118" s="442"/>
      <c r="M118" s="442"/>
      <c r="N118" s="442"/>
      <c r="O118" s="442"/>
      <c r="P118" s="442"/>
      <c r="Q118" s="442"/>
      <c r="R118" s="442"/>
      <c r="S118" s="442"/>
      <c r="T118" s="442"/>
      <c r="U118" s="442"/>
      <c r="V118" s="442"/>
      <c r="W118" s="442"/>
      <c r="X118" s="442"/>
      <c r="Y118" s="442"/>
      <c r="Z118" s="442"/>
      <c r="AA118" s="442"/>
      <c r="AB118" s="442"/>
      <c r="AC118" s="442"/>
      <c r="AD118" s="442"/>
      <c r="AE118" s="442"/>
      <c r="AF118" s="442"/>
      <c r="AG118" s="442"/>
      <c r="AH118" s="442"/>
      <c r="AI118" s="442"/>
      <c r="AJ118" s="442"/>
      <c r="AK118" s="442"/>
      <c r="AL118" s="442"/>
      <c r="AM118" s="442"/>
      <c r="AN118" s="442"/>
      <c r="AO118" s="442"/>
      <c r="AP118" s="442"/>
      <c r="AQ118" s="442"/>
      <c r="AR118" s="442"/>
      <c r="AS118" s="442"/>
      <c r="AT118" s="442"/>
      <c r="AU118" s="442"/>
      <c r="AV118" s="442"/>
    </row>
    <row r="119" ht="15.75" customHeight="1">
      <c r="A119" s="442"/>
      <c r="B119" s="442"/>
      <c r="C119" s="442"/>
      <c r="D119" s="442"/>
      <c r="E119" s="442"/>
      <c r="F119" s="442"/>
      <c r="G119" s="442"/>
      <c r="H119" s="442"/>
      <c r="I119" s="442"/>
      <c r="J119" s="442"/>
      <c r="K119" s="442"/>
      <c r="L119" s="442"/>
      <c r="M119" s="442"/>
      <c r="N119" s="442"/>
      <c r="O119" s="442"/>
      <c r="P119" s="442"/>
      <c r="Q119" s="442"/>
      <c r="R119" s="442"/>
      <c r="S119" s="442"/>
      <c r="T119" s="442"/>
      <c r="U119" s="442"/>
      <c r="V119" s="442"/>
      <c r="W119" s="442"/>
      <c r="X119" s="442"/>
      <c r="Y119" s="442"/>
      <c r="Z119" s="442"/>
      <c r="AA119" s="442"/>
      <c r="AB119" s="442"/>
      <c r="AC119" s="442"/>
      <c r="AD119" s="442"/>
      <c r="AE119" s="442"/>
      <c r="AF119" s="442"/>
      <c r="AG119" s="442"/>
      <c r="AH119" s="442"/>
      <c r="AI119" s="442"/>
      <c r="AJ119" s="442"/>
      <c r="AK119" s="442"/>
      <c r="AL119" s="442"/>
      <c r="AM119" s="442"/>
      <c r="AN119" s="442"/>
      <c r="AO119" s="442"/>
      <c r="AP119" s="442"/>
      <c r="AQ119" s="442"/>
      <c r="AR119" s="442"/>
      <c r="AS119" s="442"/>
      <c r="AT119" s="442"/>
      <c r="AU119" s="442"/>
      <c r="AV119" s="442"/>
    </row>
    <row r="120" ht="15.75" customHeight="1">
      <c r="A120" s="442"/>
      <c r="B120" s="442"/>
      <c r="C120" s="442"/>
      <c r="D120" s="442"/>
      <c r="E120" s="442"/>
      <c r="F120" s="442"/>
      <c r="G120" s="442"/>
      <c r="H120" s="442"/>
      <c r="I120" s="442"/>
      <c r="J120" s="442"/>
      <c r="K120" s="442"/>
      <c r="L120" s="442"/>
      <c r="M120" s="442"/>
      <c r="N120" s="442"/>
      <c r="O120" s="442"/>
      <c r="P120" s="442"/>
      <c r="Q120" s="442"/>
      <c r="R120" s="442"/>
      <c r="S120" s="442"/>
      <c r="T120" s="442"/>
      <c r="U120" s="442"/>
      <c r="V120" s="442"/>
      <c r="W120" s="442"/>
      <c r="X120" s="442"/>
      <c r="Y120" s="442"/>
      <c r="Z120" s="442"/>
      <c r="AA120" s="442"/>
      <c r="AB120" s="442"/>
      <c r="AC120" s="442"/>
      <c r="AD120" s="442"/>
      <c r="AE120" s="442"/>
      <c r="AF120" s="442"/>
      <c r="AG120" s="442"/>
      <c r="AH120" s="442"/>
      <c r="AI120" s="442"/>
      <c r="AJ120" s="442"/>
      <c r="AK120" s="442"/>
      <c r="AL120" s="442"/>
      <c r="AM120" s="442"/>
      <c r="AN120" s="442"/>
      <c r="AO120" s="442"/>
      <c r="AP120" s="442"/>
      <c r="AQ120" s="442"/>
      <c r="AR120" s="442"/>
      <c r="AS120" s="442"/>
      <c r="AT120" s="442"/>
      <c r="AU120" s="442"/>
      <c r="AV120" s="442"/>
    </row>
    <row r="121" ht="15.75" customHeight="1">
      <c r="A121" s="442"/>
      <c r="B121" s="442"/>
      <c r="C121" s="442"/>
      <c r="D121" s="442"/>
      <c r="E121" s="442"/>
      <c r="F121" s="442"/>
      <c r="G121" s="442"/>
      <c r="H121" s="442"/>
      <c r="I121" s="442"/>
      <c r="J121" s="442"/>
      <c r="K121" s="442"/>
      <c r="L121" s="442"/>
      <c r="M121" s="442"/>
      <c r="N121" s="442"/>
      <c r="O121" s="442"/>
      <c r="P121" s="442"/>
      <c r="Q121" s="442"/>
      <c r="R121" s="442"/>
      <c r="S121" s="442"/>
      <c r="T121" s="442"/>
      <c r="U121" s="442"/>
      <c r="V121" s="442"/>
      <c r="W121" s="442"/>
      <c r="X121" s="442"/>
      <c r="Y121" s="442"/>
      <c r="Z121" s="442"/>
      <c r="AA121" s="442"/>
      <c r="AB121" s="442"/>
      <c r="AC121" s="442"/>
      <c r="AD121" s="442"/>
      <c r="AE121" s="442"/>
      <c r="AF121" s="442"/>
      <c r="AG121" s="442"/>
      <c r="AH121" s="442"/>
      <c r="AI121" s="442"/>
      <c r="AJ121" s="442"/>
      <c r="AK121" s="442"/>
      <c r="AL121" s="442"/>
      <c r="AM121" s="442"/>
      <c r="AN121" s="442"/>
      <c r="AO121" s="442"/>
      <c r="AP121" s="442"/>
      <c r="AQ121" s="442"/>
      <c r="AR121" s="442"/>
      <c r="AS121" s="442"/>
      <c r="AT121" s="442"/>
      <c r="AU121" s="442"/>
      <c r="AV121" s="442"/>
    </row>
    <row r="122" ht="15.75" customHeight="1">
      <c r="A122" s="442"/>
      <c r="B122" s="442"/>
      <c r="C122" s="442"/>
      <c r="D122" s="442"/>
      <c r="E122" s="442"/>
      <c r="F122" s="442"/>
      <c r="G122" s="442"/>
      <c r="H122" s="442"/>
      <c r="I122" s="442"/>
      <c r="J122" s="442"/>
      <c r="K122" s="442"/>
      <c r="L122" s="442"/>
      <c r="M122" s="442"/>
      <c r="N122" s="442"/>
      <c r="O122" s="442"/>
      <c r="P122" s="442"/>
      <c r="Q122" s="442"/>
      <c r="R122" s="442"/>
      <c r="S122" s="442"/>
      <c r="T122" s="442"/>
      <c r="U122" s="442"/>
      <c r="V122" s="442"/>
      <c r="W122" s="442"/>
      <c r="X122" s="442"/>
      <c r="Y122" s="442"/>
      <c r="Z122" s="442"/>
      <c r="AA122" s="442"/>
      <c r="AB122" s="442"/>
      <c r="AC122" s="442"/>
      <c r="AD122" s="442"/>
      <c r="AE122" s="442"/>
      <c r="AF122" s="442"/>
      <c r="AG122" s="442"/>
      <c r="AH122" s="442"/>
      <c r="AI122" s="442"/>
      <c r="AJ122" s="442"/>
      <c r="AK122" s="442"/>
      <c r="AL122" s="442"/>
      <c r="AM122" s="442"/>
      <c r="AN122" s="442"/>
      <c r="AO122" s="442"/>
      <c r="AP122" s="442"/>
      <c r="AQ122" s="442"/>
      <c r="AR122" s="442"/>
      <c r="AS122" s="442"/>
      <c r="AT122" s="442"/>
      <c r="AU122" s="442"/>
      <c r="AV122" s="442"/>
    </row>
    <row r="123" ht="15.75" customHeight="1">
      <c r="A123" s="442"/>
      <c r="B123" s="442"/>
      <c r="C123" s="442"/>
      <c r="D123" s="442"/>
      <c r="E123" s="442"/>
      <c r="F123" s="442"/>
      <c r="G123" s="442"/>
      <c r="H123" s="442"/>
      <c r="I123" s="442"/>
      <c r="J123" s="442"/>
      <c r="K123" s="442"/>
      <c r="L123" s="442"/>
      <c r="M123" s="442"/>
      <c r="N123" s="442"/>
      <c r="O123" s="442"/>
      <c r="P123" s="442"/>
      <c r="Q123" s="442"/>
      <c r="R123" s="442"/>
      <c r="S123" s="442"/>
      <c r="T123" s="442"/>
      <c r="U123" s="442"/>
      <c r="V123" s="442"/>
      <c r="W123" s="442"/>
      <c r="X123" s="442"/>
      <c r="Y123" s="442"/>
      <c r="Z123" s="442"/>
      <c r="AA123" s="442"/>
      <c r="AB123" s="442"/>
      <c r="AC123" s="442"/>
      <c r="AD123" s="442"/>
      <c r="AE123" s="442"/>
      <c r="AF123" s="442"/>
      <c r="AG123" s="442"/>
      <c r="AH123" s="442"/>
      <c r="AI123" s="442"/>
      <c r="AJ123" s="442"/>
      <c r="AK123" s="442"/>
      <c r="AL123" s="442"/>
      <c r="AM123" s="442"/>
      <c r="AN123" s="442"/>
      <c r="AO123" s="442"/>
      <c r="AP123" s="442"/>
      <c r="AQ123" s="442"/>
      <c r="AR123" s="442"/>
      <c r="AS123" s="442"/>
      <c r="AT123" s="442"/>
      <c r="AU123" s="442"/>
      <c r="AV123" s="442"/>
    </row>
    <row r="124" ht="15.75" customHeight="1">
      <c r="A124" s="442"/>
      <c r="B124" s="442"/>
      <c r="C124" s="442"/>
      <c r="D124" s="442"/>
      <c r="E124" s="442"/>
      <c r="F124" s="442"/>
      <c r="G124" s="442"/>
      <c r="H124" s="442"/>
      <c r="I124" s="442"/>
      <c r="J124" s="442"/>
      <c r="K124" s="442"/>
      <c r="L124" s="442"/>
      <c r="M124" s="442"/>
      <c r="N124" s="442"/>
      <c r="O124" s="442"/>
      <c r="P124" s="442"/>
      <c r="Q124" s="442"/>
      <c r="R124" s="442"/>
      <c r="S124" s="442"/>
      <c r="T124" s="442"/>
      <c r="U124" s="442"/>
      <c r="V124" s="442"/>
      <c r="W124" s="442"/>
      <c r="X124" s="442"/>
      <c r="Y124" s="442"/>
      <c r="Z124" s="442"/>
      <c r="AA124" s="442"/>
      <c r="AB124" s="442"/>
      <c r="AC124" s="442"/>
      <c r="AD124" s="442"/>
      <c r="AE124" s="442"/>
      <c r="AF124" s="442"/>
      <c r="AG124" s="442"/>
      <c r="AH124" s="442"/>
      <c r="AI124" s="442"/>
      <c r="AJ124" s="442"/>
      <c r="AK124" s="442"/>
      <c r="AL124" s="442"/>
      <c r="AM124" s="442"/>
      <c r="AN124" s="442"/>
      <c r="AO124" s="442"/>
      <c r="AP124" s="442"/>
      <c r="AQ124" s="442"/>
      <c r="AR124" s="442"/>
      <c r="AS124" s="442"/>
      <c r="AT124" s="442"/>
      <c r="AU124" s="442"/>
      <c r="AV124" s="442"/>
    </row>
    <row r="125" ht="15.75" customHeight="1">
      <c r="A125" s="442"/>
      <c r="B125" s="442"/>
      <c r="C125" s="442"/>
      <c r="D125" s="442"/>
      <c r="E125" s="442"/>
      <c r="F125" s="442"/>
      <c r="G125" s="442"/>
      <c r="H125" s="442"/>
      <c r="I125" s="442"/>
      <c r="J125" s="442"/>
      <c r="K125" s="442"/>
      <c r="L125" s="442"/>
      <c r="M125" s="442"/>
      <c r="N125" s="442"/>
      <c r="O125" s="442"/>
      <c r="P125" s="442"/>
      <c r="Q125" s="442"/>
      <c r="R125" s="442"/>
      <c r="S125" s="442"/>
      <c r="T125" s="442"/>
      <c r="U125" s="442"/>
      <c r="V125" s="442"/>
      <c r="W125" s="442"/>
      <c r="X125" s="442"/>
      <c r="Y125" s="442"/>
      <c r="Z125" s="442"/>
      <c r="AA125" s="442"/>
      <c r="AB125" s="442"/>
      <c r="AC125" s="442"/>
      <c r="AD125" s="442"/>
      <c r="AE125" s="442"/>
      <c r="AF125" s="442"/>
      <c r="AG125" s="442"/>
      <c r="AH125" s="442"/>
      <c r="AI125" s="442"/>
      <c r="AJ125" s="442"/>
      <c r="AK125" s="442"/>
      <c r="AL125" s="442"/>
      <c r="AM125" s="442"/>
      <c r="AN125" s="442"/>
      <c r="AO125" s="442"/>
      <c r="AP125" s="442"/>
      <c r="AQ125" s="442"/>
      <c r="AR125" s="442"/>
      <c r="AS125" s="442"/>
      <c r="AT125" s="442"/>
      <c r="AU125" s="442"/>
      <c r="AV125" s="442"/>
    </row>
    <row r="126" ht="15.75" customHeight="1">
      <c r="A126" s="442"/>
      <c r="B126" s="442"/>
      <c r="C126" s="442"/>
      <c r="D126" s="442"/>
      <c r="E126" s="442"/>
      <c r="F126" s="442"/>
      <c r="G126" s="442"/>
      <c r="H126" s="442"/>
      <c r="I126" s="442"/>
      <c r="J126" s="442"/>
      <c r="K126" s="442"/>
      <c r="L126" s="442"/>
      <c r="M126" s="442"/>
      <c r="N126" s="442"/>
      <c r="O126" s="442"/>
      <c r="P126" s="442"/>
      <c r="Q126" s="442"/>
      <c r="R126" s="442"/>
      <c r="S126" s="442"/>
      <c r="T126" s="442"/>
      <c r="U126" s="442"/>
      <c r="V126" s="442"/>
      <c r="W126" s="442"/>
      <c r="X126" s="442"/>
      <c r="Y126" s="442"/>
      <c r="Z126" s="442"/>
      <c r="AA126" s="442"/>
      <c r="AB126" s="442"/>
      <c r="AC126" s="442"/>
      <c r="AD126" s="442"/>
      <c r="AE126" s="442"/>
      <c r="AF126" s="442"/>
      <c r="AG126" s="442"/>
      <c r="AH126" s="442"/>
      <c r="AI126" s="442"/>
      <c r="AJ126" s="442"/>
      <c r="AK126" s="442"/>
      <c r="AL126" s="442"/>
      <c r="AM126" s="442"/>
      <c r="AN126" s="442"/>
      <c r="AO126" s="442"/>
      <c r="AP126" s="442"/>
      <c r="AQ126" s="442"/>
      <c r="AR126" s="442"/>
      <c r="AS126" s="442"/>
      <c r="AT126" s="442"/>
      <c r="AU126" s="442"/>
      <c r="AV126" s="442"/>
    </row>
    <row r="127" ht="15.75" customHeight="1">
      <c r="A127" s="442"/>
      <c r="B127" s="442"/>
      <c r="C127" s="442"/>
      <c r="D127" s="442"/>
      <c r="E127" s="442"/>
      <c r="F127" s="442"/>
      <c r="G127" s="442"/>
      <c r="H127" s="442"/>
      <c r="I127" s="442"/>
      <c r="J127" s="442"/>
      <c r="K127" s="442"/>
      <c r="L127" s="442"/>
      <c r="M127" s="442"/>
      <c r="N127" s="442"/>
      <c r="O127" s="442"/>
      <c r="P127" s="442"/>
      <c r="Q127" s="442"/>
      <c r="R127" s="442"/>
      <c r="S127" s="442"/>
      <c r="T127" s="442"/>
      <c r="U127" s="442"/>
      <c r="V127" s="442"/>
      <c r="W127" s="442"/>
      <c r="X127" s="442"/>
      <c r="Y127" s="442"/>
      <c r="Z127" s="442"/>
      <c r="AA127" s="442"/>
      <c r="AB127" s="442"/>
      <c r="AC127" s="442"/>
      <c r="AD127" s="442"/>
      <c r="AE127" s="442"/>
      <c r="AF127" s="442"/>
      <c r="AG127" s="442"/>
      <c r="AH127" s="442"/>
      <c r="AI127" s="442"/>
      <c r="AJ127" s="442"/>
      <c r="AK127" s="442"/>
      <c r="AL127" s="442"/>
      <c r="AM127" s="442"/>
      <c r="AN127" s="442"/>
      <c r="AO127" s="442"/>
      <c r="AP127" s="442"/>
      <c r="AQ127" s="442"/>
      <c r="AR127" s="442"/>
      <c r="AS127" s="442"/>
      <c r="AT127" s="442"/>
      <c r="AU127" s="442"/>
      <c r="AV127" s="442"/>
    </row>
    <row r="128" ht="15.75" customHeight="1">
      <c r="A128" s="442"/>
      <c r="B128" s="442"/>
      <c r="C128" s="442"/>
      <c r="D128" s="442"/>
      <c r="E128" s="442"/>
      <c r="F128" s="442"/>
      <c r="G128" s="442"/>
      <c r="H128" s="442"/>
      <c r="I128" s="442"/>
      <c r="J128" s="442"/>
      <c r="K128" s="442"/>
      <c r="L128" s="442"/>
      <c r="M128" s="442"/>
      <c r="N128" s="442"/>
      <c r="O128" s="442"/>
      <c r="P128" s="442"/>
      <c r="Q128" s="442"/>
      <c r="R128" s="442"/>
      <c r="S128" s="442"/>
      <c r="T128" s="442"/>
      <c r="U128" s="442"/>
      <c r="V128" s="442"/>
      <c r="W128" s="442"/>
      <c r="X128" s="442"/>
      <c r="Y128" s="442"/>
      <c r="Z128" s="442"/>
      <c r="AA128" s="442"/>
      <c r="AB128" s="442"/>
      <c r="AC128" s="442"/>
      <c r="AD128" s="442"/>
      <c r="AE128" s="442"/>
      <c r="AF128" s="442"/>
      <c r="AG128" s="442"/>
      <c r="AH128" s="442"/>
      <c r="AI128" s="442"/>
      <c r="AJ128" s="442"/>
      <c r="AK128" s="442"/>
      <c r="AL128" s="442"/>
      <c r="AM128" s="442"/>
      <c r="AN128" s="442"/>
      <c r="AO128" s="442"/>
      <c r="AP128" s="442"/>
      <c r="AQ128" s="442"/>
      <c r="AR128" s="442"/>
      <c r="AS128" s="442"/>
      <c r="AT128" s="442"/>
      <c r="AU128" s="442"/>
      <c r="AV128" s="442"/>
    </row>
    <row r="129" ht="15.75" customHeight="1">
      <c r="A129" s="442"/>
      <c r="B129" s="442"/>
      <c r="C129" s="442"/>
      <c r="D129" s="442"/>
      <c r="E129" s="442"/>
      <c r="F129" s="442"/>
      <c r="G129" s="442"/>
      <c r="H129" s="442"/>
      <c r="I129" s="442"/>
      <c r="J129" s="442"/>
      <c r="K129" s="442"/>
      <c r="L129" s="442"/>
      <c r="M129" s="442"/>
      <c r="N129" s="442"/>
      <c r="O129" s="442"/>
      <c r="P129" s="442"/>
      <c r="Q129" s="442"/>
      <c r="R129" s="442"/>
      <c r="S129" s="442"/>
      <c r="T129" s="442"/>
      <c r="U129" s="442"/>
      <c r="V129" s="442"/>
      <c r="W129" s="442"/>
      <c r="X129" s="442"/>
      <c r="Y129" s="442"/>
      <c r="Z129" s="442"/>
      <c r="AA129" s="442"/>
      <c r="AB129" s="442"/>
      <c r="AC129" s="442"/>
      <c r="AD129" s="442"/>
      <c r="AE129" s="442"/>
      <c r="AF129" s="442"/>
      <c r="AG129" s="442"/>
      <c r="AH129" s="442"/>
      <c r="AI129" s="442"/>
      <c r="AJ129" s="442"/>
      <c r="AK129" s="442"/>
      <c r="AL129" s="442"/>
      <c r="AM129" s="442"/>
      <c r="AN129" s="442"/>
      <c r="AO129" s="442"/>
      <c r="AP129" s="442"/>
      <c r="AQ129" s="442"/>
      <c r="AR129" s="442"/>
      <c r="AS129" s="442"/>
      <c r="AT129" s="442"/>
      <c r="AU129" s="442"/>
      <c r="AV129" s="442"/>
    </row>
    <row r="130" ht="15.75" customHeight="1">
      <c r="A130" s="442"/>
      <c r="B130" s="442"/>
      <c r="C130" s="442"/>
      <c r="D130" s="442"/>
      <c r="E130" s="442"/>
      <c r="F130" s="442"/>
      <c r="G130" s="442"/>
      <c r="H130" s="442"/>
      <c r="I130" s="442"/>
      <c r="J130" s="442"/>
      <c r="K130" s="442"/>
      <c r="L130" s="442"/>
      <c r="M130" s="442"/>
      <c r="N130" s="442"/>
      <c r="O130" s="442"/>
      <c r="P130" s="442"/>
      <c r="Q130" s="442"/>
      <c r="R130" s="442"/>
      <c r="S130" s="442"/>
      <c r="T130" s="442"/>
      <c r="U130" s="442"/>
      <c r="V130" s="442"/>
      <c r="W130" s="442"/>
      <c r="X130" s="442"/>
      <c r="Y130" s="442"/>
      <c r="Z130" s="442"/>
      <c r="AA130" s="442"/>
      <c r="AB130" s="442"/>
      <c r="AC130" s="442"/>
      <c r="AD130" s="442"/>
      <c r="AE130" s="442"/>
      <c r="AF130" s="442"/>
      <c r="AG130" s="442"/>
      <c r="AH130" s="442"/>
      <c r="AI130" s="442"/>
      <c r="AJ130" s="442"/>
      <c r="AK130" s="442"/>
      <c r="AL130" s="442"/>
      <c r="AM130" s="442"/>
      <c r="AN130" s="442"/>
      <c r="AO130" s="442"/>
      <c r="AP130" s="442"/>
      <c r="AQ130" s="442"/>
      <c r="AR130" s="442"/>
      <c r="AS130" s="442"/>
      <c r="AT130" s="442"/>
      <c r="AU130" s="442"/>
      <c r="AV130" s="442"/>
    </row>
    <row r="131" ht="15.75" customHeight="1">
      <c r="A131" s="442"/>
      <c r="B131" s="442"/>
      <c r="C131" s="442"/>
      <c r="D131" s="442"/>
      <c r="E131" s="442"/>
      <c r="F131" s="442"/>
      <c r="G131" s="442"/>
      <c r="H131" s="442"/>
      <c r="I131" s="442"/>
      <c r="J131" s="442"/>
      <c r="K131" s="442"/>
      <c r="L131" s="442"/>
      <c r="M131" s="442"/>
      <c r="N131" s="442"/>
      <c r="O131" s="442"/>
      <c r="P131" s="442"/>
      <c r="Q131" s="442"/>
      <c r="R131" s="442"/>
      <c r="S131" s="442"/>
      <c r="T131" s="442"/>
      <c r="U131" s="442"/>
      <c r="V131" s="442"/>
      <c r="W131" s="442"/>
      <c r="X131" s="442"/>
      <c r="Y131" s="442"/>
      <c r="Z131" s="442"/>
      <c r="AA131" s="442"/>
      <c r="AB131" s="442"/>
      <c r="AC131" s="442"/>
      <c r="AD131" s="442"/>
      <c r="AE131" s="442"/>
      <c r="AF131" s="442"/>
      <c r="AG131" s="442"/>
      <c r="AH131" s="442"/>
      <c r="AI131" s="442"/>
      <c r="AJ131" s="442"/>
      <c r="AK131" s="442"/>
      <c r="AL131" s="442"/>
      <c r="AM131" s="442"/>
      <c r="AN131" s="442"/>
      <c r="AO131" s="442"/>
      <c r="AP131" s="442"/>
      <c r="AQ131" s="442"/>
      <c r="AR131" s="442"/>
      <c r="AS131" s="442"/>
      <c r="AT131" s="442"/>
      <c r="AU131" s="442"/>
      <c r="AV131" s="442"/>
    </row>
    <row r="132" ht="15.75" customHeight="1">
      <c r="A132" s="442"/>
      <c r="B132" s="442"/>
      <c r="C132" s="442"/>
      <c r="D132" s="442"/>
      <c r="E132" s="442"/>
      <c r="F132" s="442"/>
      <c r="G132" s="442"/>
      <c r="H132" s="442"/>
      <c r="I132" s="442"/>
      <c r="J132" s="442"/>
      <c r="K132" s="442"/>
      <c r="L132" s="442"/>
      <c r="M132" s="442"/>
      <c r="N132" s="442"/>
      <c r="O132" s="442"/>
      <c r="P132" s="442"/>
      <c r="Q132" s="442"/>
      <c r="R132" s="442"/>
      <c r="S132" s="442"/>
      <c r="T132" s="442"/>
      <c r="U132" s="442"/>
      <c r="V132" s="442"/>
      <c r="W132" s="442"/>
      <c r="X132" s="442"/>
      <c r="Y132" s="442"/>
      <c r="Z132" s="442"/>
      <c r="AA132" s="442"/>
      <c r="AB132" s="442"/>
      <c r="AC132" s="442"/>
      <c r="AD132" s="442"/>
      <c r="AE132" s="442"/>
      <c r="AF132" s="442"/>
      <c r="AG132" s="442"/>
      <c r="AH132" s="442"/>
      <c r="AI132" s="442"/>
      <c r="AJ132" s="442"/>
      <c r="AK132" s="442"/>
      <c r="AL132" s="442"/>
      <c r="AM132" s="442"/>
      <c r="AN132" s="442"/>
      <c r="AO132" s="442"/>
      <c r="AP132" s="442"/>
      <c r="AQ132" s="442"/>
      <c r="AR132" s="442"/>
      <c r="AS132" s="442"/>
      <c r="AT132" s="442"/>
      <c r="AU132" s="442"/>
      <c r="AV132" s="442"/>
    </row>
    <row r="133" ht="15.75" customHeight="1">
      <c r="A133" s="442"/>
      <c r="B133" s="442"/>
      <c r="C133" s="442"/>
      <c r="D133" s="442"/>
      <c r="E133" s="442"/>
      <c r="F133" s="442"/>
      <c r="G133" s="442"/>
      <c r="H133" s="442"/>
      <c r="I133" s="442"/>
      <c r="J133" s="442"/>
      <c r="K133" s="442"/>
      <c r="L133" s="442"/>
      <c r="M133" s="442"/>
      <c r="N133" s="442"/>
      <c r="O133" s="442"/>
      <c r="P133" s="442"/>
      <c r="Q133" s="442"/>
      <c r="R133" s="442"/>
      <c r="S133" s="442"/>
      <c r="T133" s="442"/>
      <c r="U133" s="442"/>
      <c r="V133" s="442"/>
      <c r="W133" s="442"/>
      <c r="X133" s="442"/>
      <c r="Y133" s="442"/>
      <c r="Z133" s="442"/>
      <c r="AA133" s="442"/>
      <c r="AB133" s="442"/>
      <c r="AC133" s="442"/>
      <c r="AD133" s="442"/>
      <c r="AE133" s="442"/>
      <c r="AF133" s="442"/>
      <c r="AG133" s="442"/>
      <c r="AH133" s="442"/>
      <c r="AI133" s="442"/>
      <c r="AJ133" s="442"/>
      <c r="AK133" s="442"/>
      <c r="AL133" s="442"/>
      <c r="AM133" s="442"/>
      <c r="AN133" s="442"/>
      <c r="AO133" s="442"/>
      <c r="AP133" s="442"/>
      <c r="AQ133" s="442"/>
      <c r="AR133" s="442"/>
      <c r="AS133" s="442"/>
      <c r="AT133" s="442"/>
      <c r="AU133" s="442"/>
      <c r="AV133" s="442"/>
    </row>
    <row r="134" ht="15.75" customHeight="1">
      <c r="A134" s="442"/>
      <c r="B134" s="442"/>
      <c r="C134" s="442"/>
      <c r="D134" s="442"/>
      <c r="E134" s="442"/>
      <c r="F134" s="442"/>
      <c r="G134" s="442"/>
      <c r="H134" s="442"/>
      <c r="I134" s="442"/>
      <c r="J134" s="442"/>
      <c r="K134" s="442"/>
      <c r="L134" s="442"/>
      <c r="M134" s="442"/>
      <c r="N134" s="442"/>
      <c r="O134" s="442"/>
      <c r="P134" s="442"/>
      <c r="Q134" s="442"/>
      <c r="R134" s="442"/>
      <c r="S134" s="442"/>
      <c r="T134" s="442"/>
      <c r="U134" s="442"/>
      <c r="V134" s="442"/>
      <c r="W134" s="442"/>
      <c r="X134" s="442"/>
      <c r="Y134" s="442"/>
      <c r="Z134" s="442"/>
      <c r="AA134" s="442"/>
      <c r="AB134" s="442"/>
      <c r="AC134" s="442"/>
      <c r="AD134" s="442"/>
      <c r="AE134" s="442"/>
      <c r="AF134" s="442"/>
      <c r="AG134" s="442"/>
      <c r="AH134" s="442"/>
      <c r="AI134" s="442"/>
      <c r="AJ134" s="442"/>
      <c r="AK134" s="442"/>
      <c r="AL134" s="442"/>
      <c r="AM134" s="442"/>
      <c r="AN134" s="442"/>
      <c r="AO134" s="442"/>
      <c r="AP134" s="442"/>
      <c r="AQ134" s="442"/>
      <c r="AR134" s="442"/>
      <c r="AS134" s="442"/>
      <c r="AT134" s="442"/>
      <c r="AU134" s="442"/>
      <c r="AV134" s="442"/>
    </row>
    <row r="135" ht="15.75" customHeight="1">
      <c r="A135" s="442"/>
      <c r="B135" s="442"/>
      <c r="C135" s="442"/>
      <c r="D135" s="442"/>
      <c r="E135" s="442"/>
      <c r="F135" s="442"/>
      <c r="G135" s="442"/>
      <c r="H135" s="442"/>
      <c r="I135" s="442"/>
      <c r="J135" s="442"/>
      <c r="K135" s="442"/>
      <c r="L135" s="442"/>
      <c r="M135" s="442"/>
      <c r="N135" s="442"/>
      <c r="O135" s="442"/>
      <c r="P135" s="442"/>
      <c r="Q135" s="442"/>
      <c r="R135" s="442"/>
      <c r="S135" s="442"/>
      <c r="T135" s="442"/>
      <c r="U135" s="442"/>
      <c r="V135" s="442"/>
      <c r="W135" s="442"/>
      <c r="X135" s="442"/>
      <c r="Y135" s="442"/>
      <c r="Z135" s="442"/>
      <c r="AA135" s="442"/>
      <c r="AB135" s="442"/>
      <c r="AC135" s="442"/>
      <c r="AD135" s="442"/>
      <c r="AE135" s="442"/>
      <c r="AF135" s="442"/>
      <c r="AG135" s="442"/>
      <c r="AH135" s="442"/>
      <c r="AI135" s="442"/>
      <c r="AJ135" s="442"/>
      <c r="AK135" s="442"/>
      <c r="AL135" s="442"/>
      <c r="AM135" s="442"/>
      <c r="AN135" s="442"/>
      <c r="AO135" s="442"/>
      <c r="AP135" s="442"/>
      <c r="AQ135" s="442"/>
      <c r="AR135" s="442"/>
      <c r="AS135" s="442"/>
      <c r="AT135" s="442"/>
      <c r="AU135" s="442"/>
      <c r="AV135" s="442"/>
    </row>
    <row r="136" ht="15.75" customHeight="1">
      <c r="A136" s="442"/>
      <c r="B136" s="442"/>
      <c r="C136" s="442"/>
      <c r="D136" s="442"/>
      <c r="E136" s="442"/>
      <c r="F136" s="442"/>
      <c r="G136" s="442"/>
      <c r="H136" s="442"/>
      <c r="I136" s="442"/>
      <c r="J136" s="442"/>
      <c r="K136" s="442"/>
      <c r="L136" s="442"/>
      <c r="M136" s="442"/>
      <c r="N136" s="442"/>
      <c r="O136" s="442"/>
      <c r="P136" s="442"/>
      <c r="Q136" s="442"/>
      <c r="R136" s="442"/>
      <c r="S136" s="442"/>
      <c r="T136" s="442"/>
      <c r="U136" s="442"/>
      <c r="V136" s="442"/>
      <c r="W136" s="442"/>
      <c r="X136" s="442"/>
      <c r="Y136" s="442"/>
      <c r="Z136" s="442"/>
      <c r="AA136" s="442"/>
      <c r="AB136" s="442"/>
      <c r="AC136" s="442"/>
      <c r="AD136" s="442"/>
      <c r="AE136" s="442"/>
      <c r="AF136" s="442"/>
      <c r="AG136" s="442"/>
      <c r="AH136" s="442"/>
      <c r="AI136" s="442"/>
      <c r="AJ136" s="442"/>
      <c r="AK136" s="442"/>
      <c r="AL136" s="442"/>
      <c r="AM136" s="442"/>
      <c r="AN136" s="442"/>
      <c r="AO136" s="442"/>
      <c r="AP136" s="442"/>
      <c r="AQ136" s="442"/>
      <c r="AR136" s="442"/>
      <c r="AS136" s="442"/>
      <c r="AT136" s="442"/>
      <c r="AU136" s="442"/>
      <c r="AV136" s="442"/>
    </row>
    <row r="137" ht="15.75" customHeight="1">
      <c r="A137" s="442"/>
      <c r="B137" s="442"/>
      <c r="C137" s="442"/>
      <c r="D137" s="442"/>
      <c r="E137" s="442"/>
      <c r="F137" s="442"/>
      <c r="G137" s="442"/>
      <c r="H137" s="442"/>
      <c r="I137" s="442"/>
      <c r="J137" s="442"/>
      <c r="K137" s="442"/>
      <c r="L137" s="442"/>
      <c r="M137" s="442"/>
      <c r="N137" s="442"/>
      <c r="O137" s="442"/>
      <c r="P137" s="442"/>
      <c r="Q137" s="442"/>
      <c r="R137" s="442"/>
      <c r="S137" s="442"/>
      <c r="T137" s="442"/>
      <c r="U137" s="442"/>
      <c r="V137" s="442"/>
      <c r="W137" s="442"/>
      <c r="X137" s="442"/>
      <c r="Y137" s="442"/>
      <c r="Z137" s="442"/>
      <c r="AA137" s="442"/>
      <c r="AB137" s="442"/>
      <c r="AC137" s="442"/>
      <c r="AD137" s="442"/>
      <c r="AE137" s="442"/>
      <c r="AF137" s="442"/>
      <c r="AG137" s="442"/>
      <c r="AH137" s="442"/>
      <c r="AI137" s="442"/>
      <c r="AJ137" s="442"/>
      <c r="AK137" s="442"/>
      <c r="AL137" s="442"/>
      <c r="AM137" s="442"/>
      <c r="AN137" s="442"/>
      <c r="AO137" s="442"/>
      <c r="AP137" s="442"/>
      <c r="AQ137" s="442"/>
      <c r="AR137" s="442"/>
      <c r="AS137" s="442"/>
      <c r="AT137" s="442"/>
      <c r="AU137" s="442"/>
      <c r="AV137" s="442"/>
    </row>
    <row r="138" ht="15.75" customHeight="1">
      <c r="A138" s="442"/>
      <c r="B138" s="442"/>
      <c r="C138" s="442"/>
      <c r="D138" s="442"/>
      <c r="E138" s="442"/>
      <c r="F138" s="442"/>
      <c r="G138" s="442"/>
      <c r="H138" s="442"/>
      <c r="I138" s="442"/>
      <c r="J138" s="442"/>
      <c r="K138" s="442"/>
      <c r="L138" s="442"/>
      <c r="M138" s="442"/>
      <c r="N138" s="442"/>
      <c r="O138" s="442"/>
      <c r="P138" s="442"/>
      <c r="Q138" s="442"/>
      <c r="R138" s="442"/>
      <c r="S138" s="442"/>
      <c r="T138" s="442"/>
      <c r="U138" s="442"/>
      <c r="V138" s="442"/>
      <c r="W138" s="442"/>
      <c r="X138" s="442"/>
      <c r="Y138" s="442"/>
      <c r="Z138" s="442"/>
      <c r="AA138" s="442"/>
      <c r="AB138" s="442"/>
      <c r="AC138" s="442"/>
      <c r="AD138" s="442"/>
      <c r="AE138" s="442"/>
      <c r="AF138" s="442"/>
      <c r="AG138" s="442"/>
      <c r="AH138" s="442"/>
      <c r="AI138" s="442"/>
      <c r="AJ138" s="442"/>
      <c r="AK138" s="442"/>
      <c r="AL138" s="442"/>
      <c r="AM138" s="442"/>
      <c r="AN138" s="442"/>
      <c r="AO138" s="442"/>
      <c r="AP138" s="442"/>
      <c r="AQ138" s="442"/>
      <c r="AR138" s="442"/>
      <c r="AS138" s="442"/>
      <c r="AT138" s="442"/>
      <c r="AU138" s="442"/>
      <c r="AV138" s="442"/>
    </row>
    <row r="139" ht="15.75" customHeight="1">
      <c r="A139" s="442"/>
      <c r="B139" s="442"/>
      <c r="C139" s="442"/>
      <c r="D139" s="442"/>
      <c r="E139" s="442"/>
      <c r="F139" s="442"/>
      <c r="G139" s="442"/>
      <c r="H139" s="442"/>
      <c r="I139" s="442"/>
      <c r="J139" s="442"/>
      <c r="K139" s="442"/>
      <c r="L139" s="442"/>
      <c r="M139" s="442"/>
      <c r="N139" s="442"/>
      <c r="O139" s="442"/>
      <c r="P139" s="442"/>
      <c r="Q139" s="442"/>
      <c r="R139" s="442"/>
      <c r="S139" s="442"/>
      <c r="T139" s="442"/>
      <c r="U139" s="442"/>
      <c r="V139" s="442"/>
      <c r="W139" s="442"/>
      <c r="X139" s="442"/>
      <c r="Y139" s="442"/>
      <c r="Z139" s="442"/>
      <c r="AA139" s="442"/>
      <c r="AB139" s="442"/>
      <c r="AC139" s="442"/>
      <c r="AD139" s="442"/>
      <c r="AE139" s="442"/>
      <c r="AF139" s="442"/>
      <c r="AG139" s="442"/>
      <c r="AH139" s="442"/>
      <c r="AI139" s="442"/>
      <c r="AJ139" s="442"/>
      <c r="AK139" s="442"/>
      <c r="AL139" s="442"/>
      <c r="AM139" s="442"/>
      <c r="AN139" s="442"/>
      <c r="AO139" s="442"/>
      <c r="AP139" s="442"/>
      <c r="AQ139" s="442"/>
      <c r="AR139" s="442"/>
      <c r="AS139" s="442"/>
      <c r="AT139" s="442"/>
      <c r="AU139" s="442"/>
      <c r="AV139" s="442"/>
    </row>
    <row r="140" ht="15.75" customHeight="1">
      <c r="A140" s="442"/>
      <c r="B140" s="442"/>
      <c r="C140" s="442"/>
      <c r="D140" s="442"/>
      <c r="E140" s="442"/>
      <c r="F140" s="442"/>
      <c r="G140" s="442"/>
      <c r="H140" s="442"/>
      <c r="I140" s="442"/>
      <c r="J140" s="442"/>
      <c r="K140" s="442"/>
      <c r="L140" s="442"/>
      <c r="M140" s="442"/>
      <c r="N140" s="442"/>
      <c r="O140" s="442"/>
      <c r="P140" s="442"/>
      <c r="Q140" s="442"/>
      <c r="R140" s="442"/>
      <c r="S140" s="442"/>
      <c r="T140" s="442"/>
      <c r="U140" s="442"/>
      <c r="V140" s="442"/>
      <c r="W140" s="442"/>
      <c r="X140" s="442"/>
      <c r="Y140" s="442"/>
      <c r="Z140" s="442"/>
      <c r="AA140" s="442"/>
      <c r="AB140" s="442"/>
      <c r="AC140" s="442"/>
      <c r="AD140" s="442"/>
      <c r="AE140" s="442"/>
      <c r="AF140" s="442"/>
      <c r="AG140" s="442"/>
      <c r="AH140" s="442"/>
      <c r="AI140" s="442"/>
      <c r="AJ140" s="442"/>
      <c r="AK140" s="442"/>
      <c r="AL140" s="442"/>
      <c r="AM140" s="442"/>
      <c r="AN140" s="442"/>
      <c r="AO140" s="442"/>
      <c r="AP140" s="442"/>
      <c r="AQ140" s="442"/>
      <c r="AR140" s="442"/>
      <c r="AS140" s="442"/>
      <c r="AT140" s="442"/>
      <c r="AU140" s="442"/>
      <c r="AV140" s="442"/>
    </row>
    <row r="141" ht="15.75" customHeight="1">
      <c r="A141" s="442"/>
      <c r="B141" s="442"/>
      <c r="C141" s="442"/>
      <c r="D141" s="442"/>
      <c r="E141" s="442"/>
      <c r="F141" s="442"/>
      <c r="G141" s="442"/>
      <c r="H141" s="442"/>
      <c r="I141" s="442"/>
      <c r="J141" s="442"/>
      <c r="K141" s="442"/>
      <c r="L141" s="442"/>
      <c r="M141" s="442"/>
      <c r="N141" s="442"/>
      <c r="O141" s="442"/>
      <c r="P141" s="442"/>
      <c r="Q141" s="442"/>
      <c r="R141" s="442"/>
      <c r="S141" s="442"/>
      <c r="T141" s="442"/>
      <c r="U141" s="442"/>
      <c r="V141" s="442"/>
      <c r="W141" s="442"/>
      <c r="X141" s="442"/>
      <c r="Y141" s="442"/>
      <c r="Z141" s="442"/>
      <c r="AA141" s="442"/>
      <c r="AB141" s="442"/>
      <c r="AC141" s="442"/>
      <c r="AD141" s="442"/>
      <c r="AE141" s="442"/>
      <c r="AF141" s="442"/>
      <c r="AG141" s="442"/>
      <c r="AH141" s="442"/>
      <c r="AI141" s="442"/>
      <c r="AJ141" s="442"/>
      <c r="AK141" s="442"/>
      <c r="AL141" s="442"/>
      <c r="AM141" s="442"/>
      <c r="AN141" s="442"/>
      <c r="AO141" s="442"/>
      <c r="AP141" s="442"/>
      <c r="AQ141" s="442"/>
      <c r="AR141" s="442"/>
      <c r="AS141" s="442"/>
      <c r="AT141" s="442"/>
      <c r="AU141" s="442"/>
      <c r="AV141" s="442"/>
    </row>
    <row r="142" ht="15.75" customHeight="1">
      <c r="A142" s="442"/>
      <c r="B142" s="442"/>
      <c r="C142" s="442"/>
      <c r="D142" s="442"/>
      <c r="E142" s="442"/>
      <c r="F142" s="442"/>
      <c r="G142" s="442"/>
      <c r="H142" s="442"/>
      <c r="I142" s="442"/>
      <c r="J142" s="442"/>
      <c r="K142" s="442"/>
      <c r="L142" s="442"/>
      <c r="M142" s="442"/>
      <c r="N142" s="442"/>
      <c r="O142" s="442"/>
      <c r="P142" s="442"/>
      <c r="Q142" s="442"/>
      <c r="R142" s="442"/>
      <c r="S142" s="442"/>
      <c r="T142" s="442"/>
      <c r="U142" s="442"/>
      <c r="V142" s="442"/>
      <c r="W142" s="442"/>
      <c r="X142" s="442"/>
      <c r="Y142" s="442"/>
      <c r="Z142" s="442"/>
      <c r="AA142" s="442"/>
      <c r="AB142" s="442"/>
      <c r="AC142" s="442"/>
      <c r="AD142" s="442"/>
      <c r="AE142" s="442"/>
      <c r="AF142" s="442"/>
      <c r="AG142" s="442"/>
      <c r="AH142" s="442"/>
      <c r="AI142" s="442"/>
      <c r="AJ142" s="442"/>
      <c r="AK142" s="442"/>
      <c r="AL142" s="442"/>
      <c r="AM142" s="442"/>
      <c r="AN142" s="442"/>
      <c r="AO142" s="442"/>
      <c r="AP142" s="442"/>
      <c r="AQ142" s="442"/>
      <c r="AR142" s="442"/>
      <c r="AS142" s="442"/>
      <c r="AT142" s="442"/>
      <c r="AU142" s="442"/>
      <c r="AV142" s="442"/>
    </row>
    <row r="143" ht="15.75" customHeight="1">
      <c r="A143" s="442"/>
      <c r="B143" s="442"/>
      <c r="C143" s="442"/>
      <c r="D143" s="442"/>
      <c r="E143" s="442"/>
      <c r="F143" s="442"/>
      <c r="G143" s="442"/>
      <c r="H143" s="442"/>
      <c r="I143" s="442"/>
      <c r="J143" s="442"/>
      <c r="K143" s="442"/>
      <c r="L143" s="442"/>
      <c r="M143" s="442"/>
      <c r="N143" s="442"/>
      <c r="O143" s="442"/>
      <c r="P143" s="442"/>
      <c r="Q143" s="442"/>
      <c r="R143" s="442"/>
      <c r="S143" s="442"/>
      <c r="T143" s="442"/>
      <c r="U143" s="442"/>
      <c r="V143" s="442"/>
      <c r="W143" s="442"/>
      <c r="X143" s="442"/>
      <c r="Y143" s="442"/>
      <c r="Z143" s="442"/>
      <c r="AA143" s="442"/>
      <c r="AB143" s="442"/>
      <c r="AC143" s="442"/>
      <c r="AD143" s="442"/>
      <c r="AE143" s="442"/>
      <c r="AF143" s="442"/>
      <c r="AG143" s="442"/>
      <c r="AH143" s="442"/>
      <c r="AI143" s="442"/>
      <c r="AJ143" s="442"/>
      <c r="AK143" s="442"/>
      <c r="AL143" s="442"/>
      <c r="AM143" s="442"/>
      <c r="AN143" s="442"/>
      <c r="AO143" s="442"/>
      <c r="AP143" s="442"/>
      <c r="AQ143" s="442"/>
      <c r="AR143" s="442"/>
      <c r="AS143" s="442"/>
      <c r="AT143" s="442"/>
      <c r="AU143" s="442"/>
      <c r="AV143" s="442"/>
    </row>
    <row r="144" ht="15.75" customHeight="1">
      <c r="A144" s="442"/>
      <c r="B144" s="442"/>
      <c r="C144" s="442"/>
      <c r="D144" s="442"/>
      <c r="E144" s="442"/>
      <c r="F144" s="442"/>
      <c r="G144" s="442"/>
      <c r="H144" s="442"/>
      <c r="I144" s="442"/>
      <c r="J144" s="442"/>
      <c r="K144" s="442"/>
      <c r="L144" s="442"/>
      <c r="M144" s="442"/>
      <c r="N144" s="442"/>
      <c r="O144" s="442"/>
      <c r="P144" s="442"/>
      <c r="Q144" s="442"/>
      <c r="R144" s="442"/>
      <c r="S144" s="442"/>
      <c r="T144" s="442"/>
      <c r="U144" s="442"/>
      <c r="V144" s="442"/>
      <c r="W144" s="442"/>
      <c r="X144" s="442"/>
      <c r="Y144" s="442"/>
      <c r="Z144" s="442"/>
      <c r="AA144" s="442"/>
      <c r="AB144" s="442"/>
      <c r="AC144" s="442"/>
      <c r="AD144" s="442"/>
      <c r="AE144" s="442"/>
      <c r="AF144" s="442"/>
      <c r="AG144" s="442"/>
      <c r="AH144" s="442"/>
      <c r="AI144" s="442"/>
      <c r="AJ144" s="442"/>
      <c r="AK144" s="442"/>
      <c r="AL144" s="442"/>
      <c r="AM144" s="442"/>
      <c r="AN144" s="442"/>
      <c r="AO144" s="442"/>
      <c r="AP144" s="442"/>
      <c r="AQ144" s="442"/>
      <c r="AR144" s="442"/>
      <c r="AS144" s="442"/>
      <c r="AT144" s="442"/>
      <c r="AU144" s="442"/>
      <c r="AV144" s="442"/>
    </row>
    <row r="145" ht="15.75" customHeight="1">
      <c r="A145" s="442"/>
      <c r="B145" s="442"/>
      <c r="C145" s="442"/>
      <c r="D145" s="442"/>
      <c r="E145" s="442"/>
      <c r="F145" s="442"/>
      <c r="G145" s="442"/>
      <c r="H145" s="442"/>
      <c r="I145" s="442"/>
      <c r="J145" s="442"/>
      <c r="K145" s="442"/>
      <c r="L145" s="442"/>
      <c r="M145" s="442"/>
      <c r="N145" s="442"/>
      <c r="O145" s="442"/>
      <c r="P145" s="442"/>
      <c r="Q145" s="442"/>
      <c r="R145" s="442"/>
      <c r="S145" s="442"/>
      <c r="T145" s="442"/>
      <c r="U145" s="442"/>
      <c r="V145" s="442"/>
      <c r="W145" s="442"/>
      <c r="X145" s="442"/>
      <c r="Y145" s="442"/>
      <c r="Z145" s="442"/>
      <c r="AA145" s="442"/>
      <c r="AB145" s="442"/>
      <c r="AC145" s="442"/>
      <c r="AD145" s="442"/>
      <c r="AE145" s="442"/>
      <c r="AF145" s="442"/>
      <c r="AG145" s="442"/>
      <c r="AH145" s="442"/>
      <c r="AI145" s="442"/>
      <c r="AJ145" s="442"/>
      <c r="AK145" s="442"/>
      <c r="AL145" s="442"/>
      <c r="AM145" s="442"/>
      <c r="AN145" s="442"/>
      <c r="AO145" s="442"/>
      <c r="AP145" s="442"/>
      <c r="AQ145" s="442"/>
      <c r="AR145" s="442"/>
      <c r="AS145" s="442"/>
      <c r="AT145" s="442"/>
      <c r="AU145" s="442"/>
      <c r="AV145" s="442"/>
    </row>
    <row r="146" ht="15.75" customHeight="1">
      <c r="A146" s="442"/>
      <c r="B146" s="442"/>
      <c r="C146" s="442"/>
      <c r="D146" s="442"/>
      <c r="E146" s="442"/>
      <c r="F146" s="442"/>
      <c r="G146" s="442"/>
      <c r="H146" s="442"/>
      <c r="I146" s="442"/>
      <c r="J146" s="442"/>
      <c r="K146" s="442"/>
      <c r="L146" s="442"/>
      <c r="M146" s="442"/>
      <c r="N146" s="442"/>
      <c r="O146" s="442"/>
      <c r="P146" s="442"/>
      <c r="Q146" s="442"/>
      <c r="R146" s="442"/>
      <c r="S146" s="442"/>
      <c r="T146" s="442"/>
      <c r="U146" s="442"/>
      <c r="V146" s="442"/>
      <c r="W146" s="442"/>
      <c r="X146" s="442"/>
      <c r="Y146" s="442"/>
      <c r="Z146" s="442"/>
      <c r="AA146" s="442"/>
      <c r="AB146" s="442"/>
      <c r="AC146" s="442"/>
      <c r="AD146" s="442"/>
      <c r="AE146" s="442"/>
      <c r="AF146" s="442"/>
      <c r="AG146" s="442"/>
      <c r="AH146" s="442"/>
      <c r="AI146" s="442"/>
      <c r="AJ146" s="442"/>
      <c r="AK146" s="442"/>
      <c r="AL146" s="442"/>
      <c r="AM146" s="442"/>
      <c r="AN146" s="442"/>
      <c r="AO146" s="442"/>
      <c r="AP146" s="442"/>
      <c r="AQ146" s="442"/>
      <c r="AR146" s="442"/>
      <c r="AS146" s="442"/>
      <c r="AT146" s="442"/>
      <c r="AU146" s="442"/>
      <c r="AV146" s="442"/>
    </row>
    <row r="147" ht="15.75" customHeight="1">
      <c r="A147" s="442"/>
      <c r="B147" s="442"/>
      <c r="C147" s="442"/>
      <c r="D147" s="442"/>
      <c r="E147" s="442"/>
      <c r="F147" s="442"/>
      <c r="G147" s="442"/>
      <c r="H147" s="442"/>
      <c r="I147" s="442"/>
      <c r="J147" s="442"/>
      <c r="K147" s="442"/>
      <c r="L147" s="442"/>
      <c r="M147" s="442"/>
      <c r="N147" s="442"/>
      <c r="O147" s="442"/>
      <c r="P147" s="442"/>
      <c r="Q147" s="442"/>
      <c r="R147" s="442"/>
      <c r="S147" s="442"/>
      <c r="T147" s="442"/>
      <c r="U147" s="442"/>
      <c r="V147" s="442"/>
      <c r="W147" s="442"/>
      <c r="X147" s="442"/>
      <c r="Y147" s="442"/>
      <c r="Z147" s="442"/>
      <c r="AA147" s="442"/>
      <c r="AB147" s="442"/>
      <c r="AC147" s="442"/>
      <c r="AD147" s="442"/>
      <c r="AE147" s="442"/>
      <c r="AF147" s="442"/>
      <c r="AG147" s="442"/>
      <c r="AH147" s="442"/>
      <c r="AI147" s="442"/>
      <c r="AJ147" s="442"/>
      <c r="AK147" s="442"/>
      <c r="AL147" s="442"/>
      <c r="AM147" s="442"/>
      <c r="AN147" s="442"/>
      <c r="AO147" s="442"/>
      <c r="AP147" s="442"/>
      <c r="AQ147" s="442"/>
      <c r="AR147" s="442"/>
      <c r="AS147" s="442"/>
      <c r="AT147" s="442"/>
      <c r="AU147" s="442"/>
      <c r="AV147" s="442"/>
    </row>
    <row r="148" ht="15.75" customHeight="1">
      <c r="A148" s="442"/>
      <c r="B148" s="442"/>
      <c r="C148" s="442"/>
      <c r="D148" s="442"/>
      <c r="E148" s="442"/>
      <c r="F148" s="442"/>
      <c r="G148" s="442"/>
      <c r="H148" s="442"/>
      <c r="I148" s="442"/>
      <c r="J148" s="442"/>
      <c r="K148" s="442"/>
      <c r="L148" s="442"/>
      <c r="M148" s="442"/>
      <c r="N148" s="442"/>
      <c r="O148" s="442"/>
      <c r="P148" s="442"/>
      <c r="Q148" s="442"/>
      <c r="R148" s="442"/>
      <c r="S148" s="442"/>
      <c r="T148" s="442"/>
      <c r="U148" s="442"/>
      <c r="V148" s="442"/>
      <c r="W148" s="442"/>
      <c r="X148" s="442"/>
      <c r="Y148" s="442"/>
      <c r="Z148" s="442"/>
      <c r="AA148" s="442"/>
      <c r="AB148" s="442"/>
      <c r="AC148" s="442"/>
      <c r="AD148" s="442"/>
      <c r="AE148" s="442"/>
      <c r="AF148" s="442"/>
      <c r="AG148" s="442"/>
      <c r="AH148" s="442"/>
      <c r="AI148" s="442"/>
      <c r="AJ148" s="442"/>
      <c r="AK148" s="442"/>
      <c r="AL148" s="442"/>
      <c r="AM148" s="442"/>
      <c r="AN148" s="442"/>
      <c r="AO148" s="442"/>
      <c r="AP148" s="442"/>
      <c r="AQ148" s="442"/>
      <c r="AR148" s="442"/>
      <c r="AS148" s="442"/>
      <c r="AT148" s="442"/>
      <c r="AU148" s="442"/>
      <c r="AV148" s="442"/>
    </row>
    <row r="149" ht="15.75" customHeight="1">
      <c r="A149" s="442"/>
      <c r="B149" s="442"/>
      <c r="C149" s="442"/>
      <c r="D149" s="442"/>
      <c r="E149" s="442"/>
      <c r="F149" s="442"/>
      <c r="G149" s="442"/>
      <c r="H149" s="442"/>
      <c r="I149" s="442"/>
      <c r="J149" s="442"/>
      <c r="K149" s="442"/>
      <c r="L149" s="442"/>
      <c r="M149" s="442"/>
      <c r="N149" s="442"/>
      <c r="O149" s="442"/>
      <c r="P149" s="442"/>
      <c r="Q149" s="442"/>
      <c r="R149" s="442"/>
      <c r="S149" s="442"/>
      <c r="T149" s="442"/>
      <c r="U149" s="442"/>
      <c r="V149" s="442"/>
      <c r="W149" s="442"/>
      <c r="X149" s="442"/>
      <c r="Y149" s="442"/>
      <c r="Z149" s="442"/>
      <c r="AA149" s="442"/>
      <c r="AB149" s="442"/>
      <c r="AC149" s="442"/>
      <c r="AD149" s="442"/>
      <c r="AE149" s="442"/>
      <c r="AF149" s="442"/>
      <c r="AG149" s="442"/>
      <c r="AH149" s="442"/>
      <c r="AI149" s="442"/>
      <c r="AJ149" s="442"/>
      <c r="AK149" s="442"/>
      <c r="AL149" s="442"/>
      <c r="AM149" s="442"/>
      <c r="AN149" s="442"/>
      <c r="AO149" s="442"/>
      <c r="AP149" s="442"/>
      <c r="AQ149" s="442"/>
      <c r="AR149" s="442"/>
      <c r="AS149" s="442"/>
      <c r="AT149" s="442"/>
      <c r="AU149" s="442"/>
      <c r="AV149" s="442"/>
    </row>
    <row r="150" ht="15.75" customHeight="1">
      <c r="A150" s="442"/>
      <c r="B150" s="442"/>
      <c r="C150" s="442"/>
      <c r="D150" s="442"/>
      <c r="E150" s="442"/>
      <c r="F150" s="442"/>
      <c r="G150" s="442"/>
      <c r="H150" s="442"/>
      <c r="I150" s="442"/>
      <c r="J150" s="442"/>
      <c r="K150" s="442"/>
      <c r="L150" s="442"/>
      <c r="M150" s="442"/>
      <c r="N150" s="442"/>
      <c r="O150" s="442"/>
      <c r="P150" s="442"/>
      <c r="Q150" s="442"/>
      <c r="R150" s="442"/>
      <c r="S150" s="442"/>
      <c r="T150" s="442"/>
      <c r="U150" s="442"/>
      <c r="V150" s="442"/>
      <c r="W150" s="442"/>
      <c r="X150" s="442"/>
      <c r="Y150" s="442"/>
      <c r="Z150" s="442"/>
      <c r="AA150" s="442"/>
      <c r="AB150" s="442"/>
      <c r="AC150" s="442"/>
      <c r="AD150" s="442"/>
      <c r="AE150" s="442"/>
      <c r="AF150" s="442"/>
      <c r="AG150" s="442"/>
      <c r="AH150" s="442"/>
      <c r="AI150" s="442"/>
      <c r="AJ150" s="442"/>
      <c r="AK150" s="442"/>
      <c r="AL150" s="442"/>
      <c r="AM150" s="442"/>
      <c r="AN150" s="442"/>
      <c r="AO150" s="442"/>
      <c r="AP150" s="442"/>
      <c r="AQ150" s="442"/>
      <c r="AR150" s="442"/>
      <c r="AS150" s="442"/>
      <c r="AT150" s="442"/>
      <c r="AU150" s="442"/>
      <c r="AV150" s="442"/>
    </row>
    <row r="151" ht="15.75" customHeight="1">
      <c r="A151" s="442"/>
      <c r="B151" s="442"/>
      <c r="C151" s="442"/>
      <c r="D151" s="442"/>
      <c r="E151" s="442"/>
      <c r="F151" s="442"/>
      <c r="G151" s="442"/>
      <c r="H151" s="442"/>
      <c r="I151" s="442"/>
      <c r="J151" s="442"/>
      <c r="K151" s="442"/>
      <c r="L151" s="442"/>
      <c r="M151" s="442"/>
      <c r="N151" s="442"/>
      <c r="O151" s="442"/>
      <c r="P151" s="442"/>
      <c r="Q151" s="442"/>
      <c r="R151" s="442"/>
      <c r="S151" s="442"/>
      <c r="T151" s="442"/>
      <c r="U151" s="442"/>
      <c r="V151" s="442"/>
      <c r="W151" s="442"/>
      <c r="X151" s="442"/>
      <c r="Y151" s="442"/>
      <c r="Z151" s="442"/>
      <c r="AA151" s="442"/>
      <c r="AB151" s="442"/>
      <c r="AC151" s="442"/>
      <c r="AD151" s="442"/>
      <c r="AE151" s="442"/>
      <c r="AF151" s="442"/>
      <c r="AG151" s="442"/>
      <c r="AH151" s="442"/>
      <c r="AI151" s="442"/>
      <c r="AJ151" s="442"/>
      <c r="AK151" s="442"/>
      <c r="AL151" s="442"/>
      <c r="AM151" s="442"/>
      <c r="AN151" s="442"/>
      <c r="AO151" s="442"/>
      <c r="AP151" s="442"/>
      <c r="AQ151" s="442"/>
      <c r="AR151" s="442"/>
      <c r="AS151" s="442"/>
      <c r="AT151" s="442"/>
      <c r="AU151" s="442"/>
      <c r="AV151" s="442"/>
    </row>
    <row r="152" ht="15.75" customHeight="1">
      <c r="A152" s="442"/>
      <c r="B152" s="442"/>
      <c r="C152" s="442"/>
      <c r="D152" s="442"/>
      <c r="E152" s="442"/>
      <c r="F152" s="442"/>
      <c r="G152" s="442"/>
      <c r="H152" s="442"/>
      <c r="I152" s="442"/>
      <c r="J152" s="442"/>
      <c r="K152" s="442"/>
      <c r="L152" s="442"/>
      <c r="M152" s="442"/>
      <c r="N152" s="442"/>
      <c r="O152" s="442"/>
      <c r="P152" s="442"/>
      <c r="Q152" s="442"/>
      <c r="R152" s="442"/>
      <c r="S152" s="442"/>
      <c r="T152" s="442"/>
      <c r="U152" s="442"/>
      <c r="V152" s="442"/>
      <c r="W152" s="442"/>
      <c r="X152" s="442"/>
      <c r="Y152" s="442"/>
      <c r="Z152" s="442"/>
      <c r="AA152" s="442"/>
      <c r="AB152" s="442"/>
      <c r="AC152" s="442"/>
      <c r="AD152" s="442"/>
      <c r="AE152" s="442"/>
      <c r="AF152" s="442"/>
      <c r="AG152" s="442"/>
      <c r="AH152" s="442"/>
      <c r="AI152" s="442"/>
      <c r="AJ152" s="442"/>
      <c r="AK152" s="442"/>
      <c r="AL152" s="442"/>
      <c r="AM152" s="442"/>
      <c r="AN152" s="442"/>
      <c r="AO152" s="442"/>
      <c r="AP152" s="442"/>
      <c r="AQ152" s="442"/>
      <c r="AR152" s="442"/>
      <c r="AS152" s="442"/>
      <c r="AT152" s="442"/>
      <c r="AU152" s="442"/>
      <c r="AV152" s="442"/>
    </row>
    <row r="153" ht="15.75" customHeight="1">
      <c r="A153" s="442"/>
      <c r="B153" s="442"/>
      <c r="C153" s="442"/>
      <c r="D153" s="442"/>
      <c r="E153" s="442"/>
      <c r="F153" s="442"/>
      <c r="G153" s="442"/>
      <c r="H153" s="442"/>
      <c r="I153" s="442"/>
      <c r="J153" s="442"/>
      <c r="K153" s="442"/>
      <c r="L153" s="442"/>
      <c r="M153" s="442"/>
      <c r="N153" s="442"/>
      <c r="O153" s="442"/>
      <c r="P153" s="442"/>
      <c r="Q153" s="442"/>
      <c r="R153" s="442"/>
      <c r="S153" s="442"/>
      <c r="T153" s="442"/>
      <c r="U153" s="442"/>
      <c r="V153" s="442"/>
      <c r="W153" s="442"/>
      <c r="X153" s="442"/>
      <c r="Y153" s="442"/>
      <c r="Z153" s="442"/>
      <c r="AA153" s="442"/>
      <c r="AB153" s="442"/>
      <c r="AC153" s="442"/>
      <c r="AD153" s="442"/>
      <c r="AE153" s="442"/>
      <c r="AF153" s="442"/>
      <c r="AG153" s="442"/>
      <c r="AH153" s="442"/>
      <c r="AI153" s="442"/>
      <c r="AJ153" s="442"/>
      <c r="AK153" s="442"/>
      <c r="AL153" s="442"/>
      <c r="AM153" s="442"/>
      <c r="AN153" s="442"/>
      <c r="AO153" s="442"/>
      <c r="AP153" s="442"/>
      <c r="AQ153" s="442"/>
      <c r="AR153" s="442"/>
      <c r="AS153" s="442"/>
      <c r="AT153" s="442"/>
      <c r="AU153" s="442"/>
      <c r="AV153" s="442"/>
    </row>
    <row r="154" ht="15.75" customHeight="1">
      <c r="A154" s="442"/>
      <c r="B154" s="442"/>
      <c r="C154" s="442"/>
      <c r="D154" s="442"/>
      <c r="E154" s="442"/>
      <c r="F154" s="442"/>
      <c r="G154" s="442"/>
      <c r="H154" s="442"/>
      <c r="I154" s="442"/>
      <c r="J154" s="442"/>
      <c r="K154" s="442"/>
      <c r="L154" s="442"/>
      <c r="M154" s="442"/>
      <c r="N154" s="442"/>
      <c r="O154" s="442"/>
      <c r="P154" s="442"/>
      <c r="Q154" s="442"/>
      <c r="R154" s="442"/>
      <c r="S154" s="442"/>
      <c r="T154" s="442"/>
      <c r="U154" s="442"/>
      <c r="V154" s="442"/>
      <c r="W154" s="442"/>
      <c r="X154" s="442"/>
      <c r="Y154" s="442"/>
      <c r="Z154" s="442"/>
      <c r="AA154" s="442"/>
      <c r="AB154" s="442"/>
      <c r="AC154" s="442"/>
      <c r="AD154" s="442"/>
      <c r="AE154" s="442"/>
      <c r="AF154" s="442"/>
      <c r="AG154" s="442"/>
      <c r="AH154" s="442"/>
      <c r="AI154" s="442"/>
      <c r="AJ154" s="442"/>
      <c r="AK154" s="442"/>
      <c r="AL154" s="442"/>
      <c r="AM154" s="442"/>
      <c r="AN154" s="442"/>
      <c r="AO154" s="442"/>
      <c r="AP154" s="442"/>
      <c r="AQ154" s="442"/>
      <c r="AR154" s="442"/>
      <c r="AS154" s="442"/>
      <c r="AT154" s="442"/>
      <c r="AU154" s="442"/>
      <c r="AV154" s="442"/>
    </row>
    <row r="155" ht="15.75" customHeight="1">
      <c r="A155" s="442"/>
      <c r="B155" s="442"/>
      <c r="C155" s="442"/>
      <c r="D155" s="442"/>
      <c r="E155" s="442"/>
      <c r="F155" s="442"/>
      <c r="G155" s="442"/>
      <c r="H155" s="442"/>
      <c r="I155" s="442"/>
      <c r="J155" s="442"/>
      <c r="K155" s="442"/>
      <c r="L155" s="442"/>
      <c r="M155" s="442"/>
      <c r="N155" s="442"/>
      <c r="O155" s="442"/>
      <c r="P155" s="442"/>
      <c r="Q155" s="442"/>
      <c r="R155" s="442"/>
      <c r="S155" s="442"/>
      <c r="T155" s="442"/>
      <c r="U155" s="442"/>
      <c r="V155" s="442"/>
      <c r="W155" s="442"/>
      <c r="X155" s="442"/>
      <c r="Y155" s="442"/>
      <c r="Z155" s="442"/>
      <c r="AA155" s="442"/>
      <c r="AB155" s="442"/>
      <c r="AC155" s="442"/>
      <c r="AD155" s="442"/>
      <c r="AE155" s="442"/>
      <c r="AF155" s="442"/>
      <c r="AG155" s="442"/>
      <c r="AH155" s="442"/>
      <c r="AI155" s="442"/>
      <c r="AJ155" s="442"/>
      <c r="AK155" s="442"/>
      <c r="AL155" s="442"/>
      <c r="AM155" s="442"/>
      <c r="AN155" s="442"/>
      <c r="AO155" s="442"/>
      <c r="AP155" s="442"/>
      <c r="AQ155" s="442"/>
      <c r="AR155" s="442"/>
      <c r="AS155" s="442"/>
      <c r="AT155" s="442"/>
      <c r="AU155" s="442"/>
      <c r="AV155" s="442"/>
    </row>
    <row r="156" ht="15.75" customHeight="1">
      <c r="A156" s="442"/>
      <c r="B156" s="442"/>
      <c r="C156" s="442"/>
      <c r="D156" s="442"/>
      <c r="E156" s="442"/>
      <c r="F156" s="442"/>
      <c r="G156" s="442"/>
      <c r="H156" s="442"/>
      <c r="I156" s="442"/>
      <c r="J156" s="442"/>
      <c r="K156" s="442"/>
      <c r="L156" s="442"/>
      <c r="M156" s="442"/>
      <c r="N156" s="442"/>
      <c r="O156" s="442"/>
      <c r="P156" s="442"/>
      <c r="Q156" s="442"/>
      <c r="R156" s="442"/>
      <c r="S156" s="442"/>
      <c r="T156" s="442"/>
      <c r="U156" s="442"/>
      <c r="V156" s="442"/>
      <c r="W156" s="442"/>
      <c r="X156" s="442"/>
      <c r="Y156" s="442"/>
      <c r="Z156" s="442"/>
      <c r="AA156" s="442"/>
      <c r="AB156" s="442"/>
      <c r="AC156" s="442"/>
      <c r="AD156" s="442"/>
      <c r="AE156" s="442"/>
      <c r="AF156" s="442"/>
      <c r="AG156" s="442"/>
      <c r="AH156" s="442"/>
      <c r="AI156" s="442"/>
      <c r="AJ156" s="442"/>
      <c r="AK156" s="442"/>
      <c r="AL156" s="442"/>
      <c r="AM156" s="442"/>
      <c r="AN156" s="442"/>
      <c r="AO156" s="442"/>
      <c r="AP156" s="442"/>
      <c r="AQ156" s="442"/>
      <c r="AR156" s="442"/>
      <c r="AS156" s="442"/>
      <c r="AT156" s="442"/>
      <c r="AU156" s="442"/>
      <c r="AV156" s="442"/>
    </row>
    <row r="157" ht="15.75" customHeight="1">
      <c r="A157" s="442"/>
      <c r="B157" s="442"/>
      <c r="C157" s="442"/>
      <c r="D157" s="442"/>
      <c r="E157" s="442"/>
      <c r="F157" s="442"/>
      <c r="G157" s="442"/>
      <c r="H157" s="442"/>
      <c r="I157" s="442"/>
      <c r="J157" s="442"/>
      <c r="K157" s="442"/>
      <c r="L157" s="442"/>
      <c r="M157" s="442"/>
      <c r="N157" s="442"/>
      <c r="O157" s="442"/>
      <c r="P157" s="442"/>
      <c r="Q157" s="442"/>
      <c r="R157" s="442"/>
      <c r="S157" s="442"/>
      <c r="T157" s="442"/>
      <c r="U157" s="442"/>
      <c r="V157" s="442"/>
      <c r="W157" s="442"/>
      <c r="X157" s="442"/>
      <c r="Y157" s="442"/>
      <c r="Z157" s="442"/>
      <c r="AA157" s="442"/>
      <c r="AB157" s="442"/>
      <c r="AC157" s="442"/>
      <c r="AD157" s="442"/>
      <c r="AE157" s="442"/>
      <c r="AF157" s="442"/>
      <c r="AG157" s="442"/>
      <c r="AH157" s="442"/>
      <c r="AI157" s="442"/>
      <c r="AJ157" s="442"/>
      <c r="AK157" s="442"/>
      <c r="AL157" s="442"/>
      <c r="AM157" s="442"/>
      <c r="AN157" s="442"/>
      <c r="AO157" s="442"/>
      <c r="AP157" s="442"/>
      <c r="AQ157" s="442"/>
      <c r="AR157" s="442"/>
      <c r="AS157" s="442"/>
      <c r="AT157" s="442"/>
      <c r="AU157" s="442"/>
      <c r="AV157" s="442"/>
    </row>
    <row r="158" ht="15.75" customHeight="1">
      <c r="A158" s="442"/>
      <c r="B158" s="442"/>
      <c r="C158" s="442"/>
      <c r="D158" s="442"/>
      <c r="E158" s="442"/>
      <c r="F158" s="442"/>
      <c r="G158" s="442"/>
      <c r="H158" s="442"/>
      <c r="I158" s="442"/>
      <c r="J158" s="442"/>
      <c r="K158" s="442"/>
      <c r="L158" s="442"/>
      <c r="M158" s="442"/>
      <c r="N158" s="442"/>
      <c r="O158" s="442"/>
      <c r="P158" s="442"/>
      <c r="Q158" s="442"/>
      <c r="R158" s="442"/>
      <c r="S158" s="442"/>
      <c r="T158" s="442"/>
      <c r="U158" s="442"/>
      <c r="V158" s="442"/>
      <c r="W158" s="442"/>
      <c r="X158" s="442"/>
      <c r="Y158" s="442"/>
      <c r="Z158" s="442"/>
      <c r="AA158" s="442"/>
      <c r="AB158" s="442"/>
      <c r="AC158" s="442"/>
      <c r="AD158" s="442"/>
      <c r="AE158" s="442"/>
      <c r="AF158" s="442"/>
      <c r="AG158" s="442"/>
      <c r="AH158" s="442"/>
      <c r="AI158" s="442"/>
      <c r="AJ158" s="442"/>
      <c r="AK158" s="442"/>
      <c r="AL158" s="442"/>
      <c r="AM158" s="442"/>
      <c r="AN158" s="442"/>
      <c r="AO158" s="442"/>
      <c r="AP158" s="442"/>
      <c r="AQ158" s="442"/>
      <c r="AR158" s="442"/>
      <c r="AS158" s="442"/>
      <c r="AT158" s="442"/>
      <c r="AU158" s="442"/>
      <c r="AV158" s="442"/>
    </row>
    <row r="159" ht="15.75" customHeight="1">
      <c r="A159" s="442"/>
      <c r="B159" s="442"/>
      <c r="C159" s="442"/>
      <c r="D159" s="442"/>
      <c r="E159" s="442"/>
      <c r="F159" s="442"/>
      <c r="G159" s="442"/>
      <c r="H159" s="442"/>
      <c r="I159" s="442"/>
      <c r="J159" s="442"/>
      <c r="K159" s="442"/>
      <c r="L159" s="442"/>
      <c r="M159" s="442"/>
      <c r="N159" s="442"/>
      <c r="O159" s="442"/>
      <c r="P159" s="442"/>
      <c r="Q159" s="442"/>
      <c r="R159" s="442"/>
      <c r="S159" s="442"/>
      <c r="T159" s="442"/>
      <c r="U159" s="442"/>
      <c r="V159" s="442"/>
      <c r="W159" s="442"/>
      <c r="X159" s="442"/>
      <c r="Y159" s="442"/>
      <c r="Z159" s="442"/>
      <c r="AA159" s="442"/>
      <c r="AB159" s="442"/>
      <c r="AC159" s="442"/>
      <c r="AD159" s="442"/>
      <c r="AE159" s="442"/>
      <c r="AF159" s="442"/>
      <c r="AG159" s="442"/>
      <c r="AH159" s="442"/>
      <c r="AI159" s="442"/>
      <c r="AJ159" s="442"/>
      <c r="AK159" s="442"/>
      <c r="AL159" s="442"/>
      <c r="AM159" s="442"/>
      <c r="AN159" s="442"/>
      <c r="AO159" s="442"/>
      <c r="AP159" s="442"/>
      <c r="AQ159" s="442"/>
      <c r="AR159" s="442"/>
      <c r="AS159" s="442"/>
      <c r="AT159" s="442"/>
      <c r="AU159" s="442"/>
      <c r="AV159" s="442"/>
    </row>
    <row r="160" ht="15.75" customHeight="1">
      <c r="A160" s="442"/>
      <c r="B160" s="442"/>
      <c r="C160" s="442"/>
      <c r="D160" s="442"/>
      <c r="E160" s="442"/>
      <c r="F160" s="442"/>
      <c r="G160" s="442"/>
      <c r="H160" s="442"/>
      <c r="I160" s="442"/>
      <c r="J160" s="442"/>
      <c r="K160" s="442"/>
      <c r="L160" s="442"/>
      <c r="M160" s="442"/>
      <c r="N160" s="442"/>
      <c r="O160" s="442"/>
      <c r="P160" s="442"/>
      <c r="Q160" s="442"/>
      <c r="R160" s="442"/>
      <c r="S160" s="442"/>
      <c r="T160" s="442"/>
      <c r="U160" s="442"/>
      <c r="V160" s="442"/>
      <c r="W160" s="442"/>
      <c r="X160" s="442"/>
      <c r="Y160" s="442"/>
      <c r="Z160" s="442"/>
      <c r="AA160" s="442"/>
      <c r="AB160" s="442"/>
      <c r="AC160" s="442"/>
      <c r="AD160" s="442"/>
      <c r="AE160" s="442"/>
      <c r="AF160" s="442"/>
      <c r="AG160" s="442"/>
      <c r="AH160" s="442"/>
      <c r="AI160" s="442"/>
      <c r="AJ160" s="442"/>
      <c r="AK160" s="442"/>
      <c r="AL160" s="442"/>
      <c r="AM160" s="442"/>
      <c r="AN160" s="442"/>
      <c r="AO160" s="442"/>
      <c r="AP160" s="442"/>
      <c r="AQ160" s="442"/>
      <c r="AR160" s="442"/>
      <c r="AS160" s="442"/>
      <c r="AT160" s="442"/>
      <c r="AU160" s="442"/>
      <c r="AV160" s="442"/>
    </row>
    <row r="161" ht="15.75" customHeight="1">
      <c r="A161" s="442"/>
      <c r="B161" s="442"/>
      <c r="C161" s="442"/>
      <c r="D161" s="442"/>
      <c r="E161" s="442"/>
      <c r="F161" s="442"/>
      <c r="G161" s="442"/>
      <c r="H161" s="442"/>
      <c r="I161" s="442"/>
      <c r="J161" s="442"/>
      <c r="K161" s="442"/>
      <c r="L161" s="442"/>
      <c r="M161" s="442"/>
      <c r="N161" s="442"/>
      <c r="O161" s="442"/>
      <c r="P161" s="442"/>
      <c r="Q161" s="442"/>
      <c r="R161" s="442"/>
      <c r="S161" s="442"/>
      <c r="T161" s="442"/>
      <c r="U161" s="442"/>
      <c r="V161" s="442"/>
      <c r="W161" s="442"/>
      <c r="X161" s="442"/>
      <c r="Y161" s="442"/>
      <c r="Z161" s="442"/>
      <c r="AA161" s="442"/>
      <c r="AB161" s="442"/>
      <c r="AC161" s="442"/>
      <c r="AD161" s="442"/>
      <c r="AE161" s="442"/>
      <c r="AF161" s="442"/>
      <c r="AG161" s="442"/>
      <c r="AH161" s="442"/>
      <c r="AI161" s="442"/>
      <c r="AJ161" s="442"/>
      <c r="AK161" s="442"/>
      <c r="AL161" s="442"/>
      <c r="AM161" s="442"/>
      <c r="AN161" s="442"/>
      <c r="AO161" s="442"/>
      <c r="AP161" s="442"/>
      <c r="AQ161" s="442"/>
      <c r="AR161" s="442"/>
      <c r="AS161" s="442"/>
      <c r="AT161" s="442"/>
      <c r="AU161" s="442"/>
      <c r="AV161" s="442"/>
    </row>
    <row r="162" ht="15.75" customHeight="1">
      <c r="A162" s="442"/>
      <c r="B162" s="442"/>
      <c r="C162" s="442"/>
      <c r="D162" s="442"/>
      <c r="E162" s="442"/>
      <c r="F162" s="442"/>
      <c r="G162" s="442"/>
      <c r="H162" s="442"/>
      <c r="I162" s="442"/>
      <c r="J162" s="442"/>
      <c r="K162" s="442"/>
      <c r="L162" s="442"/>
      <c r="M162" s="442"/>
      <c r="N162" s="442"/>
      <c r="O162" s="442"/>
      <c r="P162" s="442"/>
      <c r="Q162" s="442"/>
      <c r="R162" s="442"/>
      <c r="S162" s="442"/>
      <c r="T162" s="442"/>
      <c r="U162" s="442"/>
      <c r="V162" s="442"/>
      <c r="W162" s="442"/>
      <c r="X162" s="442"/>
      <c r="Y162" s="442"/>
      <c r="Z162" s="442"/>
      <c r="AA162" s="442"/>
      <c r="AB162" s="442"/>
      <c r="AC162" s="442"/>
      <c r="AD162" s="442"/>
      <c r="AE162" s="442"/>
      <c r="AF162" s="442"/>
      <c r="AG162" s="442"/>
      <c r="AH162" s="442"/>
      <c r="AI162" s="442"/>
      <c r="AJ162" s="442"/>
      <c r="AK162" s="442"/>
      <c r="AL162" s="442"/>
      <c r="AM162" s="442"/>
      <c r="AN162" s="442"/>
      <c r="AO162" s="442"/>
      <c r="AP162" s="442"/>
      <c r="AQ162" s="442"/>
      <c r="AR162" s="442"/>
      <c r="AS162" s="442"/>
      <c r="AT162" s="442"/>
      <c r="AU162" s="442"/>
      <c r="AV162" s="442"/>
    </row>
    <row r="163" ht="15.75" customHeight="1">
      <c r="A163" s="442"/>
      <c r="B163" s="442"/>
      <c r="C163" s="442"/>
      <c r="D163" s="442"/>
      <c r="E163" s="442"/>
      <c r="F163" s="442"/>
      <c r="G163" s="442"/>
      <c r="H163" s="442"/>
      <c r="I163" s="442"/>
      <c r="J163" s="442"/>
      <c r="K163" s="442"/>
      <c r="L163" s="442"/>
      <c r="M163" s="442"/>
      <c r="N163" s="442"/>
      <c r="O163" s="442"/>
      <c r="P163" s="442"/>
      <c r="Q163" s="442"/>
      <c r="R163" s="442"/>
      <c r="S163" s="442"/>
      <c r="T163" s="442"/>
      <c r="U163" s="442"/>
      <c r="V163" s="442"/>
      <c r="W163" s="442"/>
      <c r="X163" s="442"/>
      <c r="Y163" s="442"/>
      <c r="Z163" s="442"/>
      <c r="AA163" s="442"/>
      <c r="AB163" s="442"/>
      <c r="AC163" s="442"/>
      <c r="AD163" s="442"/>
      <c r="AE163" s="442"/>
      <c r="AF163" s="442"/>
      <c r="AG163" s="442"/>
      <c r="AH163" s="442"/>
      <c r="AI163" s="442"/>
      <c r="AJ163" s="442"/>
      <c r="AK163" s="442"/>
      <c r="AL163" s="442"/>
      <c r="AM163" s="442"/>
      <c r="AN163" s="442"/>
      <c r="AO163" s="442"/>
      <c r="AP163" s="442"/>
      <c r="AQ163" s="442"/>
      <c r="AR163" s="442"/>
      <c r="AS163" s="442"/>
      <c r="AT163" s="442"/>
      <c r="AU163" s="442"/>
      <c r="AV163" s="442"/>
    </row>
    <row r="164" ht="15.75" customHeight="1">
      <c r="A164" s="442"/>
      <c r="B164" s="442"/>
      <c r="C164" s="442"/>
      <c r="D164" s="442"/>
      <c r="E164" s="442"/>
      <c r="F164" s="442"/>
      <c r="G164" s="442"/>
      <c r="H164" s="442"/>
      <c r="I164" s="442"/>
      <c r="J164" s="442"/>
      <c r="K164" s="442"/>
      <c r="L164" s="442"/>
      <c r="M164" s="442"/>
      <c r="N164" s="442"/>
      <c r="O164" s="442"/>
      <c r="P164" s="442"/>
      <c r="Q164" s="442"/>
      <c r="R164" s="442"/>
      <c r="S164" s="442"/>
      <c r="T164" s="442"/>
      <c r="U164" s="442"/>
      <c r="V164" s="442"/>
      <c r="W164" s="442"/>
      <c r="X164" s="442"/>
      <c r="Y164" s="442"/>
      <c r="Z164" s="442"/>
      <c r="AA164" s="442"/>
      <c r="AB164" s="442"/>
      <c r="AC164" s="442"/>
      <c r="AD164" s="442"/>
      <c r="AE164" s="442"/>
      <c r="AF164" s="442"/>
      <c r="AG164" s="442"/>
      <c r="AH164" s="442"/>
      <c r="AI164" s="442"/>
      <c r="AJ164" s="442"/>
      <c r="AK164" s="442"/>
      <c r="AL164" s="442"/>
      <c r="AM164" s="442"/>
      <c r="AN164" s="442"/>
      <c r="AO164" s="442"/>
      <c r="AP164" s="442"/>
      <c r="AQ164" s="442"/>
      <c r="AR164" s="442"/>
      <c r="AS164" s="442"/>
      <c r="AT164" s="442"/>
      <c r="AU164" s="442"/>
      <c r="AV164" s="442"/>
    </row>
    <row r="165" ht="15.75" customHeight="1">
      <c r="A165" s="442"/>
      <c r="B165" s="442"/>
      <c r="C165" s="442"/>
      <c r="D165" s="442"/>
      <c r="E165" s="442"/>
      <c r="F165" s="442"/>
      <c r="G165" s="442"/>
      <c r="H165" s="442"/>
      <c r="I165" s="442"/>
      <c r="J165" s="442"/>
      <c r="K165" s="442"/>
      <c r="L165" s="442"/>
      <c r="M165" s="442"/>
      <c r="N165" s="442"/>
      <c r="O165" s="442"/>
      <c r="P165" s="442"/>
      <c r="Q165" s="442"/>
      <c r="R165" s="442"/>
      <c r="S165" s="442"/>
      <c r="T165" s="442"/>
      <c r="U165" s="442"/>
      <c r="V165" s="442"/>
      <c r="W165" s="442"/>
      <c r="X165" s="442"/>
      <c r="Y165" s="442"/>
      <c r="Z165" s="442"/>
      <c r="AA165" s="442"/>
      <c r="AB165" s="442"/>
      <c r="AC165" s="442"/>
      <c r="AD165" s="442"/>
      <c r="AE165" s="442"/>
      <c r="AF165" s="442"/>
      <c r="AG165" s="442"/>
      <c r="AH165" s="442"/>
      <c r="AI165" s="442"/>
      <c r="AJ165" s="442"/>
      <c r="AK165" s="442"/>
      <c r="AL165" s="442"/>
      <c r="AM165" s="442"/>
      <c r="AN165" s="442"/>
      <c r="AO165" s="442"/>
      <c r="AP165" s="442"/>
      <c r="AQ165" s="442"/>
      <c r="AR165" s="442"/>
      <c r="AS165" s="442"/>
      <c r="AT165" s="442"/>
      <c r="AU165" s="442"/>
      <c r="AV165" s="442"/>
    </row>
    <row r="166" ht="15.75" customHeight="1">
      <c r="A166" s="442"/>
      <c r="B166" s="442"/>
      <c r="C166" s="442"/>
      <c r="D166" s="442"/>
      <c r="E166" s="442"/>
      <c r="F166" s="442"/>
      <c r="G166" s="442"/>
      <c r="H166" s="442"/>
      <c r="I166" s="442"/>
      <c r="J166" s="442"/>
      <c r="K166" s="442"/>
      <c r="L166" s="442"/>
      <c r="M166" s="442"/>
      <c r="N166" s="442"/>
      <c r="O166" s="442"/>
      <c r="P166" s="442"/>
      <c r="Q166" s="442"/>
      <c r="R166" s="442"/>
      <c r="S166" s="442"/>
      <c r="T166" s="442"/>
      <c r="U166" s="442"/>
      <c r="V166" s="442"/>
      <c r="W166" s="442"/>
      <c r="X166" s="442"/>
      <c r="Y166" s="442"/>
      <c r="Z166" s="442"/>
      <c r="AA166" s="442"/>
      <c r="AB166" s="442"/>
      <c r="AC166" s="442"/>
      <c r="AD166" s="442"/>
      <c r="AE166" s="442"/>
      <c r="AF166" s="442"/>
      <c r="AG166" s="442"/>
      <c r="AH166" s="442"/>
      <c r="AI166" s="442"/>
      <c r="AJ166" s="442"/>
      <c r="AK166" s="442"/>
      <c r="AL166" s="442"/>
      <c r="AM166" s="442"/>
      <c r="AN166" s="442"/>
      <c r="AO166" s="442"/>
      <c r="AP166" s="442"/>
      <c r="AQ166" s="442"/>
      <c r="AR166" s="442"/>
      <c r="AS166" s="442"/>
      <c r="AT166" s="442"/>
      <c r="AU166" s="442"/>
      <c r="AV166" s="442"/>
    </row>
    <row r="167" ht="15.75" customHeight="1">
      <c r="A167" s="442"/>
      <c r="B167" s="442"/>
      <c r="C167" s="442"/>
      <c r="D167" s="442"/>
      <c r="E167" s="442"/>
      <c r="F167" s="442"/>
      <c r="G167" s="442"/>
      <c r="H167" s="442"/>
      <c r="I167" s="442"/>
      <c r="J167" s="442"/>
      <c r="K167" s="442"/>
      <c r="L167" s="442"/>
      <c r="M167" s="442"/>
      <c r="N167" s="442"/>
      <c r="O167" s="442"/>
      <c r="P167" s="442"/>
      <c r="Q167" s="442"/>
      <c r="R167" s="442"/>
      <c r="S167" s="442"/>
      <c r="T167" s="442"/>
      <c r="U167" s="442"/>
      <c r="V167" s="442"/>
      <c r="W167" s="442"/>
      <c r="X167" s="442"/>
      <c r="Y167" s="442"/>
      <c r="Z167" s="442"/>
      <c r="AA167" s="442"/>
      <c r="AB167" s="442"/>
      <c r="AC167" s="442"/>
      <c r="AD167" s="442"/>
      <c r="AE167" s="442"/>
      <c r="AF167" s="442"/>
      <c r="AG167" s="442"/>
      <c r="AH167" s="442"/>
      <c r="AI167" s="442"/>
      <c r="AJ167" s="442"/>
      <c r="AK167" s="442"/>
      <c r="AL167" s="442"/>
      <c r="AM167" s="442"/>
      <c r="AN167" s="442"/>
      <c r="AO167" s="442"/>
      <c r="AP167" s="442"/>
      <c r="AQ167" s="442"/>
      <c r="AR167" s="442"/>
      <c r="AS167" s="442"/>
      <c r="AT167" s="442"/>
      <c r="AU167" s="442"/>
      <c r="AV167" s="442"/>
    </row>
    <row r="168" ht="15.75" customHeight="1">
      <c r="A168" s="442"/>
      <c r="B168" s="442"/>
      <c r="C168" s="442"/>
      <c r="D168" s="442"/>
      <c r="E168" s="442"/>
      <c r="F168" s="442"/>
      <c r="G168" s="442"/>
      <c r="H168" s="442"/>
      <c r="I168" s="442"/>
      <c r="J168" s="442"/>
      <c r="K168" s="442"/>
      <c r="L168" s="442"/>
      <c r="M168" s="442"/>
      <c r="N168" s="442"/>
      <c r="O168" s="442"/>
      <c r="P168" s="442"/>
      <c r="Q168" s="442"/>
      <c r="R168" s="442"/>
      <c r="S168" s="442"/>
      <c r="T168" s="442"/>
      <c r="U168" s="442"/>
      <c r="V168" s="442"/>
      <c r="W168" s="442"/>
      <c r="X168" s="442"/>
      <c r="Y168" s="442"/>
      <c r="Z168" s="442"/>
      <c r="AA168" s="442"/>
      <c r="AB168" s="442"/>
      <c r="AC168" s="442"/>
      <c r="AD168" s="442"/>
      <c r="AE168" s="442"/>
      <c r="AF168" s="442"/>
      <c r="AG168" s="442"/>
      <c r="AH168" s="442"/>
      <c r="AI168" s="442"/>
      <c r="AJ168" s="442"/>
      <c r="AK168" s="442"/>
      <c r="AL168" s="442"/>
      <c r="AM168" s="442"/>
      <c r="AN168" s="442"/>
      <c r="AO168" s="442"/>
      <c r="AP168" s="442"/>
      <c r="AQ168" s="442"/>
      <c r="AR168" s="442"/>
      <c r="AS168" s="442"/>
      <c r="AT168" s="442"/>
      <c r="AU168" s="442"/>
      <c r="AV168" s="442"/>
    </row>
    <row r="169" ht="15.75" customHeight="1">
      <c r="A169" s="442"/>
      <c r="B169" s="442"/>
      <c r="C169" s="442"/>
      <c r="D169" s="442"/>
      <c r="E169" s="442"/>
      <c r="F169" s="442"/>
      <c r="G169" s="442"/>
      <c r="H169" s="442"/>
      <c r="I169" s="442"/>
      <c r="J169" s="442"/>
      <c r="K169" s="442"/>
      <c r="L169" s="442"/>
      <c r="M169" s="442"/>
      <c r="N169" s="442"/>
      <c r="O169" s="442"/>
      <c r="P169" s="442"/>
      <c r="Q169" s="442"/>
      <c r="R169" s="442"/>
      <c r="S169" s="442"/>
      <c r="T169" s="442"/>
      <c r="U169" s="442"/>
      <c r="V169" s="442"/>
      <c r="W169" s="442"/>
      <c r="X169" s="442"/>
      <c r="Y169" s="442"/>
      <c r="Z169" s="442"/>
      <c r="AA169" s="442"/>
      <c r="AB169" s="442"/>
      <c r="AC169" s="442"/>
      <c r="AD169" s="442"/>
      <c r="AE169" s="442"/>
      <c r="AF169" s="442"/>
      <c r="AG169" s="442"/>
      <c r="AH169" s="442"/>
      <c r="AI169" s="442"/>
      <c r="AJ169" s="442"/>
      <c r="AK169" s="442"/>
      <c r="AL169" s="442"/>
      <c r="AM169" s="442"/>
      <c r="AN169" s="442"/>
      <c r="AO169" s="442"/>
      <c r="AP169" s="442"/>
      <c r="AQ169" s="442"/>
      <c r="AR169" s="442"/>
      <c r="AS169" s="442"/>
      <c r="AT169" s="442"/>
      <c r="AU169" s="442"/>
      <c r="AV169" s="442"/>
    </row>
    <row r="170" ht="15.75" customHeight="1">
      <c r="A170" s="442"/>
      <c r="B170" s="442"/>
      <c r="C170" s="442"/>
      <c r="D170" s="442"/>
      <c r="E170" s="442"/>
      <c r="F170" s="442"/>
      <c r="G170" s="442"/>
      <c r="H170" s="442"/>
      <c r="I170" s="442"/>
      <c r="J170" s="442"/>
      <c r="K170" s="442"/>
      <c r="L170" s="442"/>
      <c r="M170" s="442"/>
      <c r="N170" s="442"/>
      <c r="O170" s="442"/>
      <c r="P170" s="442"/>
      <c r="Q170" s="442"/>
      <c r="R170" s="442"/>
      <c r="S170" s="442"/>
      <c r="T170" s="442"/>
      <c r="U170" s="442"/>
      <c r="V170" s="442"/>
      <c r="W170" s="442"/>
      <c r="X170" s="442"/>
      <c r="Y170" s="442"/>
      <c r="Z170" s="442"/>
      <c r="AA170" s="442"/>
      <c r="AB170" s="442"/>
      <c r="AC170" s="442"/>
      <c r="AD170" s="442"/>
      <c r="AE170" s="442"/>
      <c r="AF170" s="442"/>
      <c r="AG170" s="442"/>
      <c r="AH170" s="442"/>
      <c r="AI170" s="442"/>
      <c r="AJ170" s="442"/>
      <c r="AK170" s="442"/>
      <c r="AL170" s="442"/>
      <c r="AM170" s="442"/>
      <c r="AN170" s="442"/>
      <c r="AO170" s="442"/>
      <c r="AP170" s="442"/>
      <c r="AQ170" s="442"/>
      <c r="AR170" s="442"/>
      <c r="AS170" s="442"/>
      <c r="AT170" s="442"/>
      <c r="AU170" s="442"/>
      <c r="AV170" s="442"/>
    </row>
    <row r="171" ht="15.75" customHeight="1">
      <c r="A171" s="442"/>
      <c r="B171" s="442"/>
      <c r="C171" s="442"/>
      <c r="D171" s="442"/>
      <c r="E171" s="442"/>
      <c r="F171" s="442"/>
      <c r="G171" s="442"/>
      <c r="H171" s="442"/>
      <c r="I171" s="442"/>
      <c r="J171" s="442"/>
      <c r="K171" s="442"/>
      <c r="L171" s="442"/>
      <c r="M171" s="442"/>
      <c r="N171" s="442"/>
      <c r="O171" s="442"/>
      <c r="P171" s="442"/>
      <c r="Q171" s="442"/>
      <c r="R171" s="442"/>
      <c r="S171" s="442"/>
      <c r="T171" s="442"/>
      <c r="U171" s="442"/>
      <c r="V171" s="442"/>
      <c r="W171" s="442"/>
      <c r="X171" s="442"/>
      <c r="Y171" s="442"/>
      <c r="Z171" s="442"/>
      <c r="AA171" s="442"/>
      <c r="AB171" s="442"/>
      <c r="AC171" s="442"/>
      <c r="AD171" s="442"/>
      <c r="AE171" s="442"/>
      <c r="AF171" s="442"/>
      <c r="AG171" s="442"/>
      <c r="AH171" s="442"/>
      <c r="AI171" s="442"/>
      <c r="AJ171" s="442"/>
      <c r="AK171" s="442"/>
      <c r="AL171" s="442"/>
      <c r="AM171" s="442"/>
      <c r="AN171" s="442"/>
      <c r="AO171" s="442"/>
      <c r="AP171" s="442"/>
      <c r="AQ171" s="442"/>
      <c r="AR171" s="442"/>
      <c r="AS171" s="442"/>
      <c r="AT171" s="442"/>
      <c r="AU171" s="442"/>
      <c r="AV171" s="442"/>
    </row>
    <row r="172" ht="15.75" customHeight="1">
      <c r="A172" s="442"/>
      <c r="B172" s="442"/>
      <c r="C172" s="442"/>
      <c r="D172" s="442"/>
      <c r="E172" s="442"/>
      <c r="F172" s="442"/>
      <c r="G172" s="442"/>
      <c r="H172" s="442"/>
      <c r="I172" s="442"/>
      <c r="J172" s="442"/>
      <c r="K172" s="442"/>
      <c r="L172" s="442"/>
      <c r="M172" s="442"/>
      <c r="N172" s="442"/>
      <c r="O172" s="442"/>
      <c r="P172" s="442"/>
      <c r="Q172" s="442"/>
      <c r="R172" s="442"/>
      <c r="S172" s="442"/>
      <c r="T172" s="442"/>
      <c r="U172" s="442"/>
      <c r="V172" s="442"/>
      <c r="W172" s="442"/>
      <c r="X172" s="442"/>
      <c r="Y172" s="442"/>
      <c r="Z172" s="442"/>
      <c r="AA172" s="442"/>
      <c r="AB172" s="442"/>
      <c r="AC172" s="442"/>
      <c r="AD172" s="442"/>
      <c r="AE172" s="442"/>
      <c r="AF172" s="442"/>
      <c r="AG172" s="442"/>
      <c r="AH172" s="442"/>
      <c r="AI172" s="442"/>
      <c r="AJ172" s="442"/>
      <c r="AK172" s="442"/>
      <c r="AL172" s="442"/>
      <c r="AM172" s="442"/>
      <c r="AN172" s="442"/>
      <c r="AO172" s="442"/>
      <c r="AP172" s="442"/>
      <c r="AQ172" s="442"/>
      <c r="AR172" s="442"/>
      <c r="AS172" s="442"/>
      <c r="AT172" s="442"/>
      <c r="AU172" s="442"/>
      <c r="AV172" s="442"/>
    </row>
    <row r="173" ht="15.75" customHeight="1">
      <c r="A173" s="442"/>
      <c r="B173" s="442"/>
      <c r="C173" s="442"/>
      <c r="D173" s="442"/>
      <c r="E173" s="442"/>
      <c r="F173" s="442"/>
      <c r="G173" s="442"/>
      <c r="H173" s="442"/>
      <c r="I173" s="442"/>
      <c r="J173" s="442"/>
      <c r="K173" s="442"/>
      <c r="L173" s="442"/>
      <c r="M173" s="442"/>
      <c r="N173" s="442"/>
      <c r="O173" s="442"/>
      <c r="P173" s="442"/>
      <c r="Q173" s="442"/>
      <c r="R173" s="442"/>
      <c r="S173" s="442"/>
      <c r="T173" s="442"/>
      <c r="U173" s="442"/>
      <c r="V173" s="442"/>
      <c r="W173" s="442"/>
      <c r="X173" s="442"/>
      <c r="Y173" s="442"/>
      <c r="Z173" s="442"/>
      <c r="AA173" s="442"/>
      <c r="AB173" s="442"/>
      <c r="AC173" s="442"/>
      <c r="AD173" s="442"/>
      <c r="AE173" s="442"/>
      <c r="AF173" s="442"/>
      <c r="AG173" s="442"/>
      <c r="AH173" s="442"/>
      <c r="AI173" s="442"/>
      <c r="AJ173" s="442"/>
      <c r="AK173" s="442"/>
      <c r="AL173" s="442"/>
      <c r="AM173" s="442"/>
      <c r="AN173" s="442"/>
      <c r="AO173" s="442"/>
      <c r="AP173" s="442"/>
      <c r="AQ173" s="442"/>
      <c r="AR173" s="442"/>
      <c r="AS173" s="442"/>
      <c r="AT173" s="442"/>
      <c r="AU173" s="442"/>
      <c r="AV173" s="442"/>
    </row>
    <row r="174" ht="15.75" customHeight="1">
      <c r="A174" s="442"/>
      <c r="B174" s="442"/>
      <c r="C174" s="442"/>
      <c r="D174" s="442"/>
      <c r="E174" s="442"/>
      <c r="F174" s="442"/>
      <c r="G174" s="442"/>
      <c r="H174" s="442"/>
      <c r="I174" s="442"/>
      <c r="J174" s="442"/>
      <c r="K174" s="442"/>
      <c r="L174" s="442"/>
      <c r="M174" s="442"/>
      <c r="N174" s="442"/>
      <c r="O174" s="442"/>
      <c r="P174" s="442"/>
      <c r="Q174" s="442"/>
      <c r="R174" s="442"/>
      <c r="S174" s="442"/>
      <c r="T174" s="442"/>
      <c r="U174" s="442"/>
      <c r="V174" s="442"/>
      <c r="W174" s="442"/>
      <c r="X174" s="442"/>
      <c r="Y174" s="442"/>
      <c r="Z174" s="442"/>
      <c r="AA174" s="442"/>
      <c r="AB174" s="442"/>
      <c r="AC174" s="442"/>
      <c r="AD174" s="442"/>
      <c r="AE174" s="442"/>
      <c r="AF174" s="442"/>
      <c r="AG174" s="442"/>
      <c r="AH174" s="442"/>
      <c r="AI174" s="442"/>
      <c r="AJ174" s="442"/>
      <c r="AK174" s="442"/>
      <c r="AL174" s="442"/>
      <c r="AM174" s="442"/>
      <c r="AN174" s="442"/>
      <c r="AO174" s="442"/>
      <c r="AP174" s="442"/>
      <c r="AQ174" s="442"/>
      <c r="AR174" s="442"/>
      <c r="AS174" s="442"/>
      <c r="AT174" s="442"/>
      <c r="AU174" s="442"/>
      <c r="AV174" s="442"/>
    </row>
    <row r="175" ht="15.75" customHeight="1">
      <c r="A175" s="442"/>
      <c r="B175" s="442"/>
      <c r="C175" s="442"/>
      <c r="D175" s="442"/>
      <c r="E175" s="442"/>
      <c r="F175" s="442"/>
      <c r="G175" s="442"/>
      <c r="H175" s="442"/>
      <c r="I175" s="442"/>
      <c r="J175" s="442"/>
      <c r="K175" s="442"/>
      <c r="L175" s="442"/>
      <c r="M175" s="442"/>
      <c r="N175" s="442"/>
      <c r="O175" s="442"/>
      <c r="P175" s="442"/>
      <c r="Q175" s="442"/>
      <c r="R175" s="442"/>
      <c r="S175" s="442"/>
      <c r="T175" s="442"/>
      <c r="U175" s="442"/>
      <c r="V175" s="442"/>
      <c r="W175" s="442"/>
      <c r="X175" s="442"/>
      <c r="Y175" s="442"/>
      <c r="Z175" s="442"/>
      <c r="AA175" s="442"/>
      <c r="AB175" s="442"/>
      <c r="AC175" s="442"/>
      <c r="AD175" s="442"/>
      <c r="AE175" s="442"/>
      <c r="AF175" s="442"/>
      <c r="AG175" s="442"/>
      <c r="AH175" s="442"/>
      <c r="AI175" s="442"/>
      <c r="AJ175" s="442"/>
      <c r="AK175" s="442"/>
      <c r="AL175" s="442"/>
      <c r="AM175" s="442"/>
      <c r="AN175" s="442"/>
      <c r="AO175" s="442"/>
      <c r="AP175" s="442"/>
      <c r="AQ175" s="442"/>
      <c r="AR175" s="442"/>
      <c r="AS175" s="442"/>
      <c r="AT175" s="442"/>
      <c r="AU175" s="442"/>
      <c r="AV175" s="442"/>
    </row>
    <row r="176" ht="15.75" customHeight="1">
      <c r="A176" s="442"/>
      <c r="B176" s="442"/>
      <c r="C176" s="442"/>
      <c r="D176" s="442"/>
      <c r="E176" s="442"/>
      <c r="F176" s="442"/>
      <c r="G176" s="442"/>
      <c r="H176" s="442"/>
      <c r="I176" s="442"/>
      <c r="J176" s="442"/>
      <c r="K176" s="442"/>
      <c r="L176" s="442"/>
      <c r="M176" s="442"/>
      <c r="N176" s="442"/>
      <c r="O176" s="442"/>
      <c r="P176" s="442"/>
      <c r="Q176" s="442"/>
      <c r="R176" s="442"/>
      <c r="S176" s="442"/>
      <c r="T176" s="442"/>
      <c r="U176" s="442"/>
      <c r="V176" s="442"/>
      <c r="W176" s="442"/>
      <c r="X176" s="442"/>
      <c r="Y176" s="442"/>
      <c r="Z176" s="442"/>
      <c r="AA176" s="442"/>
      <c r="AB176" s="442"/>
      <c r="AC176" s="442"/>
      <c r="AD176" s="442"/>
      <c r="AE176" s="442"/>
      <c r="AF176" s="442"/>
      <c r="AG176" s="442"/>
      <c r="AH176" s="442"/>
      <c r="AI176" s="442"/>
      <c r="AJ176" s="442"/>
      <c r="AK176" s="442"/>
      <c r="AL176" s="442"/>
      <c r="AM176" s="442"/>
      <c r="AN176" s="442"/>
      <c r="AO176" s="442"/>
      <c r="AP176" s="442"/>
      <c r="AQ176" s="442"/>
      <c r="AR176" s="442"/>
      <c r="AS176" s="442"/>
      <c r="AT176" s="442"/>
      <c r="AU176" s="442"/>
      <c r="AV176" s="442"/>
    </row>
    <row r="177" ht="15.75" customHeight="1">
      <c r="A177" s="442"/>
      <c r="B177" s="442"/>
      <c r="C177" s="442"/>
      <c r="D177" s="442"/>
      <c r="E177" s="442"/>
      <c r="F177" s="442"/>
      <c r="G177" s="442"/>
      <c r="H177" s="442"/>
      <c r="I177" s="442"/>
      <c r="J177" s="442"/>
      <c r="K177" s="442"/>
      <c r="L177" s="442"/>
      <c r="M177" s="442"/>
      <c r="N177" s="442"/>
      <c r="O177" s="442"/>
      <c r="P177" s="442"/>
      <c r="Q177" s="442"/>
      <c r="R177" s="442"/>
      <c r="S177" s="442"/>
      <c r="T177" s="442"/>
      <c r="U177" s="442"/>
      <c r="V177" s="442"/>
      <c r="W177" s="442"/>
      <c r="X177" s="442"/>
      <c r="Y177" s="442"/>
      <c r="Z177" s="442"/>
      <c r="AA177" s="442"/>
      <c r="AB177" s="442"/>
      <c r="AC177" s="442"/>
      <c r="AD177" s="442"/>
      <c r="AE177" s="442"/>
      <c r="AF177" s="442"/>
      <c r="AG177" s="442"/>
      <c r="AH177" s="442"/>
      <c r="AI177" s="442"/>
      <c r="AJ177" s="442"/>
      <c r="AK177" s="442"/>
      <c r="AL177" s="442"/>
      <c r="AM177" s="442"/>
      <c r="AN177" s="442"/>
      <c r="AO177" s="442"/>
      <c r="AP177" s="442"/>
      <c r="AQ177" s="442"/>
      <c r="AR177" s="442"/>
      <c r="AS177" s="442"/>
      <c r="AT177" s="442"/>
      <c r="AU177" s="442"/>
      <c r="AV177" s="442"/>
    </row>
    <row r="178" ht="15.75" customHeight="1">
      <c r="A178" s="442"/>
      <c r="B178" s="442"/>
      <c r="C178" s="442"/>
      <c r="D178" s="442"/>
      <c r="E178" s="442"/>
      <c r="F178" s="442"/>
      <c r="G178" s="442"/>
      <c r="H178" s="442"/>
      <c r="I178" s="442"/>
      <c r="J178" s="442"/>
      <c r="K178" s="442"/>
      <c r="L178" s="442"/>
      <c r="M178" s="442"/>
      <c r="N178" s="442"/>
      <c r="O178" s="442"/>
      <c r="P178" s="442"/>
      <c r="Q178" s="442"/>
      <c r="R178" s="442"/>
      <c r="S178" s="442"/>
      <c r="T178" s="442"/>
      <c r="U178" s="442"/>
      <c r="V178" s="442"/>
      <c r="W178" s="442"/>
      <c r="X178" s="442"/>
      <c r="Y178" s="442"/>
      <c r="Z178" s="442"/>
      <c r="AA178" s="442"/>
      <c r="AB178" s="442"/>
      <c r="AC178" s="442"/>
      <c r="AD178" s="442"/>
      <c r="AE178" s="442"/>
      <c r="AF178" s="442"/>
      <c r="AG178" s="442"/>
      <c r="AH178" s="442"/>
      <c r="AI178" s="442"/>
      <c r="AJ178" s="442"/>
      <c r="AK178" s="442"/>
      <c r="AL178" s="442"/>
      <c r="AM178" s="442"/>
      <c r="AN178" s="442"/>
      <c r="AO178" s="442"/>
      <c r="AP178" s="442"/>
      <c r="AQ178" s="442"/>
      <c r="AR178" s="442"/>
      <c r="AS178" s="442"/>
      <c r="AT178" s="442"/>
      <c r="AU178" s="442"/>
      <c r="AV178" s="442"/>
    </row>
    <row r="179" ht="15.75" customHeight="1">
      <c r="A179" s="442"/>
      <c r="B179" s="442"/>
      <c r="C179" s="442"/>
      <c r="D179" s="442"/>
      <c r="E179" s="442"/>
      <c r="F179" s="442"/>
      <c r="G179" s="442"/>
      <c r="H179" s="442"/>
      <c r="I179" s="442"/>
      <c r="J179" s="442"/>
      <c r="K179" s="442"/>
      <c r="L179" s="442"/>
      <c r="M179" s="442"/>
      <c r="N179" s="442"/>
      <c r="O179" s="442"/>
      <c r="P179" s="442"/>
      <c r="Q179" s="442"/>
      <c r="R179" s="442"/>
      <c r="S179" s="442"/>
      <c r="T179" s="442"/>
      <c r="U179" s="442"/>
      <c r="V179" s="442"/>
      <c r="W179" s="442"/>
      <c r="X179" s="442"/>
      <c r="Y179" s="442"/>
      <c r="Z179" s="442"/>
      <c r="AA179" s="442"/>
      <c r="AB179" s="442"/>
      <c r="AC179" s="442"/>
      <c r="AD179" s="442"/>
      <c r="AE179" s="442"/>
      <c r="AF179" s="442"/>
      <c r="AG179" s="442"/>
      <c r="AH179" s="442"/>
      <c r="AI179" s="442"/>
      <c r="AJ179" s="442"/>
      <c r="AK179" s="442"/>
      <c r="AL179" s="442"/>
      <c r="AM179" s="442"/>
      <c r="AN179" s="442"/>
      <c r="AO179" s="442"/>
      <c r="AP179" s="442"/>
      <c r="AQ179" s="442"/>
      <c r="AR179" s="442"/>
      <c r="AS179" s="442"/>
      <c r="AT179" s="442"/>
      <c r="AU179" s="442"/>
      <c r="AV179" s="442"/>
    </row>
    <row r="180" ht="15.75" customHeight="1">
      <c r="A180" s="442"/>
      <c r="B180" s="442"/>
      <c r="C180" s="442"/>
      <c r="D180" s="442"/>
      <c r="E180" s="442"/>
      <c r="F180" s="442"/>
      <c r="G180" s="442"/>
      <c r="H180" s="442"/>
      <c r="I180" s="442"/>
      <c r="J180" s="442"/>
      <c r="K180" s="442"/>
      <c r="L180" s="442"/>
      <c r="M180" s="442"/>
      <c r="N180" s="442"/>
      <c r="O180" s="442"/>
      <c r="P180" s="442"/>
      <c r="Q180" s="442"/>
      <c r="R180" s="442"/>
      <c r="S180" s="442"/>
      <c r="T180" s="442"/>
      <c r="U180" s="442"/>
      <c r="V180" s="442"/>
      <c r="W180" s="442"/>
      <c r="X180" s="442"/>
      <c r="Y180" s="442"/>
      <c r="Z180" s="442"/>
      <c r="AA180" s="442"/>
      <c r="AB180" s="442"/>
      <c r="AC180" s="442"/>
      <c r="AD180" s="442"/>
      <c r="AE180" s="442"/>
      <c r="AF180" s="442"/>
      <c r="AG180" s="442"/>
      <c r="AH180" s="442"/>
      <c r="AI180" s="442"/>
      <c r="AJ180" s="442"/>
      <c r="AK180" s="442"/>
      <c r="AL180" s="442"/>
      <c r="AM180" s="442"/>
      <c r="AN180" s="442"/>
      <c r="AO180" s="442"/>
      <c r="AP180" s="442"/>
      <c r="AQ180" s="442"/>
      <c r="AR180" s="442"/>
      <c r="AS180" s="442"/>
      <c r="AT180" s="442"/>
      <c r="AU180" s="442"/>
      <c r="AV180" s="442"/>
    </row>
    <row r="181" ht="15.75" customHeight="1">
      <c r="A181" s="442"/>
      <c r="B181" s="442"/>
      <c r="C181" s="442"/>
      <c r="D181" s="442"/>
      <c r="E181" s="442"/>
      <c r="F181" s="442"/>
      <c r="G181" s="442"/>
      <c r="H181" s="442"/>
      <c r="I181" s="442"/>
      <c r="J181" s="442"/>
      <c r="K181" s="442"/>
      <c r="L181" s="442"/>
      <c r="M181" s="442"/>
      <c r="N181" s="442"/>
      <c r="O181" s="442"/>
      <c r="P181" s="442"/>
      <c r="Q181" s="442"/>
      <c r="R181" s="442"/>
      <c r="S181" s="442"/>
      <c r="T181" s="442"/>
      <c r="U181" s="442"/>
      <c r="V181" s="442"/>
      <c r="W181" s="442"/>
      <c r="X181" s="442"/>
      <c r="Y181" s="442"/>
      <c r="Z181" s="442"/>
      <c r="AA181" s="442"/>
      <c r="AB181" s="442"/>
      <c r="AC181" s="442"/>
      <c r="AD181" s="442"/>
      <c r="AE181" s="442"/>
      <c r="AF181" s="442"/>
      <c r="AG181" s="442"/>
      <c r="AH181" s="442"/>
      <c r="AI181" s="442"/>
      <c r="AJ181" s="442"/>
      <c r="AK181" s="442"/>
      <c r="AL181" s="442"/>
      <c r="AM181" s="442"/>
      <c r="AN181" s="442"/>
      <c r="AO181" s="442"/>
      <c r="AP181" s="442"/>
      <c r="AQ181" s="442"/>
      <c r="AR181" s="442"/>
      <c r="AS181" s="442"/>
      <c r="AT181" s="442"/>
      <c r="AU181" s="442"/>
      <c r="AV181" s="442"/>
    </row>
    <row r="182" ht="15.75" customHeight="1">
      <c r="A182" s="442"/>
      <c r="B182" s="442"/>
      <c r="C182" s="442"/>
      <c r="D182" s="442"/>
      <c r="E182" s="442"/>
      <c r="F182" s="442"/>
      <c r="G182" s="442"/>
      <c r="H182" s="442"/>
      <c r="I182" s="442"/>
      <c r="J182" s="442"/>
      <c r="K182" s="442"/>
      <c r="L182" s="442"/>
      <c r="M182" s="442"/>
      <c r="N182" s="442"/>
      <c r="O182" s="442"/>
      <c r="P182" s="442"/>
      <c r="Q182" s="442"/>
      <c r="R182" s="442"/>
      <c r="S182" s="442"/>
      <c r="T182" s="442"/>
      <c r="U182" s="442"/>
      <c r="V182" s="442"/>
      <c r="W182" s="442"/>
      <c r="X182" s="442"/>
      <c r="Y182" s="442"/>
      <c r="Z182" s="442"/>
      <c r="AA182" s="442"/>
      <c r="AB182" s="442"/>
      <c r="AC182" s="442"/>
      <c r="AD182" s="442"/>
      <c r="AE182" s="442"/>
      <c r="AF182" s="442"/>
      <c r="AG182" s="442"/>
      <c r="AH182" s="442"/>
      <c r="AI182" s="442"/>
      <c r="AJ182" s="442"/>
      <c r="AK182" s="442"/>
      <c r="AL182" s="442"/>
      <c r="AM182" s="442"/>
      <c r="AN182" s="442"/>
      <c r="AO182" s="442"/>
      <c r="AP182" s="442"/>
      <c r="AQ182" s="442"/>
      <c r="AR182" s="442"/>
      <c r="AS182" s="442"/>
      <c r="AT182" s="442"/>
      <c r="AU182" s="442"/>
      <c r="AV182" s="442"/>
    </row>
    <row r="183" ht="15.75" customHeight="1">
      <c r="A183" s="442"/>
      <c r="B183" s="442"/>
      <c r="C183" s="442"/>
      <c r="D183" s="442"/>
      <c r="E183" s="442"/>
      <c r="F183" s="442"/>
      <c r="G183" s="442"/>
      <c r="H183" s="442"/>
      <c r="I183" s="442"/>
      <c r="J183" s="442"/>
      <c r="K183" s="442"/>
      <c r="L183" s="442"/>
      <c r="M183" s="442"/>
      <c r="N183" s="442"/>
      <c r="O183" s="442"/>
      <c r="P183" s="442"/>
      <c r="Q183" s="442"/>
      <c r="R183" s="442"/>
      <c r="S183" s="442"/>
      <c r="T183" s="442"/>
      <c r="U183" s="442"/>
      <c r="V183" s="442"/>
      <c r="W183" s="442"/>
      <c r="X183" s="442"/>
      <c r="Y183" s="442"/>
      <c r="Z183" s="442"/>
      <c r="AA183" s="442"/>
      <c r="AB183" s="442"/>
      <c r="AC183" s="442"/>
      <c r="AD183" s="442"/>
      <c r="AE183" s="442"/>
      <c r="AF183" s="442"/>
      <c r="AG183" s="442"/>
      <c r="AH183" s="442"/>
      <c r="AI183" s="442"/>
      <c r="AJ183" s="442"/>
      <c r="AK183" s="442"/>
      <c r="AL183" s="442"/>
      <c r="AM183" s="442"/>
      <c r="AN183" s="442"/>
      <c r="AO183" s="442"/>
      <c r="AP183" s="442"/>
      <c r="AQ183" s="442"/>
      <c r="AR183" s="442"/>
      <c r="AS183" s="442"/>
      <c r="AT183" s="442"/>
      <c r="AU183" s="442"/>
      <c r="AV183" s="442"/>
    </row>
    <row r="184" ht="15.75" customHeight="1">
      <c r="A184" s="442"/>
      <c r="B184" s="442"/>
      <c r="C184" s="442"/>
      <c r="D184" s="442"/>
      <c r="E184" s="442"/>
      <c r="F184" s="442"/>
      <c r="G184" s="442"/>
      <c r="H184" s="442"/>
      <c r="I184" s="442"/>
      <c r="J184" s="442"/>
      <c r="K184" s="442"/>
      <c r="L184" s="442"/>
      <c r="M184" s="442"/>
      <c r="N184" s="442"/>
      <c r="O184" s="442"/>
      <c r="P184" s="442"/>
      <c r="Q184" s="442"/>
      <c r="R184" s="442"/>
      <c r="S184" s="442"/>
      <c r="T184" s="442"/>
      <c r="U184" s="442"/>
      <c r="V184" s="442"/>
      <c r="W184" s="442"/>
      <c r="X184" s="442"/>
      <c r="Y184" s="442"/>
      <c r="Z184" s="442"/>
      <c r="AA184" s="442"/>
      <c r="AB184" s="442"/>
      <c r="AC184" s="442"/>
      <c r="AD184" s="442"/>
      <c r="AE184" s="442"/>
      <c r="AF184" s="442"/>
      <c r="AG184" s="442"/>
      <c r="AH184" s="442"/>
      <c r="AI184" s="442"/>
      <c r="AJ184" s="442"/>
      <c r="AK184" s="442"/>
      <c r="AL184" s="442"/>
      <c r="AM184" s="442"/>
      <c r="AN184" s="442"/>
      <c r="AO184" s="442"/>
      <c r="AP184" s="442"/>
      <c r="AQ184" s="442"/>
      <c r="AR184" s="442"/>
      <c r="AS184" s="442"/>
      <c r="AT184" s="442"/>
      <c r="AU184" s="442"/>
      <c r="AV184" s="442"/>
    </row>
    <row r="185" ht="15.75" customHeight="1">
      <c r="A185" s="442"/>
      <c r="B185" s="442"/>
      <c r="C185" s="442"/>
      <c r="D185" s="442"/>
      <c r="E185" s="442"/>
      <c r="F185" s="442"/>
      <c r="G185" s="442"/>
      <c r="H185" s="442"/>
      <c r="I185" s="442"/>
      <c r="J185" s="442"/>
      <c r="K185" s="442"/>
      <c r="L185" s="442"/>
      <c r="M185" s="442"/>
      <c r="N185" s="442"/>
      <c r="O185" s="442"/>
      <c r="P185" s="442"/>
      <c r="Q185" s="442"/>
      <c r="R185" s="442"/>
      <c r="S185" s="442"/>
      <c r="T185" s="442"/>
      <c r="U185" s="442"/>
      <c r="V185" s="442"/>
      <c r="W185" s="442"/>
      <c r="X185" s="442"/>
      <c r="Y185" s="442"/>
      <c r="Z185" s="442"/>
      <c r="AA185" s="442"/>
      <c r="AB185" s="442"/>
      <c r="AC185" s="442"/>
      <c r="AD185" s="442"/>
      <c r="AE185" s="442"/>
      <c r="AF185" s="442"/>
      <c r="AG185" s="442"/>
      <c r="AH185" s="442"/>
      <c r="AI185" s="442"/>
      <c r="AJ185" s="442"/>
      <c r="AK185" s="442"/>
      <c r="AL185" s="442"/>
      <c r="AM185" s="442"/>
      <c r="AN185" s="442"/>
      <c r="AO185" s="442"/>
      <c r="AP185" s="442"/>
      <c r="AQ185" s="442"/>
      <c r="AR185" s="442"/>
      <c r="AS185" s="442"/>
      <c r="AT185" s="442"/>
      <c r="AU185" s="442"/>
      <c r="AV185" s="442"/>
    </row>
    <row r="186" ht="15.75" customHeight="1">
      <c r="A186" s="442"/>
      <c r="B186" s="442"/>
      <c r="C186" s="442"/>
      <c r="D186" s="442"/>
      <c r="E186" s="442"/>
      <c r="F186" s="442"/>
      <c r="G186" s="442"/>
      <c r="H186" s="442"/>
      <c r="I186" s="442"/>
      <c r="J186" s="442"/>
      <c r="K186" s="442"/>
      <c r="L186" s="442"/>
      <c r="M186" s="442"/>
      <c r="N186" s="442"/>
      <c r="O186" s="442"/>
      <c r="P186" s="442"/>
      <c r="Q186" s="442"/>
      <c r="R186" s="442"/>
      <c r="S186" s="442"/>
      <c r="T186" s="442"/>
      <c r="U186" s="442"/>
      <c r="V186" s="442"/>
      <c r="W186" s="442"/>
      <c r="X186" s="442"/>
      <c r="Y186" s="442"/>
      <c r="Z186" s="442"/>
      <c r="AA186" s="442"/>
      <c r="AB186" s="442"/>
      <c r="AC186" s="442"/>
      <c r="AD186" s="442"/>
      <c r="AE186" s="442"/>
      <c r="AF186" s="442"/>
      <c r="AG186" s="442"/>
      <c r="AH186" s="442"/>
      <c r="AI186" s="442"/>
      <c r="AJ186" s="442"/>
      <c r="AK186" s="442"/>
      <c r="AL186" s="442"/>
      <c r="AM186" s="442"/>
      <c r="AN186" s="442"/>
      <c r="AO186" s="442"/>
      <c r="AP186" s="442"/>
      <c r="AQ186" s="442"/>
      <c r="AR186" s="442"/>
      <c r="AS186" s="442"/>
      <c r="AT186" s="442"/>
      <c r="AU186" s="442"/>
      <c r="AV186" s="442"/>
    </row>
    <row r="187" ht="15.75" customHeight="1">
      <c r="A187" s="442"/>
      <c r="B187" s="442"/>
      <c r="C187" s="442"/>
      <c r="D187" s="442"/>
      <c r="E187" s="442"/>
      <c r="F187" s="442"/>
      <c r="G187" s="442"/>
      <c r="H187" s="442"/>
      <c r="I187" s="442"/>
      <c r="J187" s="442"/>
      <c r="K187" s="442"/>
      <c r="L187" s="442"/>
      <c r="M187" s="442"/>
      <c r="N187" s="442"/>
      <c r="O187" s="442"/>
      <c r="P187" s="442"/>
      <c r="Q187" s="442"/>
      <c r="R187" s="442"/>
      <c r="S187" s="442"/>
      <c r="T187" s="442"/>
      <c r="U187" s="442"/>
      <c r="V187" s="442"/>
      <c r="W187" s="442"/>
      <c r="X187" s="442"/>
      <c r="Y187" s="442"/>
      <c r="Z187" s="442"/>
      <c r="AA187" s="442"/>
      <c r="AB187" s="442"/>
      <c r="AC187" s="442"/>
      <c r="AD187" s="442"/>
      <c r="AE187" s="442"/>
      <c r="AF187" s="442"/>
      <c r="AG187" s="442"/>
      <c r="AH187" s="442"/>
      <c r="AI187" s="442"/>
      <c r="AJ187" s="442"/>
      <c r="AK187" s="442"/>
      <c r="AL187" s="442"/>
      <c r="AM187" s="442"/>
      <c r="AN187" s="442"/>
      <c r="AO187" s="442"/>
      <c r="AP187" s="442"/>
      <c r="AQ187" s="442"/>
      <c r="AR187" s="442"/>
      <c r="AS187" s="442"/>
      <c r="AT187" s="442"/>
      <c r="AU187" s="442"/>
      <c r="AV187" s="442"/>
    </row>
    <row r="188" ht="15.75" customHeight="1">
      <c r="A188" s="442"/>
      <c r="B188" s="442"/>
      <c r="C188" s="442"/>
      <c r="D188" s="442"/>
      <c r="E188" s="442"/>
      <c r="F188" s="442"/>
      <c r="G188" s="442"/>
      <c r="H188" s="442"/>
      <c r="I188" s="442"/>
      <c r="J188" s="442"/>
      <c r="K188" s="442"/>
      <c r="L188" s="442"/>
      <c r="M188" s="442"/>
      <c r="N188" s="442"/>
      <c r="O188" s="442"/>
      <c r="P188" s="442"/>
      <c r="Q188" s="442"/>
      <c r="R188" s="442"/>
      <c r="S188" s="442"/>
      <c r="T188" s="442"/>
      <c r="U188" s="442"/>
      <c r="V188" s="442"/>
      <c r="W188" s="442"/>
      <c r="X188" s="442"/>
      <c r="Y188" s="442"/>
      <c r="Z188" s="442"/>
      <c r="AA188" s="442"/>
      <c r="AB188" s="442"/>
      <c r="AC188" s="442"/>
      <c r="AD188" s="442"/>
      <c r="AE188" s="442"/>
      <c r="AF188" s="442"/>
      <c r="AG188" s="442"/>
      <c r="AH188" s="442"/>
      <c r="AI188" s="442"/>
      <c r="AJ188" s="442"/>
      <c r="AK188" s="442"/>
      <c r="AL188" s="442"/>
      <c r="AM188" s="442"/>
      <c r="AN188" s="442"/>
      <c r="AO188" s="442"/>
      <c r="AP188" s="442"/>
      <c r="AQ188" s="442"/>
      <c r="AR188" s="442"/>
      <c r="AS188" s="442"/>
      <c r="AT188" s="442"/>
      <c r="AU188" s="442"/>
      <c r="AV188" s="442"/>
    </row>
    <row r="189" ht="15.75" customHeight="1">
      <c r="A189" s="442"/>
      <c r="B189" s="442"/>
      <c r="C189" s="442"/>
      <c r="D189" s="442"/>
      <c r="E189" s="442"/>
      <c r="F189" s="442"/>
      <c r="G189" s="442"/>
      <c r="H189" s="442"/>
      <c r="I189" s="442"/>
      <c r="J189" s="442"/>
      <c r="K189" s="442"/>
      <c r="L189" s="442"/>
      <c r="M189" s="442"/>
      <c r="N189" s="442"/>
      <c r="O189" s="442"/>
      <c r="P189" s="442"/>
      <c r="Q189" s="442"/>
      <c r="R189" s="442"/>
      <c r="S189" s="442"/>
      <c r="T189" s="442"/>
      <c r="U189" s="442"/>
      <c r="V189" s="442"/>
      <c r="W189" s="442"/>
      <c r="X189" s="442"/>
      <c r="Y189" s="442"/>
      <c r="Z189" s="442"/>
      <c r="AA189" s="442"/>
      <c r="AB189" s="442"/>
      <c r="AC189" s="442"/>
      <c r="AD189" s="442"/>
      <c r="AE189" s="442"/>
      <c r="AF189" s="442"/>
      <c r="AG189" s="442"/>
      <c r="AH189" s="442"/>
      <c r="AI189" s="442"/>
      <c r="AJ189" s="442"/>
      <c r="AK189" s="442"/>
      <c r="AL189" s="442"/>
      <c r="AM189" s="442"/>
      <c r="AN189" s="442"/>
      <c r="AO189" s="442"/>
      <c r="AP189" s="442"/>
      <c r="AQ189" s="442"/>
      <c r="AR189" s="442"/>
      <c r="AS189" s="442"/>
      <c r="AT189" s="442"/>
      <c r="AU189" s="442"/>
      <c r="AV189" s="442"/>
    </row>
    <row r="190" ht="15.75" customHeight="1">
      <c r="A190" s="442"/>
      <c r="B190" s="442"/>
      <c r="C190" s="442"/>
      <c r="D190" s="442"/>
      <c r="E190" s="442"/>
      <c r="F190" s="442"/>
      <c r="G190" s="442"/>
      <c r="H190" s="442"/>
      <c r="I190" s="442"/>
      <c r="J190" s="442"/>
      <c r="K190" s="442"/>
      <c r="L190" s="442"/>
      <c r="M190" s="442"/>
      <c r="N190" s="442"/>
      <c r="O190" s="442"/>
      <c r="P190" s="442"/>
      <c r="Q190" s="442"/>
      <c r="R190" s="442"/>
      <c r="S190" s="442"/>
      <c r="T190" s="442"/>
      <c r="U190" s="442"/>
      <c r="V190" s="442"/>
      <c r="W190" s="442"/>
      <c r="X190" s="442"/>
      <c r="Y190" s="442"/>
      <c r="Z190" s="442"/>
      <c r="AA190" s="442"/>
      <c r="AB190" s="442"/>
      <c r="AC190" s="442"/>
      <c r="AD190" s="442"/>
      <c r="AE190" s="442"/>
      <c r="AF190" s="442"/>
      <c r="AG190" s="442"/>
      <c r="AH190" s="442"/>
      <c r="AI190" s="442"/>
      <c r="AJ190" s="442"/>
      <c r="AK190" s="442"/>
      <c r="AL190" s="442"/>
      <c r="AM190" s="442"/>
      <c r="AN190" s="442"/>
      <c r="AO190" s="442"/>
      <c r="AP190" s="442"/>
      <c r="AQ190" s="442"/>
      <c r="AR190" s="442"/>
      <c r="AS190" s="442"/>
      <c r="AT190" s="442"/>
      <c r="AU190" s="442"/>
      <c r="AV190" s="442"/>
    </row>
    <row r="191" ht="15.75" customHeight="1">
      <c r="A191" s="442"/>
      <c r="B191" s="442"/>
      <c r="C191" s="442"/>
      <c r="D191" s="442"/>
      <c r="E191" s="442"/>
      <c r="F191" s="442"/>
      <c r="G191" s="442"/>
      <c r="H191" s="442"/>
      <c r="I191" s="442"/>
      <c r="J191" s="442"/>
      <c r="K191" s="442"/>
      <c r="L191" s="442"/>
      <c r="M191" s="442"/>
      <c r="N191" s="442"/>
      <c r="O191" s="442"/>
      <c r="P191" s="442"/>
      <c r="Q191" s="442"/>
      <c r="R191" s="442"/>
      <c r="S191" s="442"/>
      <c r="T191" s="442"/>
      <c r="U191" s="442"/>
      <c r="V191" s="442"/>
      <c r="W191" s="442"/>
      <c r="X191" s="442"/>
      <c r="Y191" s="442"/>
      <c r="Z191" s="442"/>
      <c r="AA191" s="442"/>
      <c r="AB191" s="442"/>
      <c r="AC191" s="442"/>
      <c r="AD191" s="442"/>
      <c r="AE191" s="442"/>
      <c r="AF191" s="442"/>
      <c r="AG191" s="442"/>
      <c r="AH191" s="442"/>
      <c r="AI191" s="442"/>
      <c r="AJ191" s="442"/>
      <c r="AK191" s="442"/>
      <c r="AL191" s="442"/>
      <c r="AM191" s="442"/>
      <c r="AN191" s="442"/>
      <c r="AO191" s="442"/>
      <c r="AP191" s="442"/>
      <c r="AQ191" s="442"/>
      <c r="AR191" s="442"/>
      <c r="AS191" s="442"/>
      <c r="AT191" s="442"/>
      <c r="AU191" s="442"/>
      <c r="AV191" s="442"/>
    </row>
    <row r="192" ht="15.75" customHeight="1">
      <c r="A192" s="442"/>
      <c r="B192" s="442"/>
      <c r="C192" s="442"/>
      <c r="D192" s="442"/>
      <c r="E192" s="442"/>
      <c r="F192" s="442"/>
      <c r="G192" s="442"/>
      <c r="H192" s="442"/>
      <c r="I192" s="442"/>
      <c r="J192" s="442"/>
      <c r="K192" s="442"/>
      <c r="L192" s="442"/>
      <c r="M192" s="442"/>
      <c r="N192" s="442"/>
      <c r="O192" s="442"/>
      <c r="P192" s="442"/>
      <c r="Q192" s="442"/>
      <c r="R192" s="442"/>
      <c r="S192" s="442"/>
      <c r="T192" s="442"/>
      <c r="U192" s="442"/>
      <c r="V192" s="442"/>
      <c r="W192" s="442"/>
      <c r="X192" s="442"/>
      <c r="Y192" s="442"/>
      <c r="Z192" s="442"/>
      <c r="AA192" s="442"/>
      <c r="AB192" s="442"/>
      <c r="AC192" s="442"/>
      <c r="AD192" s="442"/>
      <c r="AE192" s="442"/>
      <c r="AF192" s="442"/>
      <c r="AG192" s="442"/>
      <c r="AH192" s="442"/>
      <c r="AI192" s="442"/>
      <c r="AJ192" s="442"/>
      <c r="AK192" s="442"/>
      <c r="AL192" s="442"/>
      <c r="AM192" s="442"/>
      <c r="AN192" s="442"/>
      <c r="AO192" s="442"/>
      <c r="AP192" s="442"/>
      <c r="AQ192" s="442"/>
      <c r="AR192" s="442"/>
      <c r="AS192" s="442"/>
      <c r="AT192" s="442"/>
      <c r="AU192" s="442"/>
      <c r="AV192" s="442"/>
    </row>
    <row r="193" ht="15.75" customHeight="1">
      <c r="A193" s="442"/>
      <c r="B193" s="442"/>
      <c r="C193" s="442"/>
      <c r="D193" s="442"/>
      <c r="E193" s="442"/>
      <c r="F193" s="442"/>
      <c r="G193" s="442"/>
      <c r="H193" s="442"/>
      <c r="I193" s="442"/>
      <c r="J193" s="442"/>
      <c r="K193" s="442"/>
      <c r="L193" s="442"/>
      <c r="M193" s="442"/>
      <c r="N193" s="442"/>
      <c r="O193" s="442"/>
      <c r="P193" s="442"/>
      <c r="Q193" s="442"/>
      <c r="R193" s="442"/>
      <c r="S193" s="442"/>
      <c r="T193" s="442"/>
      <c r="U193" s="442"/>
      <c r="V193" s="442"/>
      <c r="W193" s="442"/>
      <c r="X193" s="442"/>
      <c r="Y193" s="442"/>
      <c r="Z193" s="442"/>
      <c r="AA193" s="442"/>
      <c r="AB193" s="442"/>
      <c r="AC193" s="442"/>
      <c r="AD193" s="442"/>
      <c r="AE193" s="442"/>
      <c r="AF193" s="442"/>
      <c r="AG193" s="442"/>
      <c r="AH193" s="442"/>
      <c r="AI193" s="442"/>
      <c r="AJ193" s="442"/>
      <c r="AK193" s="442"/>
      <c r="AL193" s="442"/>
      <c r="AM193" s="442"/>
      <c r="AN193" s="442"/>
      <c r="AO193" s="442"/>
      <c r="AP193" s="442"/>
      <c r="AQ193" s="442"/>
      <c r="AR193" s="442"/>
      <c r="AS193" s="442"/>
      <c r="AT193" s="442"/>
      <c r="AU193" s="442"/>
      <c r="AV193" s="442"/>
    </row>
    <row r="194" ht="15.75" customHeight="1">
      <c r="A194" s="442"/>
      <c r="B194" s="442"/>
      <c r="C194" s="442"/>
      <c r="D194" s="442"/>
      <c r="E194" s="442"/>
      <c r="F194" s="442"/>
      <c r="G194" s="442"/>
      <c r="H194" s="442"/>
      <c r="I194" s="442"/>
      <c r="J194" s="442"/>
      <c r="K194" s="442"/>
      <c r="L194" s="442"/>
      <c r="M194" s="442"/>
      <c r="N194" s="442"/>
      <c r="O194" s="442"/>
      <c r="P194" s="442"/>
      <c r="Q194" s="442"/>
      <c r="R194" s="442"/>
      <c r="S194" s="442"/>
      <c r="T194" s="442"/>
      <c r="U194" s="442"/>
      <c r="V194" s="442"/>
      <c r="W194" s="442"/>
      <c r="X194" s="442"/>
      <c r="Y194" s="442"/>
      <c r="Z194" s="442"/>
      <c r="AA194" s="442"/>
      <c r="AB194" s="442"/>
      <c r="AC194" s="442"/>
      <c r="AD194" s="442"/>
      <c r="AE194" s="442"/>
      <c r="AF194" s="442"/>
      <c r="AG194" s="442"/>
      <c r="AH194" s="442"/>
      <c r="AI194" s="442"/>
      <c r="AJ194" s="442"/>
      <c r="AK194" s="442"/>
      <c r="AL194" s="442"/>
      <c r="AM194" s="442"/>
      <c r="AN194" s="442"/>
      <c r="AO194" s="442"/>
      <c r="AP194" s="442"/>
      <c r="AQ194" s="442"/>
      <c r="AR194" s="442"/>
      <c r="AS194" s="442"/>
      <c r="AT194" s="442"/>
      <c r="AU194" s="442"/>
      <c r="AV194" s="442"/>
    </row>
    <row r="195" ht="15.75" customHeight="1">
      <c r="A195" s="442"/>
      <c r="B195" s="442"/>
      <c r="C195" s="442"/>
      <c r="D195" s="442"/>
      <c r="E195" s="442"/>
      <c r="F195" s="442"/>
      <c r="G195" s="442"/>
      <c r="H195" s="442"/>
      <c r="I195" s="442"/>
      <c r="J195" s="442"/>
      <c r="K195" s="442"/>
      <c r="L195" s="442"/>
      <c r="M195" s="442"/>
      <c r="N195" s="442"/>
      <c r="O195" s="442"/>
      <c r="P195" s="442"/>
      <c r="Q195" s="442"/>
      <c r="R195" s="442"/>
      <c r="S195" s="442"/>
      <c r="T195" s="442"/>
      <c r="U195" s="442"/>
      <c r="V195" s="442"/>
      <c r="W195" s="442"/>
      <c r="X195" s="442"/>
      <c r="Y195" s="442"/>
      <c r="Z195" s="442"/>
      <c r="AA195" s="442"/>
      <c r="AB195" s="442"/>
      <c r="AC195" s="442"/>
      <c r="AD195" s="442"/>
      <c r="AE195" s="442"/>
      <c r="AF195" s="442"/>
      <c r="AG195" s="442"/>
      <c r="AH195" s="442"/>
      <c r="AI195" s="442"/>
      <c r="AJ195" s="442"/>
      <c r="AK195" s="442"/>
      <c r="AL195" s="442"/>
      <c r="AM195" s="442"/>
      <c r="AN195" s="442"/>
      <c r="AO195" s="442"/>
      <c r="AP195" s="442"/>
      <c r="AQ195" s="442"/>
      <c r="AR195" s="442"/>
      <c r="AS195" s="442"/>
      <c r="AT195" s="442"/>
      <c r="AU195" s="442"/>
      <c r="AV195" s="442"/>
    </row>
    <row r="196" ht="15.75" customHeight="1">
      <c r="A196" s="442"/>
      <c r="B196" s="442"/>
      <c r="C196" s="442"/>
      <c r="D196" s="442"/>
      <c r="E196" s="442"/>
      <c r="F196" s="442"/>
      <c r="G196" s="442"/>
      <c r="H196" s="442"/>
      <c r="I196" s="442"/>
      <c r="J196" s="442"/>
      <c r="K196" s="442"/>
      <c r="L196" s="442"/>
      <c r="M196" s="442"/>
      <c r="N196" s="442"/>
      <c r="O196" s="442"/>
      <c r="P196" s="442"/>
      <c r="Q196" s="442"/>
      <c r="R196" s="442"/>
      <c r="S196" s="442"/>
      <c r="T196" s="442"/>
      <c r="U196" s="442"/>
      <c r="V196" s="442"/>
      <c r="W196" s="442"/>
      <c r="X196" s="442"/>
      <c r="Y196" s="442"/>
      <c r="Z196" s="442"/>
      <c r="AA196" s="442"/>
      <c r="AB196" s="442"/>
      <c r="AC196" s="442"/>
      <c r="AD196" s="442"/>
      <c r="AE196" s="442"/>
      <c r="AF196" s="442"/>
      <c r="AG196" s="442"/>
      <c r="AH196" s="442"/>
      <c r="AI196" s="442"/>
      <c r="AJ196" s="442"/>
      <c r="AK196" s="442"/>
      <c r="AL196" s="442"/>
      <c r="AM196" s="442"/>
      <c r="AN196" s="442"/>
      <c r="AO196" s="442"/>
      <c r="AP196" s="442"/>
      <c r="AQ196" s="442"/>
      <c r="AR196" s="442"/>
      <c r="AS196" s="442"/>
      <c r="AT196" s="442"/>
      <c r="AU196" s="442"/>
      <c r="AV196" s="442"/>
    </row>
    <row r="197" ht="15.75" customHeight="1">
      <c r="A197" s="442"/>
      <c r="B197" s="442"/>
      <c r="C197" s="442"/>
      <c r="D197" s="442"/>
      <c r="E197" s="442"/>
      <c r="F197" s="442"/>
      <c r="G197" s="442"/>
      <c r="H197" s="442"/>
      <c r="I197" s="442"/>
      <c r="J197" s="442"/>
      <c r="K197" s="442"/>
      <c r="L197" s="442"/>
      <c r="M197" s="442"/>
      <c r="N197" s="442"/>
      <c r="O197" s="442"/>
      <c r="P197" s="442"/>
      <c r="Q197" s="442"/>
      <c r="R197" s="442"/>
      <c r="S197" s="442"/>
      <c r="T197" s="442"/>
      <c r="U197" s="442"/>
      <c r="V197" s="442"/>
      <c r="W197" s="442"/>
      <c r="X197" s="442"/>
      <c r="Y197" s="442"/>
      <c r="Z197" s="442"/>
      <c r="AA197" s="442"/>
      <c r="AB197" s="442"/>
      <c r="AC197" s="442"/>
      <c r="AD197" s="442"/>
      <c r="AE197" s="442"/>
      <c r="AF197" s="442"/>
      <c r="AG197" s="442"/>
      <c r="AH197" s="442"/>
      <c r="AI197" s="442"/>
      <c r="AJ197" s="442"/>
      <c r="AK197" s="442"/>
      <c r="AL197" s="442"/>
      <c r="AM197" s="442"/>
      <c r="AN197" s="442"/>
      <c r="AO197" s="442"/>
      <c r="AP197" s="442"/>
      <c r="AQ197" s="442"/>
      <c r="AR197" s="442"/>
      <c r="AS197" s="442"/>
      <c r="AT197" s="442"/>
      <c r="AU197" s="442"/>
      <c r="AV197" s="442"/>
    </row>
    <row r="198" ht="15.75" customHeight="1">
      <c r="A198" s="442"/>
      <c r="B198" s="442"/>
      <c r="C198" s="442"/>
      <c r="D198" s="442"/>
      <c r="E198" s="442"/>
      <c r="F198" s="442"/>
      <c r="G198" s="442"/>
      <c r="H198" s="442"/>
      <c r="I198" s="442"/>
      <c r="J198" s="442"/>
      <c r="K198" s="442"/>
      <c r="L198" s="442"/>
      <c r="M198" s="442"/>
      <c r="N198" s="442"/>
      <c r="O198" s="442"/>
      <c r="P198" s="442"/>
      <c r="Q198" s="442"/>
      <c r="R198" s="442"/>
      <c r="S198" s="442"/>
      <c r="T198" s="442"/>
      <c r="U198" s="442"/>
      <c r="V198" s="442"/>
      <c r="W198" s="442"/>
      <c r="X198" s="442"/>
      <c r="Y198" s="442"/>
      <c r="Z198" s="442"/>
      <c r="AA198" s="442"/>
      <c r="AB198" s="442"/>
      <c r="AC198" s="442"/>
      <c r="AD198" s="442"/>
      <c r="AE198" s="442"/>
      <c r="AF198" s="442"/>
      <c r="AG198" s="442"/>
      <c r="AH198" s="442"/>
      <c r="AI198" s="442"/>
      <c r="AJ198" s="442"/>
      <c r="AK198" s="442"/>
      <c r="AL198" s="442"/>
      <c r="AM198" s="442"/>
      <c r="AN198" s="442"/>
      <c r="AO198" s="442"/>
      <c r="AP198" s="442"/>
      <c r="AQ198" s="442"/>
      <c r="AR198" s="442"/>
      <c r="AS198" s="442"/>
      <c r="AT198" s="442"/>
      <c r="AU198" s="442"/>
      <c r="AV198" s="442"/>
    </row>
    <row r="199" ht="15.75" customHeight="1">
      <c r="A199" s="442"/>
      <c r="B199" s="442"/>
      <c r="C199" s="442"/>
      <c r="D199" s="442"/>
      <c r="E199" s="442"/>
      <c r="F199" s="442"/>
      <c r="G199" s="442"/>
      <c r="H199" s="442"/>
      <c r="I199" s="442"/>
      <c r="J199" s="442"/>
      <c r="K199" s="442"/>
      <c r="L199" s="442"/>
      <c r="M199" s="442"/>
      <c r="N199" s="442"/>
      <c r="O199" s="442"/>
      <c r="P199" s="442"/>
      <c r="Q199" s="442"/>
      <c r="R199" s="442"/>
      <c r="S199" s="442"/>
      <c r="T199" s="442"/>
      <c r="U199" s="442"/>
      <c r="V199" s="442"/>
      <c r="W199" s="442"/>
      <c r="X199" s="442"/>
      <c r="Y199" s="442"/>
      <c r="Z199" s="442"/>
      <c r="AA199" s="442"/>
      <c r="AB199" s="442"/>
      <c r="AC199" s="442"/>
      <c r="AD199" s="442"/>
      <c r="AE199" s="442"/>
      <c r="AF199" s="442"/>
      <c r="AG199" s="442"/>
      <c r="AH199" s="442"/>
      <c r="AI199" s="442"/>
      <c r="AJ199" s="442"/>
      <c r="AK199" s="442"/>
      <c r="AL199" s="442"/>
      <c r="AM199" s="442"/>
      <c r="AN199" s="442"/>
      <c r="AO199" s="442"/>
      <c r="AP199" s="442"/>
      <c r="AQ199" s="442"/>
      <c r="AR199" s="442"/>
      <c r="AS199" s="442"/>
      <c r="AT199" s="442"/>
      <c r="AU199" s="442"/>
      <c r="AV199" s="442"/>
    </row>
    <row r="200" ht="15.75" customHeight="1">
      <c r="A200" s="442"/>
      <c r="B200" s="442"/>
      <c r="C200" s="442"/>
      <c r="D200" s="442"/>
      <c r="E200" s="442"/>
      <c r="F200" s="442"/>
      <c r="G200" s="442"/>
      <c r="H200" s="442"/>
      <c r="I200" s="442"/>
      <c r="J200" s="442"/>
      <c r="K200" s="442"/>
      <c r="L200" s="442"/>
      <c r="M200" s="442"/>
      <c r="N200" s="442"/>
      <c r="O200" s="442"/>
      <c r="P200" s="442"/>
      <c r="Q200" s="442"/>
      <c r="R200" s="442"/>
      <c r="S200" s="442"/>
      <c r="T200" s="442"/>
      <c r="U200" s="442"/>
      <c r="V200" s="442"/>
      <c r="W200" s="442"/>
      <c r="X200" s="442"/>
      <c r="Y200" s="442"/>
      <c r="Z200" s="442"/>
      <c r="AA200" s="442"/>
      <c r="AB200" s="442"/>
      <c r="AC200" s="442"/>
      <c r="AD200" s="442"/>
      <c r="AE200" s="442"/>
      <c r="AF200" s="442"/>
      <c r="AG200" s="442"/>
      <c r="AH200" s="442"/>
      <c r="AI200" s="442"/>
      <c r="AJ200" s="442"/>
      <c r="AK200" s="442"/>
      <c r="AL200" s="442"/>
      <c r="AM200" s="442"/>
      <c r="AN200" s="442"/>
      <c r="AO200" s="442"/>
      <c r="AP200" s="442"/>
      <c r="AQ200" s="442"/>
      <c r="AR200" s="442"/>
      <c r="AS200" s="442"/>
      <c r="AT200" s="442"/>
      <c r="AU200" s="442"/>
      <c r="AV200" s="442"/>
    </row>
    <row r="201" ht="15.75" customHeight="1">
      <c r="A201" s="442"/>
      <c r="B201" s="442"/>
      <c r="C201" s="442"/>
      <c r="D201" s="442"/>
      <c r="E201" s="442"/>
      <c r="F201" s="442"/>
      <c r="G201" s="442"/>
      <c r="H201" s="442"/>
      <c r="I201" s="442"/>
      <c r="J201" s="442"/>
      <c r="K201" s="442"/>
      <c r="L201" s="442"/>
      <c r="M201" s="442"/>
      <c r="N201" s="442"/>
      <c r="O201" s="442"/>
      <c r="P201" s="442"/>
      <c r="Q201" s="442"/>
      <c r="R201" s="442"/>
      <c r="S201" s="442"/>
      <c r="T201" s="442"/>
      <c r="U201" s="442"/>
      <c r="V201" s="442"/>
      <c r="W201" s="442"/>
      <c r="X201" s="442"/>
      <c r="Y201" s="442"/>
      <c r="Z201" s="442"/>
      <c r="AA201" s="442"/>
      <c r="AB201" s="442"/>
      <c r="AC201" s="442"/>
      <c r="AD201" s="442"/>
      <c r="AE201" s="442"/>
      <c r="AF201" s="442"/>
      <c r="AG201" s="442"/>
      <c r="AH201" s="442"/>
      <c r="AI201" s="442"/>
      <c r="AJ201" s="442"/>
      <c r="AK201" s="442"/>
      <c r="AL201" s="442"/>
      <c r="AM201" s="442"/>
      <c r="AN201" s="442"/>
      <c r="AO201" s="442"/>
      <c r="AP201" s="442"/>
      <c r="AQ201" s="442"/>
      <c r="AR201" s="442"/>
      <c r="AS201" s="442"/>
      <c r="AT201" s="442"/>
      <c r="AU201" s="442"/>
      <c r="AV201" s="442"/>
    </row>
    <row r="202" ht="15.75" customHeight="1">
      <c r="A202" s="442"/>
      <c r="B202" s="442"/>
      <c r="C202" s="442"/>
      <c r="D202" s="442"/>
      <c r="E202" s="442"/>
      <c r="F202" s="442"/>
      <c r="G202" s="442"/>
      <c r="H202" s="442"/>
      <c r="I202" s="442"/>
      <c r="J202" s="442"/>
      <c r="K202" s="442"/>
      <c r="L202" s="442"/>
      <c r="M202" s="442"/>
      <c r="N202" s="442"/>
      <c r="O202" s="442"/>
      <c r="P202" s="442"/>
      <c r="Q202" s="442"/>
      <c r="R202" s="442"/>
      <c r="S202" s="442"/>
      <c r="T202" s="442"/>
      <c r="U202" s="442"/>
      <c r="V202" s="442"/>
      <c r="W202" s="442"/>
      <c r="X202" s="442"/>
      <c r="Y202" s="442"/>
      <c r="Z202" s="442"/>
      <c r="AA202" s="442"/>
      <c r="AB202" s="442"/>
      <c r="AC202" s="442"/>
      <c r="AD202" s="442"/>
      <c r="AE202" s="442"/>
      <c r="AF202" s="442"/>
      <c r="AG202" s="442"/>
      <c r="AH202" s="442"/>
      <c r="AI202" s="442"/>
      <c r="AJ202" s="442"/>
      <c r="AK202" s="442"/>
      <c r="AL202" s="442"/>
      <c r="AM202" s="442"/>
      <c r="AN202" s="442"/>
      <c r="AO202" s="442"/>
      <c r="AP202" s="442"/>
      <c r="AQ202" s="442"/>
      <c r="AR202" s="442"/>
      <c r="AS202" s="442"/>
      <c r="AT202" s="442"/>
      <c r="AU202" s="442"/>
      <c r="AV202" s="442"/>
    </row>
    <row r="203" ht="15.75" customHeight="1">
      <c r="A203" s="442"/>
      <c r="B203" s="442"/>
      <c r="C203" s="442"/>
      <c r="D203" s="442"/>
      <c r="E203" s="442"/>
      <c r="F203" s="442"/>
      <c r="G203" s="442"/>
      <c r="H203" s="442"/>
      <c r="I203" s="442"/>
      <c r="J203" s="442"/>
      <c r="K203" s="442"/>
      <c r="L203" s="442"/>
      <c r="M203" s="442"/>
      <c r="N203" s="442"/>
      <c r="O203" s="442"/>
      <c r="P203" s="442"/>
      <c r="Q203" s="442"/>
      <c r="R203" s="442"/>
      <c r="S203" s="442"/>
      <c r="T203" s="442"/>
      <c r="U203" s="442"/>
      <c r="V203" s="442"/>
      <c r="W203" s="442"/>
      <c r="X203" s="442"/>
      <c r="Y203" s="442"/>
      <c r="Z203" s="442"/>
      <c r="AA203" s="442"/>
      <c r="AB203" s="442"/>
      <c r="AC203" s="442"/>
      <c r="AD203" s="442"/>
      <c r="AE203" s="442"/>
      <c r="AF203" s="442"/>
      <c r="AG203" s="442"/>
      <c r="AH203" s="442"/>
      <c r="AI203" s="442"/>
      <c r="AJ203" s="442"/>
      <c r="AK203" s="442"/>
      <c r="AL203" s="442"/>
      <c r="AM203" s="442"/>
      <c r="AN203" s="442"/>
      <c r="AO203" s="442"/>
      <c r="AP203" s="442"/>
      <c r="AQ203" s="442"/>
      <c r="AR203" s="442"/>
      <c r="AS203" s="442"/>
      <c r="AT203" s="442"/>
      <c r="AU203" s="442"/>
      <c r="AV203" s="442"/>
    </row>
    <row r="204" ht="15.75" customHeight="1">
      <c r="A204" s="442"/>
      <c r="B204" s="442"/>
      <c r="C204" s="442"/>
      <c r="D204" s="442"/>
      <c r="E204" s="442"/>
      <c r="F204" s="442"/>
      <c r="G204" s="442"/>
      <c r="H204" s="442"/>
      <c r="I204" s="442"/>
      <c r="J204" s="442"/>
      <c r="K204" s="442"/>
      <c r="L204" s="442"/>
      <c r="M204" s="442"/>
      <c r="N204" s="442"/>
      <c r="O204" s="442"/>
      <c r="P204" s="442"/>
      <c r="Q204" s="442"/>
      <c r="R204" s="442"/>
      <c r="S204" s="442"/>
      <c r="T204" s="442"/>
      <c r="U204" s="442"/>
      <c r="V204" s="442"/>
      <c r="W204" s="442"/>
      <c r="X204" s="442"/>
      <c r="Y204" s="442"/>
      <c r="Z204" s="442"/>
      <c r="AA204" s="442"/>
      <c r="AB204" s="442"/>
      <c r="AC204" s="442"/>
      <c r="AD204" s="442"/>
      <c r="AE204" s="442"/>
      <c r="AF204" s="442"/>
      <c r="AG204" s="442"/>
      <c r="AH204" s="442"/>
      <c r="AI204" s="442"/>
      <c r="AJ204" s="442"/>
      <c r="AK204" s="442"/>
      <c r="AL204" s="442"/>
      <c r="AM204" s="442"/>
      <c r="AN204" s="442"/>
      <c r="AO204" s="442"/>
      <c r="AP204" s="442"/>
      <c r="AQ204" s="442"/>
      <c r="AR204" s="442"/>
      <c r="AS204" s="442"/>
      <c r="AT204" s="442"/>
      <c r="AU204" s="442"/>
      <c r="AV204" s="442"/>
    </row>
    <row r="205" ht="15.75" customHeight="1">
      <c r="A205" s="442"/>
      <c r="B205" s="442"/>
      <c r="C205" s="442"/>
      <c r="D205" s="442"/>
      <c r="E205" s="442"/>
      <c r="F205" s="442"/>
      <c r="G205" s="442"/>
      <c r="H205" s="442"/>
      <c r="I205" s="442"/>
      <c r="J205" s="442"/>
      <c r="K205" s="442"/>
      <c r="L205" s="442"/>
      <c r="M205" s="442"/>
      <c r="N205" s="442"/>
      <c r="O205" s="442"/>
      <c r="P205" s="442"/>
      <c r="Q205" s="442"/>
      <c r="R205" s="442"/>
      <c r="S205" s="442"/>
      <c r="T205" s="442"/>
      <c r="U205" s="442"/>
      <c r="V205" s="442"/>
      <c r="W205" s="442"/>
      <c r="X205" s="442"/>
      <c r="Y205" s="442"/>
      <c r="Z205" s="442"/>
      <c r="AA205" s="442"/>
      <c r="AB205" s="442"/>
      <c r="AC205" s="442"/>
      <c r="AD205" s="442"/>
      <c r="AE205" s="442"/>
      <c r="AF205" s="442"/>
      <c r="AG205" s="442"/>
      <c r="AH205" s="442"/>
      <c r="AI205" s="442"/>
      <c r="AJ205" s="442"/>
      <c r="AK205" s="442"/>
      <c r="AL205" s="442"/>
      <c r="AM205" s="442"/>
      <c r="AN205" s="442"/>
      <c r="AO205" s="442"/>
      <c r="AP205" s="442"/>
      <c r="AQ205" s="442"/>
      <c r="AR205" s="442"/>
      <c r="AS205" s="442"/>
      <c r="AT205" s="442"/>
      <c r="AU205" s="442"/>
      <c r="AV205" s="442"/>
    </row>
    <row r="206" ht="15.75" customHeight="1">
      <c r="A206" s="442"/>
      <c r="B206" s="442"/>
      <c r="C206" s="442"/>
      <c r="D206" s="442"/>
      <c r="E206" s="442"/>
      <c r="F206" s="442"/>
      <c r="G206" s="442"/>
      <c r="H206" s="442"/>
      <c r="I206" s="442"/>
      <c r="J206" s="442"/>
      <c r="K206" s="442"/>
      <c r="L206" s="442"/>
      <c r="M206" s="442"/>
      <c r="N206" s="442"/>
      <c r="O206" s="442"/>
      <c r="P206" s="442"/>
      <c r="Q206" s="442"/>
      <c r="R206" s="442"/>
      <c r="S206" s="442"/>
      <c r="T206" s="442"/>
      <c r="U206" s="442"/>
      <c r="V206" s="442"/>
      <c r="W206" s="442"/>
      <c r="X206" s="442"/>
      <c r="Y206" s="442"/>
      <c r="Z206" s="442"/>
      <c r="AA206" s="442"/>
      <c r="AB206" s="442"/>
      <c r="AC206" s="442"/>
      <c r="AD206" s="442"/>
      <c r="AE206" s="442"/>
      <c r="AF206" s="442"/>
      <c r="AG206" s="442"/>
      <c r="AH206" s="442"/>
      <c r="AI206" s="442"/>
      <c r="AJ206" s="442"/>
      <c r="AK206" s="442"/>
      <c r="AL206" s="442"/>
      <c r="AM206" s="442"/>
      <c r="AN206" s="442"/>
      <c r="AO206" s="442"/>
      <c r="AP206" s="442"/>
      <c r="AQ206" s="442"/>
      <c r="AR206" s="442"/>
      <c r="AS206" s="442"/>
      <c r="AT206" s="442"/>
      <c r="AU206" s="442"/>
      <c r="AV206" s="442"/>
    </row>
    <row r="207" ht="15.75" customHeight="1">
      <c r="A207" s="442"/>
      <c r="B207" s="442"/>
      <c r="C207" s="442"/>
      <c r="D207" s="442"/>
      <c r="E207" s="442"/>
      <c r="F207" s="442"/>
      <c r="G207" s="442"/>
      <c r="H207" s="442"/>
      <c r="I207" s="442"/>
      <c r="J207" s="442"/>
      <c r="K207" s="442"/>
      <c r="L207" s="442"/>
      <c r="M207" s="442"/>
      <c r="N207" s="442"/>
      <c r="O207" s="442"/>
      <c r="P207" s="442"/>
      <c r="Q207" s="442"/>
      <c r="R207" s="442"/>
      <c r="S207" s="442"/>
      <c r="T207" s="442"/>
      <c r="U207" s="442"/>
      <c r="V207" s="442"/>
      <c r="W207" s="442"/>
      <c r="X207" s="442"/>
      <c r="Y207" s="442"/>
      <c r="Z207" s="442"/>
      <c r="AA207" s="442"/>
      <c r="AB207" s="442"/>
      <c r="AC207" s="442"/>
      <c r="AD207" s="442"/>
      <c r="AE207" s="442"/>
      <c r="AF207" s="442"/>
      <c r="AG207" s="442"/>
      <c r="AH207" s="442"/>
      <c r="AI207" s="442"/>
      <c r="AJ207" s="442"/>
      <c r="AK207" s="442"/>
      <c r="AL207" s="442"/>
      <c r="AM207" s="442"/>
      <c r="AN207" s="442"/>
      <c r="AO207" s="442"/>
      <c r="AP207" s="442"/>
      <c r="AQ207" s="442"/>
      <c r="AR207" s="442"/>
      <c r="AS207" s="442"/>
      <c r="AT207" s="442"/>
      <c r="AU207" s="442"/>
      <c r="AV207" s="442"/>
    </row>
    <row r="208" ht="15.75" customHeight="1">
      <c r="A208" s="442"/>
      <c r="B208" s="442"/>
      <c r="C208" s="442"/>
      <c r="D208" s="442"/>
      <c r="E208" s="442"/>
      <c r="F208" s="442"/>
      <c r="G208" s="442"/>
      <c r="H208" s="442"/>
      <c r="I208" s="442"/>
      <c r="J208" s="442"/>
      <c r="K208" s="442"/>
      <c r="L208" s="442"/>
      <c r="M208" s="442"/>
      <c r="N208" s="442"/>
      <c r="O208" s="442"/>
      <c r="P208" s="442"/>
      <c r="Q208" s="442"/>
      <c r="R208" s="442"/>
      <c r="S208" s="442"/>
      <c r="T208" s="442"/>
      <c r="U208" s="442"/>
      <c r="V208" s="442"/>
      <c r="W208" s="442"/>
      <c r="X208" s="442"/>
      <c r="Y208" s="442"/>
      <c r="Z208" s="442"/>
      <c r="AA208" s="442"/>
      <c r="AB208" s="442"/>
      <c r="AC208" s="442"/>
      <c r="AD208" s="442"/>
      <c r="AE208" s="442"/>
      <c r="AF208" s="442"/>
      <c r="AG208" s="442"/>
      <c r="AH208" s="442"/>
      <c r="AI208" s="442"/>
      <c r="AJ208" s="442"/>
      <c r="AK208" s="442"/>
      <c r="AL208" s="442"/>
      <c r="AM208" s="442"/>
      <c r="AN208" s="442"/>
      <c r="AO208" s="442"/>
      <c r="AP208" s="442"/>
      <c r="AQ208" s="442"/>
      <c r="AR208" s="442"/>
      <c r="AS208" s="442"/>
      <c r="AT208" s="442"/>
      <c r="AU208" s="442"/>
      <c r="AV208" s="442"/>
    </row>
    <row r="209" ht="15.75" customHeight="1">
      <c r="A209" s="442"/>
      <c r="B209" s="442"/>
      <c r="C209" s="442"/>
      <c r="D209" s="442"/>
      <c r="E209" s="442"/>
      <c r="F209" s="442"/>
      <c r="G209" s="442"/>
      <c r="H209" s="442"/>
      <c r="I209" s="442"/>
      <c r="J209" s="442"/>
      <c r="K209" s="442"/>
      <c r="L209" s="442"/>
      <c r="M209" s="442"/>
      <c r="N209" s="442"/>
      <c r="O209" s="442"/>
      <c r="P209" s="442"/>
      <c r="Q209" s="442"/>
      <c r="R209" s="442"/>
      <c r="S209" s="442"/>
      <c r="T209" s="442"/>
      <c r="U209" s="442"/>
      <c r="V209" s="442"/>
      <c r="W209" s="442"/>
      <c r="X209" s="442"/>
      <c r="Y209" s="442"/>
      <c r="Z209" s="442"/>
      <c r="AA209" s="442"/>
      <c r="AB209" s="442"/>
      <c r="AC209" s="442"/>
      <c r="AD209" s="442"/>
      <c r="AE209" s="442"/>
      <c r="AF209" s="442"/>
      <c r="AG209" s="442"/>
      <c r="AH209" s="442"/>
      <c r="AI209" s="442"/>
      <c r="AJ209" s="442"/>
      <c r="AK209" s="442"/>
      <c r="AL209" s="442"/>
      <c r="AM209" s="442"/>
      <c r="AN209" s="442"/>
      <c r="AO209" s="442"/>
      <c r="AP209" s="442"/>
      <c r="AQ209" s="442"/>
      <c r="AR209" s="442"/>
      <c r="AS209" s="442"/>
      <c r="AT209" s="442"/>
      <c r="AU209" s="442"/>
      <c r="AV209" s="442"/>
    </row>
    <row r="210" ht="15.75" customHeight="1">
      <c r="A210" s="442"/>
      <c r="B210" s="442"/>
      <c r="C210" s="442"/>
      <c r="D210" s="442"/>
      <c r="E210" s="442"/>
      <c r="F210" s="442"/>
      <c r="G210" s="442"/>
      <c r="H210" s="442"/>
      <c r="I210" s="442"/>
      <c r="J210" s="442"/>
      <c r="K210" s="442"/>
      <c r="L210" s="442"/>
      <c r="M210" s="442"/>
      <c r="N210" s="442"/>
      <c r="O210" s="442"/>
      <c r="P210" s="442"/>
      <c r="Q210" s="442"/>
      <c r="R210" s="442"/>
      <c r="S210" s="442"/>
      <c r="T210" s="442"/>
      <c r="U210" s="442"/>
      <c r="V210" s="442"/>
      <c r="W210" s="442"/>
      <c r="X210" s="442"/>
      <c r="Y210" s="442"/>
      <c r="Z210" s="442"/>
      <c r="AA210" s="442"/>
      <c r="AB210" s="442"/>
      <c r="AC210" s="442"/>
      <c r="AD210" s="442"/>
      <c r="AE210" s="442"/>
      <c r="AF210" s="442"/>
      <c r="AG210" s="442"/>
      <c r="AH210" s="442"/>
      <c r="AI210" s="442"/>
      <c r="AJ210" s="442"/>
      <c r="AK210" s="442"/>
      <c r="AL210" s="442"/>
      <c r="AM210" s="442"/>
      <c r="AN210" s="442"/>
      <c r="AO210" s="442"/>
      <c r="AP210" s="442"/>
      <c r="AQ210" s="442"/>
      <c r="AR210" s="442"/>
      <c r="AS210" s="442"/>
      <c r="AT210" s="442"/>
      <c r="AU210" s="442"/>
      <c r="AV210" s="442"/>
    </row>
    <row r="211" ht="15.75" customHeight="1">
      <c r="A211" s="442"/>
      <c r="B211" s="442"/>
      <c r="C211" s="442"/>
      <c r="D211" s="442"/>
      <c r="E211" s="442"/>
      <c r="F211" s="442"/>
      <c r="G211" s="442"/>
      <c r="H211" s="442"/>
      <c r="I211" s="442"/>
      <c r="J211" s="442"/>
      <c r="K211" s="442"/>
      <c r="L211" s="442"/>
      <c r="M211" s="442"/>
      <c r="N211" s="442"/>
      <c r="O211" s="442"/>
      <c r="P211" s="442"/>
      <c r="Q211" s="442"/>
      <c r="R211" s="442"/>
      <c r="S211" s="442"/>
      <c r="T211" s="442"/>
      <c r="U211" s="442"/>
      <c r="V211" s="442"/>
      <c r="W211" s="442"/>
      <c r="X211" s="442"/>
      <c r="Y211" s="442"/>
      <c r="Z211" s="442"/>
      <c r="AA211" s="442"/>
      <c r="AB211" s="442"/>
      <c r="AC211" s="442"/>
      <c r="AD211" s="442"/>
      <c r="AE211" s="442"/>
      <c r="AF211" s="442"/>
      <c r="AG211" s="442"/>
      <c r="AH211" s="442"/>
      <c r="AI211" s="442"/>
      <c r="AJ211" s="442"/>
      <c r="AK211" s="442"/>
      <c r="AL211" s="442"/>
      <c r="AM211" s="442"/>
      <c r="AN211" s="442"/>
      <c r="AO211" s="442"/>
      <c r="AP211" s="442"/>
      <c r="AQ211" s="442"/>
      <c r="AR211" s="442"/>
      <c r="AS211" s="442"/>
      <c r="AT211" s="442"/>
      <c r="AU211" s="442"/>
      <c r="AV211" s="442"/>
    </row>
    <row r="212" ht="15.75" customHeight="1">
      <c r="A212" s="442"/>
      <c r="B212" s="442"/>
      <c r="C212" s="442"/>
      <c r="D212" s="442"/>
      <c r="E212" s="442"/>
      <c r="F212" s="442"/>
      <c r="G212" s="442"/>
      <c r="H212" s="442"/>
      <c r="I212" s="442"/>
      <c r="J212" s="442"/>
      <c r="K212" s="442"/>
      <c r="L212" s="442"/>
      <c r="M212" s="442"/>
      <c r="N212" s="442"/>
      <c r="O212" s="442"/>
      <c r="P212" s="442"/>
      <c r="Q212" s="442"/>
      <c r="R212" s="442"/>
      <c r="S212" s="442"/>
      <c r="T212" s="442"/>
      <c r="U212" s="442"/>
      <c r="V212" s="442"/>
      <c r="W212" s="442"/>
      <c r="X212" s="442"/>
      <c r="Y212" s="442"/>
      <c r="Z212" s="442"/>
      <c r="AA212" s="442"/>
      <c r="AB212" s="442"/>
      <c r="AC212" s="442"/>
      <c r="AD212" s="442"/>
      <c r="AE212" s="442"/>
      <c r="AF212" s="442"/>
      <c r="AG212" s="442"/>
      <c r="AH212" s="442"/>
      <c r="AI212" s="442"/>
      <c r="AJ212" s="442"/>
      <c r="AK212" s="442"/>
      <c r="AL212" s="442"/>
      <c r="AM212" s="442"/>
      <c r="AN212" s="442"/>
      <c r="AO212" s="442"/>
      <c r="AP212" s="442"/>
      <c r="AQ212" s="442"/>
      <c r="AR212" s="442"/>
      <c r="AS212" s="442"/>
      <c r="AT212" s="442"/>
      <c r="AU212" s="442"/>
      <c r="AV212" s="442"/>
    </row>
    <row r="213" ht="15.75" customHeight="1">
      <c r="A213" s="442"/>
      <c r="B213" s="442"/>
      <c r="C213" s="442"/>
      <c r="D213" s="442"/>
      <c r="E213" s="442"/>
      <c r="F213" s="442"/>
      <c r="G213" s="442"/>
      <c r="H213" s="442"/>
      <c r="I213" s="442"/>
      <c r="J213" s="442"/>
      <c r="K213" s="442"/>
      <c r="L213" s="442"/>
      <c r="M213" s="442"/>
      <c r="N213" s="442"/>
      <c r="O213" s="442"/>
      <c r="P213" s="442"/>
      <c r="Q213" s="442"/>
      <c r="R213" s="442"/>
      <c r="S213" s="442"/>
      <c r="T213" s="442"/>
      <c r="U213" s="442"/>
      <c r="V213" s="442"/>
      <c r="W213" s="442"/>
      <c r="X213" s="442"/>
      <c r="Y213" s="442"/>
      <c r="Z213" s="442"/>
      <c r="AA213" s="442"/>
      <c r="AB213" s="442"/>
      <c r="AC213" s="442"/>
      <c r="AD213" s="442"/>
      <c r="AE213" s="442"/>
      <c r="AF213" s="442"/>
      <c r="AG213" s="442"/>
      <c r="AH213" s="442"/>
      <c r="AI213" s="442"/>
      <c r="AJ213" s="442"/>
      <c r="AK213" s="442"/>
      <c r="AL213" s="442"/>
      <c r="AM213" s="442"/>
      <c r="AN213" s="442"/>
      <c r="AO213" s="442"/>
      <c r="AP213" s="442"/>
      <c r="AQ213" s="442"/>
      <c r="AR213" s="442"/>
      <c r="AS213" s="442"/>
      <c r="AT213" s="442"/>
      <c r="AU213" s="442"/>
      <c r="AV213" s="442"/>
    </row>
    <row r="214" ht="15.75" customHeight="1">
      <c r="A214" s="442"/>
      <c r="B214" s="442"/>
      <c r="C214" s="442"/>
      <c r="D214" s="442"/>
      <c r="E214" s="442"/>
      <c r="F214" s="442"/>
      <c r="G214" s="442"/>
      <c r="H214" s="442"/>
      <c r="I214" s="442"/>
      <c r="J214" s="442"/>
      <c r="K214" s="442"/>
      <c r="L214" s="442"/>
      <c r="M214" s="442"/>
      <c r="N214" s="442"/>
      <c r="O214" s="442"/>
      <c r="P214" s="442"/>
      <c r="Q214" s="442"/>
      <c r="R214" s="442"/>
      <c r="S214" s="442"/>
      <c r="T214" s="442"/>
      <c r="U214" s="442"/>
      <c r="V214" s="442"/>
      <c r="W214" s="442"/>
      <c r="X214" s="442"/>
      <c r="Y214" s="442"/>
      <c r="Z214" s="442"/>
      <c r="AA214" s="442"/>
      <c r="AB214" s="442"/>
      <c r="AC214" s="442"/>
      <c r="AD214" s="442"/>
      <c r="AE214" s="442"/>
      <c r="AF214" s="442"/>
      <c r="AG214" s="442"/>
      <c r="AH214" s="442"/>
      <c r="AI214" s="442"/>
      <c r="AJ214" s="442"/>
      <c r="AK214" s="442"/>
      <c r="AL214" s="442"/>
      <c r="AM214" s="442"/>
      <c r="AN214" s="442"/>
      <c r="AO214" s="442"/>
      <c r="AP214" s="442"/>
      <c r="AQ214" s="442"/>
      <c r="AR214" s="442"/>
      <c r="AS214" s="442"/>
      <c r="AT214" s="442"/>
      <c r="AU214" s="442"/>
      <c r="AV214" s="442"/>
    </row>
    <row r="215" ht="15.75" customHeight="1">
      <c r="A215" s="442"/>
      <c r="B215" s="442"/>
      <c r="C215" s="442"/>
      <c r="D215" s="442"/>
      <c r="E215" s="442"/>
      <c r="F215" s="442"/>
      <c r="G215" s="442"/>
      <c r="H215" s="442"/>
      <c r="I215" s="442"/>
      <c r="J215" s="442"/>
      <c r="K215" s="442"/>
      <c r="L215" s="442"/>
      <c r="M215" s="442"/>
      <c r="N215" s="442"/>
      <c r="O215" s="442"/>
      <c r="P215" s="442"/>
      <c r="Q215" s="442"/>
      <c r="R215" s="442"/>
      <c r="S215" s="442"/>
      <c r="T215" s="442"/>
      <c r="U215" s="442"/>
      <c r="V215" s="442"/>
      <c r="W215" s="442"/>
      <c r="X215" s="442"/>
      <c r="Y215" s="442"/>
      <c r="Z215" s="442"/>
      <c r="AA215" s="442"/>
      <c r="AB215" s="442"/>
      <c r="AC215" s="442"/>
      <c r="AD215" s="442"/>
      <c r="AE215" s="442"/>
      <c r="AF215" s="442"/>
      <c r="AG215" s="442"/>
      <c r="AH215" s="442"/>
      <c r="AI215" s="442"/>
      <c r="AJ215" s="442"/>
      <c r="AK215" s="442"/>
      <c r="AL215" s="442"/>
      <c r="AM215" s="442"/>
      <c r="AN215" s="442"/>
      <c r="AO215" s="442"/>
      <c r="AP215" s="442"/>
      <c r="AQ215" s="442"/>
      <c r="AR215" s="442"/>
      <c r="AS215" s="442"/>
      <c r="AT215" s="442"/>
      <c r="AU215" s="442"/>
      <c r="AV215" s="442"/>
    </row>
    <row r="216" ht="15.75" customHeight="1">
      <c r="A216" s="442"/>
      <c r="B216" s="442"/>
      <c r="C216" s="442"/>
      <c r="D216" s="442"/>
      <c r="E216" s="442"/>
      <c r="F216" s="442"/>
      <c r="G216" s="442"/>
      <c r="H216" s="442"/>
      <c r="I216" s="442"/>
      <c r="J216" s="442"/>
      <c r="K216" s="442"/>
      <c r="L216" s="442"/>
      <c r="M216" s="442"/>
      <c r="N216" s="442"/>
      <c r="O216" s="442"/>
      <c r="P216" s="442"/>
      <c r="Q216" s="442"/>
      <c r="R216" s="442"/>
      <c r="S216" s="442"/>
      <c r="T216" s="442"/>
      <c r="U216" s="442"/>
      <c r="V216" s="442"/>
      <c r="W216" s="442"/>
      <c r="X216" s="442"/>
      <c r="Y216" s="442"/>
      <c r="Z216" s="442"/>
      <c r="AA216" s="442"/>
      <c r="AB216" s="442"/>
      <c r="AC216" s="442"/>
      <c r="AD216" s="442"/>
      <c r="AE216" s="442"/>
      <c r="AF216" s="442"/>
      <c r="AG216" s="442"/>
      <c r="AH216" s="442"/>
      <c r="AI216" s="442"/>
      <c r="AJ216" s="442"/>
      <c r="AK216" s="442"/>
      <c r="AL216" s="442"/>
      <c r="AM216" s="442"/>
      <c r="AN216" s="442"/>
      <c r="AO216" s="442"/>
      <c r="AP216" s="442"/>
      <c r="AQ216" s="442"/>
      <c r="AR216" s="442"/>
      <c r="AS216" s="442"/>
      <c r="AT216" s="442"/>
      <c r="AU216" s="442"/>
      <c r="AV216" s="442"/>
    </row>
    <row r="217" ht="15.75" customHeight="1">
      <c r="A217" s="442"/>
      <c r="B217" s="442"/>
      <c r="C217" s="442"/>
      <c r="D217" s="442"/>
      <c r="E217" s="442"/>
      <c r="F217" s="442"/>
      <c r="G217" s="442"/>
      <c r="H217" s="442"/>
      <c r="I217" s="442"/>
      <c r="J217" s="442"/>
      <c r="K217" s="442"/>
      <c r="L217" s="442"/>
      <c r="M217" s="442"/>
      <c r="N217" s="442"/>
      <c r="O217" s="442"/>
      <c r="P217" s="442"/>
      <c r="Q217" s="442"/>
      <c r="R217" s="442"/>
      <c r="S217" s="442"/>
      <c r="T217" s="442"/>
      <c r="U217" s="442"/>
      <c r="V217" s="442"/>
      <c r="W217" s="442"/>
      <c r="X217" s="442"/>
      <c r="Y217" s="442"/>
      <c r="Z217" s="442"/>
      <c r="AA217" s="442"/>
      <c r="AB217" s="442"/>
      <c r="AC217" s="442"/>
      <c r="AD217" s="442"/>
      <c r="AE217" s="442"/>
      <c r="AF217" s="442"/>
      <c r="AG217" s="442"/>
      <c r="AH217" s="442"/>
      <c r="AI217" s="442"/>
      <c r="AJ217" s="442"/>
      <c r="AK217" s="442"/>
      <c r="AL217" s="442"/>
      <c r="AM217" s="442"/>
      <c r="AN217" s="442"/>
      <c r="AO217" s="442"/>
      <c r="AP217" s="442"/>
      <c r="AQ217" s="442"/>
      <c r="AR217" s="442"/>
      <c r="AS217" s="442"/>
      <c r="AT217" s="442"/>
      <c r="AU217" s="442"/>
      <c r="AV217" s="442"/>
    </row>
    <row r="218" ht="15.75" customHeight="1">
      <c r="A218" s="442"/>
      <c r="B218" s="442"/>
      <c r="C218" s="442"/>
      <c r="D218" s="442"/>
      <c r="E218" s="442"/>
      <c r="F218" s="442"/>
      <c r="G218" s="442"/>
      <c r="H218" s="442"/>
      <c r="I218" s="442"/>
      <c r="J218" s="442"/>
      <c r="K218" s="442"/>
      <c r="L218" s="442"/>
      <c r="M218" s="442"/>
      <c r="N218" s="442"/>
      <c r="O218" s="442"/>
      <c r="P218" s="442"/>
      <c r="Q218" s="442"/>
      <c r="R218" s="442"/>
      <c r="S218" s="442"/>
      <c r="T218" s="442"/>
      <c r="U218" s="442"/>
      <c r="V218" s="442"/>
      <c r="W218" s="442"/>
      <c r="X218" s="442"/>
      <c r="Y218" s="442"/>
      <c r="Z218" s="442"/>
      <c r="AA218" s="442"/>
      <c r="AB218" s="442"/>
      <c r="AC218" s="442"/>
      <c r="AD218" s="442"/>
      <c r="AE218" s="442"/>
      <c r="AF218" s="442"/>
      <c r="AG218" s="442"/>
      <c r="AH218" s="442"/>
      <c r="AI218" s="442"/>
      <c r="AJ218" s="442"/>
      <c r="AK218" s="442"/>
      <c r="AL218" s="442"/>
      <c r="AM218" s="442"/>
      <c r="AN218" s="442"/>
      <c r="AO218" s="442"/>
      <c r="AP218" s="442"/>
      <c r="AQ218" s="442"/>
      <c r="AR218" s="442"/>
      <c r="AS218" s="442"/>
      <c r="AT218" s="442"/>
      <c r="AU218" s="442"/>
      <c r="AV218" s="442"/>
    </row>
    <row r="219" ht="15.75" customHeight="1">
      <c r="A219" s="442"/>
      <c r="B219" s="442"/>
      <c r="C219" s="442"/>
      <c r="D219" s="442"/>
      <c r="E219" s="442"/>
      <c r="F219" s="442"/>
      <c r="G219" s="442"/>
      <c r="H219" s="442"/>
      <c r="I219" s="442"/>
      <c r="J219" s="442"/>
      <c r="K219" s="442"/>
      <c r="L219" s="442"/>
      <c r="M219" s="442"/>
      <c r="N219" s="442"/>
      <c r="O219" s="442"/>
      <c r="P219" s="442"/>
      <c r="Q219" s="442"/>
      <c r="R219" s="442"/>
      <c r="S219" s="442"/>
      <c r="T219" s="442"/>
      <c r="U219" s="442"/>
      <c r="V219" s="442"/>
      <c r="W219" s="442"/>
      <c r="X219" s="442"/>
      <c r="Y219" s="442"/>
      <c r="Z219" s="442"/>
      <c r="AA219" s="442"/>
      <c r="AB219" s="442"/>
      <c r="AC219" s="442"/>
      <c r="AD219" s="442"/>
      <c r="AE219" s="442"/>
      <c r="AF219" s="442"/>
      <c r="AG219" s="442"/>
      <c r="AH219" s="442"/>
      <c r="AI219" s="442"/>
      <c r="AJ219" s="442"/>
      <c r="AK219" s="442"/>
      <c r="AL219" s="442"/>
      <c r="AM219" s="442"/>
      <c r="AN219" s="442"/>
      <c r="AO219" s="442"/>
      <c r="AP219" s="442"/>
      <c r="AQ219" s="442"/>
      <c r="AR219" s="442"/>
      <c r="AS219" s="442"/>
      <c r="AT219" s="442"/>
      <c r="AU219" s="442"/>
      <c r="AV219" s="442"/>
    </row>
    <row r="220" ht="15.75" customHeight="1">
      <c r="A220" s="442"/>
      <c r="B220" s="442"/>
      <c r="C220" s="442"/>
      <c r="D220" s="442"/>
      <c r="E220" s="442"/>
      <c r="F220" s="442"/>
      <c r="G220" s="442"/>
      <c r="H220" s="442"/>
      <c r="I220" s="442"/>
      <c r="J220" s="442"/>
      <c r="K220" s="442"/>
      <c r="L220" s="442"/>
      <c r="M220" s="442"/>
      <c r="N220" s="442"/>
      <c r="O220" s="442"/>
      <c r="P220" s="442"/>
      <c r="Q220" s="442"/>
      <c r="R220" s="442"/>
      <c r="S220" s="442"/>
      <c r="T220" s="442"/>
      <c r="U220" s="442"/>
      <c r="V220" s="442"/>
      <c r="W220" s="442"/>
      <c r="X220" s="442"/>
      <c r="Y220" s="442"/>
      <c r="Z220" s="442"/>
      <c r="AA220" s="442"/>
      <c r="AB220" s="442"/>
      <c r="AC220" s="442"/>
      <c r="AD220" s="442"/>
      <c r="AE220" s="442"/>
      <c r="AF220" s="442"/>
      <c r="AG220" s="442"/>
      <c r="AH220" s="442"/>
      <c r="AI220" s="442"/>
      <c r="AJ220" s="442"/>
      <c r="AK220" s="442"/>
      <c r="AL220" s="442"/>
      <c r="AM220" s="442"/>
      <c r="AN220" s="442"/>
      <c r="AO220" s="442"/>
      <c r="AP220" s="442"/>
      <c r="AQ220" s="442"/>
      <c r="AR220" s="442"/>
      <c r="AS220" s="442"/>
      <c r="AT220" s="442"/>
      <c r="AU220" s="442"/>
      <c r="AV220" s="442"/>
    </row>
    <row r="221" ht="15.75" customHeight="1">
      <c r="A221" s="442"/>
      <c r="B221" s="442"/>
      <c r="C221" s="442"/>
      <c r="D221" s="442"/>
      <c r="E221" s="442"/>
      <c r="F221" s="442"/>
      <c r="G221" s="442"/>
      <c r="H221" s="442"/>
      <c r="I221" s="442"/>
      <c r="J221" s="442"/>
      <c r="K221" s="442"/>
      <c r="L221" s="442"/>
      <c r="M221" s="442"/>
      <c r="N221" s="442"/>
      <c r="O221" s="442"/>
      <c r="P221" s="442"/>
      <c r="Q221" s="442"/>
      <c r="R221" s="442"/>
      <c r="S221" s="442"/>
      <c r="T221" s="442"/>
      <c r="U221" s="442"/>
      <c r="V221" s="442"/>
      <c r="W221" s="442"/>
      <c r="X221" s="442"/>
      <c r="Y221" s="442"/>
      <c r="Z221" s="442"/>
      <c r="AA221" s="442"/>
      <c r="AB221" s="442"/>
      <c r="AC221" s="442"/>
      <c r="AD221" s="442"/>
      <c r="AE221" s="442"/>
      <c r="AF221" s="442"/>
      <c r="AG221" s="442"/>
      <c r="AH221" s="442"/>
      <c r="AI221" s="442"/>
      <c r="AJ221" s="442"/>
      <c r="AK221" s="442"/>
      <c r="AL221" s="442"/>
      <c r="AM221" s="442"/>
      <c r="AN221" s="442"/>
      <c r="AO221" s="442"/>
      <c r="AP221" s="442"/>
      <c r="AQ221" s="442"/>
      <c r="AR221" s="442"/>
      <c r="AS221" s="442"/>
      <c r="AT221" s="442"/>
      <c r="AU221" s="442"/>
      <c r="AV221" s="442"/>
    </row>
    <row r="222" ht="15.75" customHeight="1">
      <c r="A222" s="442"/>
      <c r="B222" s="442"/>
      <c r="C222" s="442"/>
      <c r="D222" s="442"/>
      <c r="E222" s="442"/>
      <c r="F222" s="442"/>
      <c r="G222" s="442"/>
      <c r="H222" s="442"/>
      <c r="I222" s="442"/>
      <c r="J222" s="442"/>
      <c r="K222" s="442"/>
      <c r="L222" s="442"/>
      <c r="M222" s="442"/>
      <c r="N222" s="442"/>
      <c r="O222" s="442"/>
      <c r="P222" s="442"/>
      <c r="Q222" s="442"/>
      <c r="R222" s="442"/>
      <c r="S222" s="442"/>
      <c r="T222" s="442"/>
      <c r="U222" s="442"/>
      <c r="V222" s="442"/>
      <c r="W222" s="442"/>
      <c r="X222" s="442"/>
      <c r="Y222" s="442"/>
      <c r="Z222" s="442"/>
      <c r="AA222" s="442"/>
      <c r="AB222" s="442"/>
      <c r="AC222" s="442"/>
      <c r="AD222" s="442"/>
      <c r="AE222" s="442"/>
      <c r="AF222" s="442"/>
      <c r="AG222" s="442"/>
      <c r="AH222" s="442"/>
      <c r="AI222" s="442"/>
      <c r="AJ222" s="442"/>
      <c r="AK222" s="442"/>
      <c r="AL222" s="442"/>
      <c r="AM222" s="442"/>
      <c r="AN222" s="442"/>
      <c r="AO222" s="442"/>
      <c r="AP222" s="442"/>
      <c r="AQ222" s="442"/>
      <c r="AR222" s="442"/>
      <c r="AS222" s="442"/>
      <c r="AT222" s="442"/>
      <c r="AU222" s="442"/>
      <c r="AV222" s="442"/>
    </row>
    <row r="223" ht="15.75" customHeight="1">
      <c r="A223" s="442"/>
      <c r="B223" s="442"/>
      <c r="C223" s="442"/>
      <c r="D223" s="442"/>
      <c r="E223" s="442"/>
      <c r="F223" s="442"/>
      <c r="G223" s="442"/>
      <c r="H223" s="442"/>
      <c r="I223" s="442"/>
      <c r="J223" s="442"/>
      <c r="K223" s="442"/>
      <c r="L223" s="442"/>
      <c r="M223" s="442"/>
      <c r="N223" s="442"/>
      <c r="O223" s="442"/>
      <c r="P223" s="442"/>
      <c r="Q223" s="442"/>
      <c r="R223" s="442"/>
      <c r="S223" s="442"/>
      <c r="T223" s="442"/>
      <c r="U223" s="442"/>
      <c r="V223" s="442"/>
      <c r="W223" s="442"/>
      <c r="X223" s="442"/>
      <c r="Y223" s="442"/>
      <c r="Z223" s="442"/>
      <c r="AA223" s="442"/>
      <c r="AB223" s="442"/>
      <c r="AC223" s="442"/>
      <c r="AD223" s="442"/>
      <c r="AE223" s="442"/>
      <c r="AF223" s="442"/>
      <c r="AG223" s="442"/>
      <c r="AH223" s="442"/>
      <c r="AI223" s="442"/>
      <c r="AJ223" s="442"/>
      <c r="AK223" s="442"/>
      <c r="AL223" s="442"/>
      <c r="AM223" s="442"/>
      <c r="AN223" s="442"/>
      <c r="AO223" s="442"/>
      <c r="AP223" s="442"/>
      <c r="AQ223" s="442"/>
      <c r="AR223" s="442"/>
      <c r="AS223" s="442"/>
      <c r="AT223" s="442"/>
      <c r="AU223" s="442"/>
      <c r="AV223" s="442"/>
    </row>
    <row r="224" ht="15.75" customHeight="1">
      <c r="A224" s="442"/>
      <c r="B224" s="442"/>
      <c r="C224" s="442"/>
      <c r="D224" s="442"/>
      <c r="E224" s="442"/>
      <c r="F224" s="442"/>
      <c r="G224" s="442"/>
      <c r="H224" s="442"/>
      <c r="I224" s="442"/>
      <c r="J224" s="442"/>
      <c r="K224" s="442"/>
      <c r="L224" s="442"/>
      <c r="M224" s="442"/>
      <c r="N224" s="442"/>
      <c r="O224" s="442"/>
      <c r="P224" s="442"/>
      <c r="Q224" s="442"/>
      <c r="R224" s="442"/>
      <c r="S224" s="442"/>
      <c r="T224" s="442"/>
      <c r="U224" s="442"/>
      <c r="V224" s="442"/>
      <c r="W224" s="442"/>
      <c r="X224" s="442"/>
      <c r="Y224" s="442"/>
      <c r="Z224" s="442"/>
      <c r="AA224" s="442"/>
      <c r="AB224" s="442"/>
      <c r="AC224" s="442"/>
      <c r="AD224" s="442"/>
      <c r="AE224" s="442"/>
      <c r="AF224" s="442"/>
      <c r="AG224" s="442"/>
      <c r="AH224" s="442"/>
      <c r="AI224" s="442"/>
      <c r="AJ224" s="442"/>
      <c r="AK224" s="442"/>
      <c r="AL224" s="442"/>
      <c r="AM224" s="442"/>
      <c r="AN224" s="442"/>
      <c r="AO224" s="442"/>
      <c r="AP224" s="442"/>
      <c r="AQ224" s="442"/>
      <c r="AR224" s="442"/>
      <c r="AS224" s="442"/>
      <c r="AT224" s="442"/>
      <c r="AU224" s="442"/>
      <c r="AV224" s="442"/>
    </row>
    <row r="225" ht="15.75" customHeight="1">
      <c r="A225" s="442"/>
      <c r="B225" s="442"/>
      <c r="C225" s="442"/>
      <c r="D225" s="442"/>
      <c r="E225" s="442"/>
      <c r="F225" s="442"/>
      <c r="G225" s="442"/>
      <c r="H225" s="442"/>
      <c r="I225" s="442"/>
      <c r="J225" s="442"/>
      <c r="K225" s="442"/>
      <c r="L225" s="442"/>
      <c r="M225" s="442"/>
      <c r="N225" s="442"/>
      <c r="O225" s="442"/>
      <c r="P225" s="442"/>
      <c r="Q225" s="442"/>
      <c r="R225" s="442"/>
      <c r="S225" s="442"/>
      <c r="T225" s="442"/>
      <c r="U225" s="442"/>
      <c r="V225" s="442"/>
      <c r="W225" s="442"/>
      <c r="X225" s="442"/>
      <c r="Y225" s="442"/>
      <c r="Z225" s="442"/>
      <c r="AA225" s="442"/>
      <c r="AB225" s="442"/>
      <c r="AC225" s="442"/>
      <c r="AD225" s="442"/>
      <c r="AE225" s="442"/>
      <c r="AF225" s="442"/>
      <c r="AG225" s="442"/>
      <c r="AH225" s="442"/>
      <c r="AI225" s="442"/>
      <c r="AJ225" s="442"/>
      <c r="AK225" s="442"/>
      <c r="AL225" s="442"/>
      <c r="AM225" s="442"/>
      <c r="AN225" s="442"/>
      <c r="AO225" s="442"/>
      <c r="AP225" s="442"/>
      <c r="AQ225" s="442"/>
      <c r="AR225" s="442"/>
      <c r="AS225" s="442"/>
      <c r="AT225" s="442"/>
      <c r="AU225" s="442"/>
      <c r="AV225" s="442"/>
    </row>
    <row r="226" ht="15.75" customHeight="1">
      <c r="A226" s="442"/>
      <c r="B226" s="442"/>
      <c r="C226" s="442"/>
      <c r="D226" s="442"/>
      <c r="E226" s="442"/>
      <c r="F226" s="442"/>
      <c r="G226" s="442"/>
      <c r="H226" s="442"/>
      <c r="I226" s="442"/>
      <c r="J226" s="442"/>
      <c r="K226" s="442"/>
      <c r="L226" s="442"/>
      <c r="M226" s="442"/>
      <c r="N226" s="442"/>
      <c r="O226" s="442"/>
      <c r="P226" s="442"/>
      <c r="Q226" s="442"/>
      <c r="R226" s="442"/>
      <c r="S226" s="442"/>
      <c r="T226" s="442"/>
      <c r="U226" s="442"/>
      <c r="V226" s="442"/>
      <c r="W226" s="442"/>
      <c r="X226" s="442"/>
      <c r="Y226" s="442"/>
      <c r="Z226" s="442"/>
      <c r="AA226" s="442"/>
      <c r="AB226" s="442"/>
      <c r="AC226" s="442"/>
      <c r="AD226" s="442"/>
      <c r="AE226" s="442"/>
      <c r="AF226" s="442"/>
      <c r="AG226" s="442"/>
      <c r="AH226" s="442"/>
      <c r="AI226" s="442"/>
      <c r="AJ226" s="442"/>
      <c r="AK226" s="442"/>
      <c r="AL226" s="442"/>
      <c r="AM226" s="442"/>
      <c r="AN226" s="442"/>
      <c r="AO226" s="442"/>
      <c r="AP226" s="442"/>
      <c r="AQ226" s="442"/>
      <c r="AR226" s="442"/>
      <c r="AS226" s="442"/>
      <c r="AT226" s="442"/>
      <c r="AU226" s="442"/>
      <c r="AV226" s="442"/>
    </row>
    <row r="227" ht="15.75" customHeight="1">
      <c r="A227" s="442"/>
      <c r="B227" s="442"/>
      <c r="C227" s="442"/>
      <c r="D227" s="442"/>
      <c r="E227" s="442"/>
      <c r="F227" s="442"/>
      <c r="G227" s="442"/>
      <c r="H227" s="442"/>
      <c r="I227" s="442"/>
      <c r="J227" s="442"/>
      <c r="K227" s="442"/>
      <c r="L227" s="442"/>
      <c r="M227" s="442"/>
      <c r="N227" s="442"/>
      <c r="O227" s="442"/>
      <c r="P227" s="442"/>
      <c r="Q227" s="442"/>
      <c r="R227" s="442"/>
      <c r="S227" s="442"/>
      <c r="T227" s="442"/>
      <c r="U227" s="442"/>
      <c r="V227" s="442"/>
      <c r="W227" s="442"/>
      <c r="X227" s="442"/>
      <c r="Y227" s="442"/>
      <c r="Z227" s="442"/>
      <c r="AA227" s="442"/>
      <c r="AB227" s="442"/>
      <c r="AC227" s="442"/>
      <c r="AD227" s="442"/>
      <c r="AE227" s="442"/>
      <c r="AF227" s="442"/>
      <c r="AG227" s="442"/>
      <c r="AH227" s="442"/>
      <c r="AI227" s="442"/>
      <c r="AJ227" s="442"/>
      <c r="AK227" s="442"/>
      <c r="AL227" s="442"/>
      <c r="AM227" s="442"/>
      <c r="AN227" s="442"/>
      <c r="AO227" s="442"/>
      <c r="AP227" s="442"/>
      <c r="AQ227" s="442"/>
      <c r="AR227" s="442"/>
      <c r="AS227" s="442"/>
      <c r="AT227" s="442"/>
      <c r="AU227" s="442"/>
      <c r="AV227" s="442"/>
    </row>
    <row r="228" ht="15.75" customHeight="1">
      <c r="A228" s="442"/>
      <c r="B228" s="442"/>
      <c r="C228" s="442"/>
      <c r="D228" s="442"/>
      <c r="E228" s="442"/>
      <c r="F228" s="442"/>
      <c r="G228" s="442"/>
      <c r="H228" s="442"/>
      <c r="I228" s="442"/>
      <c r="J228" s="442"/>
      <c r="K228" s="442"/>
      <c r="L228" s="442"/>
      <c r="M228" s="442"/>
      <c r="N228" s="442"/>
      <c r="O228" s="442"/>
      <c r="P228" s="442"/>
      <c r="Q228" s="442"/>
      <c r="R228" s="442"/>
      <c r="S228" s="442"/>
      <c r="T228" s="442"/>
      <c r="U228" s="442"/>
      <c r="V228" s="442"/>
      <c r="W228" s="442"/>
      <c r="X228" s="442"/>
      <c r="Y228" s="442"/>
      <c r="Z228" s="442"/>
      <c r="AA228" s="442"/>
      <c r="AB228" s="442"/>
      <c r="AC228" s="442"/>
      <c r="AD228" s="442"/>
      <c r="AE228" s="442"/>
      <c r="AF228" s="442"/>
      <c r="AG228" s="442"/>
      <c r="AH228" s="442"/>
      <c r="AI228" s="442"/>
      <c r="AJ228" s="442"/>
      <c r="AK228" s="442"/>
      <c r="AL228" s="442"/>
      <c r="AM228" s="442"/>
      <c r="AN228" s="442"/>
      <c r="AO228" s="442"/>
      <c r="AP228" s="442"/>
      <c r="AQ228" s="442"/>
      <c r="AR228" s="442"/>
      <c r="AS228" s="442"/>
      <c r="AT228" s="442"/>
      <c r="AU228" s="442"/>
      <c r="AV228" s="442"/>
    </row>
    <row r="229" ht="15.75" customHeight="1">
      <c r="A229" s="442"/>
      <c r="B229" s="442"/>
      <c r="C229" s="442"/>
      <c r="D229" s="442"/>
      <c r="E229" s="442"/>
      <c r="F229" s="442"/>
      <c r="G229" s="442"/>
      <c r="H229" s="442"/>
      <c r="I229" s="442"/>
      <c r="J229" s="442"/>
      <c r="K229" s="442"/>
      <c r="L229" s="442"/>
      <c r="M229" s="442"/>
      <c r="N229" s="442"/>
      <c r="O229" s="442"/>
      <c r="P229" s="442"/>
      <c r="Q229" s="442"/>
      <c r="R229" s="442"/>
      <c r="S229" s="442"/>
      <c r="T229" s="442"/>
      <c r="U229" s="442"/>
      <c r="V229" s="442"/>
      <c r="W229" s="442"/>
      <c r="X229" s="442"/>
      <c r="Y229" s="442"/>
      <c r="Z229" s="442"/>
      <c r="AA229" s="442"/>
      <c r="AB229" s="442"/>
      <c r="AC229" s="442"/>
      <c r="AD229" s="442"/>
      <c r="AE229" s="442"/>
      <c r="AF229" s="442"/>
      <c r="AG229" s="442"/>
      <c r="AH229" s="442"/>
      <c r="AI229" s="442"/>
      <c r="AJ229" s="442"/>
      <c r="AK229" s="442"/>
      <c r="AL229" s="442"/>
      <c r="AM229" s="442"/>
      <c r="AN229" s="442"/>
      <c r="AO229" s="442"/>
      <c r="AP229" s="442"/>
      <c r="AQ229" s="442"/>
      <c r="AR229" s="442"/>
      <c r="AS229" s="442"/>
      <c r="AT229" s="442"/>
      <c r="AU229" s="442"/>
      <c r="AV229" s="442"/>
    </row>
    <row r="230" ht="15.75" customHeight="1">
      <c r="A230" s="442"/>
      <c r="B230" s="442"/>
      <c r="C230" s="442"/>
      <c r="D230" s="442"/>
      <c r="E230" s="442"/>
      <c r="F230" s="442"/>
      <c r="G230" s="442"/>
      <c r="H230" s="442"/>
      <c r="I230" s="442"/>
      <c r="J230" s="442"/>
      <c r="K230" s="442"/>
      <c r="L230" s="442"/>
      <c r="M230" s="442"/>
      <c r="N230" s="442"/>
      <c r="O230" s="442"/>
      <c r="P230" s="442"/>
      <c r="Q230" s="442"/>
      <c r="R230" s="442"/>
      <c r="S230" s="442"/>
      <c r="T230" s="442"/>
      <c r="U230" s="442"/>
      <c r="V230" s="442"/>
      <c r="W230" s="442"/>
      <c r="X230" s="442"/>
      <c r="Y230" s="442"/>
      <c r="Z230" s="442"/>
      <c r="AA230" s="442"/>
      <c r="AB230" s="442"/>
      <c r="AC230" s="442"/>
      <c r="AD230" s="442"/>
      <c r="AE230" s="442"/>
      <c r="AF230" s="442"/>
      <c r="AG230" s="442"/>
      <c r="AH230" s="442"/>
      <c r="AI230" s="442"/>
      <c r="AJ230" s="442"/>
      <c r="AK230" s="442"/>
      <c r="AL230" s="442"/>
      <c r="AM230" s="442"/>
      <c r="AN230" s="442"/>
      <c r="AO230" s="442"/>
      <c r="AP230" s="442"/>
      <c r="AQ230" s="442"/>
      <c r="AR230" s="442"/>
      <c r="AS230" s="442"/>
      <c r="AT230" s="442"/>
      <c r="AU230" s="442"/>
      <c r="AV230" s="442"/>
    </row>
    <row r="231" ht="15.75" customHeight="1">
      <c r="A231" s="442"/>
      <c r="B231" s="442"/>
      <c r="C231" s="442"/>
      <c r="D231" s="442"/>
      <c r="E231" s="442"/>
      <c r="F231" s="442"/>
      <c r="G231" s="442"/>
      <c r="H231" s="442"/>
      <c r="I231" s="442"/>
      <c r="J231" s="442"/>
      <c r="K231" s="442"/>
      <c r="L231" s="442"/>
      <c r="M231" s="442"/>
      <c r="N231" s="442"/>
      <c r="O231" s="442"/>
      <c r="P231" s="442"/>
      <c r="Q231" s="442"/>
      <c r="R231" s="442"/>
      <c r="S231" s="442"/>
      <c r="T231" s="442"/>
      <c r="U231" s="442"/>
      <c r="V231" s="442"/>
      <c r="W231" s="442"/>
      <c r="X231" s="442"/>
      <c r="Y231" s="442"/>
      <c r="Z231" s="442"/>
      <c r="AA231" s="442"/>
      <c r="AB231" s="442"/>
      <c r="AC231" s="442"/>
      <c r="AD231" s="442"/>
      <c r="AE231" s="442"/>
      <c r="AF231" s="442"/>
      <c r="AG231" s="442"/>
      <c r="AH231" s="442"/>
      <c r="AI231" s="442"/>
      <c r="AJ231" s="442"/>
      <c r="AK231" s="442"/>
      <c r="AL231" s="442"/>
      <c r="AM231" s="442"/>
      <c r="AN231" s="442"/>
      <c r="AO231" s="442"/>
      <c r="AP231" s="442"/>
      <c r="AQ231" s="442"/>
      <c r="AR231" s="442"/>
      <c r="AS231" s="442"/>
      <c r="AT231" s="442"/>
      <c r="AU231" s="442"/>
      <c r="AV231" s="442"/>
    </row>
    <row r="232" ht="15.75" customHeight="1">
      <c r="A232" s="442"/>
      <c r="B232" s="442"/>
      <c r="C232" s="442"/>
      <c r="D232" s="442"/>
      <c r="E232" s="442"/>
      <c r="F232" s="442"/>
      <c r="G232" s="442"/>
      <c r="H232" s="442"/>
      <c r="I232" s="442"/>
      <c r="J232" s="442"/>
      <c r="K232" s="442"/>
      <c r="L232" s="442"/>
      <c r="M232" s="442"/>
      <c r="N232" s="442"/>
      <c r="O232" s="442"/>
      <c r="P232" s="442"/>
      <c r="Q232" s="442"/>
      <c r="R232" s="442"/>
      <c r="S232" s="442"/>
      <c r="T232" s="442"/>
      <c r="U232" s="442"/>
      <c r="V232" s="442"/>
      <c r="W232" s="442"/>
      <c r="X232" s="442"/>
      <c r="Y232" s="442"/>
      <c r="Z232" s="442"/>
      <c r="AA232" s="442"/>
      <c r="AB232" s="442"/>
      <c r="AC232" s="442"/>
      <c r="AD232" s="442"/>
      <c r="AE232" s="442"/>
      <c r="AF232" s="442"/>
      <c r="AG232" s="442"/>
      <c r="AH232" s="442"/>
      <c r="AI232" s="442"/>
      <c r="AJ232" s="442"/>
      <c r="AK232" s="442"/>
      <c r="AL232" s="442"/>
      <c r="AM232" s="442"/>
      <c r="AN232" s="442"/>
      <c r="AO232" s="442"/>
      <c r="AP232" s="442"/>
      <c r="AQ232" s="442"/>
      <c r="AR232" s="442"/>
      <c r="AS232" s="442"/>
      <c r="AT232" s="442"/>
      <c r="AU232" s="442"/>
      <c r="AV232" s="442"/>
    </row>
    <row r="233" ht="15.75" customHeight="1">
      <c r="A233" s="442"/>
      <c r="B233" s="442"/>
      <c r="C233" s="442"/>
      <c r="D233" s="442"/>
      <c r="E233" s="442"/>
      <c r="F233" s="442"/>
      <c r="G233" s="442"/>
      <c r="H233" s="442"/>
      <c r="I233" s="442"/>
      <c r="J233" s="442"/>
      <c r="K233" s="442"/>
      <c r="L233" s="442"/>
      <c r="M233" s="442"/>
      <c r="N233" s="442"/>
      <c r="O233" s="442"/>
      <c r="P233" s="442"/>
      <c r="Q233" s="442"/>
      <c r="R233" s="442"/>
      <c r="S233" s="442"/>
      <c r="T233" s="442"/>
      <c r="U233" s="442"/>
      <c r="V233" s="442"/>
      <c r="W233" s="442"/>
      <c r="X233" s="442"/>
      <c r="Y233" s="442"/>
      <c r="Z233" s="442"/>
      <c r="AA233" s="442"/>
      <c r="AB233" s="442"/>
      <c r="AC233" s="442"/>
      <c r="AD233" s="442"/>
      <c r="AE233" s="442"/>
      <c r="AF233" s="442"/>
      <c r="AG233" s="442"/>
      <c r="AH233" s="442"/>
      <c r="AI233" s="442"/>
      <c r="AJ233" s="442"/>
      <c r="AK233" s="442"/>
      <c r="AL233" s="442"/>
      <c r="AM233" s="442"/>
      <c r="AN233" s="442"/>
      <c r="AO233" s="442"/>
      <c r="AP233" s="442"/>
      <c r="AQ233" s="442"/>
      <c r="AR233" s="442"/>
      <c r="AS233" s="442"/>
      <c r="AT233" s="442"/>
      <c r="AU233" s="442"/>
      <c r="AV233" s="442"/>
    </row>
    <row r="234" ht="15.75" customHeight="1">
      <c r="A234" s="442"/>
      <c r="B234" s="442"/>
      <c r="C234" s="442"/>
      <c r="D234" s="442"/>
      <c r="E234" s="442"/>
      <c r="F234" s="442"/>
      <c r="G234" s="442"/>
      <c r="H234" s="442"/>
      <c r="I234" s="442"/>
      <c r="J234" s="442"/>
      <c r="K234" s="442"/>
      <c r="L234" s="442"/>
      <c r="M234" s="442"/>
      <c r="N234" s="442"/>
      <c r="O234" s="442"/>
      <c r="P234" s="442"/>
      <c r="Q234" s="442"/>
      <c r="R234" s="442"/>
      <c r="S234" s="442"/>
      <c r="T234" s="442"/>
      <c r="U234" s="442"/>
      <c r="V234" s="442"/>
      <c r="W234" s="442"/>
      <c r="X234" s="442"/>
      <c r="Y234" s="442"/>
      <c r="Z234" s="442"/>
      <c r="AA234" s="442"/>
      <c r="AB234" s="442"/>
      <c r="AC234" s="442"/>
      <c r="AD234" s="442"/>
      <c r="AE234" s="442"/>
      <c r="AF234" s="442"/>
      <c r="AG234" s="442"/>
      <c r="AH234" s="442"/>
      <c r="AI234" s="442"/>
      <c r="AJ234" s="442"/>
      <c r="AK234" s="442"/>
      <c r="AL234" s="442"/>
      <c r="AM234" s="442"/>
      <c r="AN234" s="442"/>
      <c r="AO234" s="442"/>
      <c r="AP234" s="442"/>
      <c r="AQ234" s="442"/>
      <c r="AR234" s="442"/>
      <c r="AS234" s="442"/>
      <c r="AT234" s="442"/>
      <c r="AU234" s="442"/>
      <c r="AV234" s="442"/>
    </row>
    <row r="235" ht="15.75" customHeight="1">
      <c r="A235" s="442"/>
      <c r="B235" s="442"/>
      <c r="C235" s="442"/>
      <c r="D235" s="442"/>
      <c r="E235" s="442"/>
      <c r="F235" s="442"/>
      <c r="G235" s="442"/>
      <c r="H235" s="442"/>
      <c r="I235" s="442"/>
      <c r="J235" s="442"/>
      <c r="K235" s="442"/>
      <c r="L235" s="442"/>
      <c r="M235" s="442"/>
      <c r="N235" s="442"/>
      <c r="O235" s="442"/>
      <c r="P235" s="442"/>
      <c r="Q235" s="442"/>
      <c r="R235" s="442"/>
      <c r="S235" s="442"/>
      <c r="T235" s="442"/>
      <c r="U235" s="442"/>
      <c r="V235" s="442"/>
      <c r="W235" s="442"/>
      <c r="X235" s="442"/>
      <c r="Y235" s="442"/>
      <c r="Z235" s="442"/>
      <c r="AA235" s="442"/>
      <c r="AB235" s="442"/>
      <c r="AC235" s="442"/>
      <c r="AD235" s="442"/>
      <c r="AE235" s="442"/>
      <c r="AF235" s="442"/>
      <c r="AG235" s="442"/>
      <c r="AH235" s="442"/>
      <c r="AI235" s="442"/>
      <c r="AJ235" s="442"/>
      <c r="AK235" s="442"/>
      <c r="AL235" s="442"/>
      <c r="AM235" s="442"/>
      <c r="AN235" s="442"/>
      <c r="AO235" s="442"/>
      <c r="AP235" s="442"/>
      <c r="AQ235" s="442"/>
      <c r="AR235" s="442"/>
      <c r="AS235" s="442"/>
      <c r="AT235" s="442"/>
      <c r="AU235" s="442"/>
      <c r="AV235" s="442"/>
    </row>
    <row r="236" ht="15.75" customHeight="1">
      <c r="A236" s="442"/>
      <c r="B236" s="442"/>
      <c r="C236" s="442"/>
      <c r="D236" s="442"/>
      <c r="E236" s="442"/>
      <c r="F236" s="442"/>
      <c r="G236" s="442"/>
      <c r="H236" s="442"/>
      <c r="I236" s="442"/>
      <c r="J236" s="442"/>
      <c r="K236" s="442"/>
      <c r="L236" s="442"/>
      <c r="M236" s="442"/>
      <c r="N236" s="442"/>
      <c r="O236" s="442"/>
      <c r="P236" s="442"/>
      <c r="Q236" s="442"/>
      <c r="R236" s="442"/>
      <c r="S236" s="442"/>
      <c r="T236" s="442"/>
      <c r="U236" s="442"/>
      <c r="V236" s="442"/>
      <c r="W236" s="442"/>
      <c r="X236" s="442"/>
      <c r="Y236" s="442"/>
      <c r="Z236" s="442"/>
      <c r="AA236" s="442"/>
      <c r="AB236" s="442"/>
      <c r="AC236" s="442"/>
      <c r="AD236" s="442"/>
      <c r="AE236" s="442"/>
      <c r="AF236" s="442"/>
      <c r="AG236" s="442"/>
      <c r="AH236" s="442"/>
      <c r="AI236" s="442"/>
      <c r="AJ236" s="442"/>
      <c r="AK236" s="442"/>
      <c r="AL236" s="442"/>
      <c r="AM236" s="442"/>
      <c r="AN236" s="442"/>
      <c r="AO236" s="442"/>
      <c r="AP236" s="442"/>
      <c r="AQ236" s="442"/>
      <c r="AR236" s="442"/>
      <c r="AS236" s="442"/>
      <c r="AT236" s="442"/>
      <c r="AU236" s="442"/>
      <c r="AV236" s="442"/>
    </row>
    <row r="237" ht="15.75" customHeight="1">
      <c r="A237" s="442"/>
      <c r="B237" s="442"/>
      <c r="C237" s="442"/>
      <c r="D237" s="442"/>
      <c r="E237" s="442"/>
      <c r="F237" s="442"/>
      <c r="G237" s="442"/>
      <c r="H237" s="442"/>
      <c r="I237" s="442"/>
      <c r="J237" s="442"/>
      <c r="K237" s="442"/>
      <c r="L237" s="442"/>
      <c r="M237" s="442"/>
      <c r="N237" s="442"/>
      <c r="O237" s="442"/>
      <c r="P237" s="442"/>
      <c r="Q237" s="442"/>
      <c r="R237" s="442"/>
      <c r="S237" s="442"/>
      <c r="T237" s="442"/>
      <c r="U237" s="442"/>
      <c r="V237" s="442"/>
      <c r="W237" s="442"/>
      <c r="X237" s="442"/>
      <c r="Y237" s="442"/>
      <c r="Z237" s="442"/>
      <c r="AA237" s="442"/>
      <c r="AB237" s="442"/>
      <c r="AC237" s="442"/>
      <c r="AD237" s="442"/>
      <c r="AE237" s="442"/>
      <c r="AF237" s="442"/>
      <c r="AG237" s="442"/>
      <c r="AH237" s="442"/>
      <c r="AI237" s="442"/>
      <c r="AJ237" s="442"/>
      <c r="AK237" s="442"/>
      <c r="AL237" s="442"/>
      <c r="AM237" s="442"/>
      <c r="AN237" s="442"/>
      <c r="AO237" s="442"/>
      <c r="AP237" s="442"/>
      <c r="AQ237" s="442"/>
      <c r="AR237" s="442"/>
      <c r="AS237" s="442"/>
      <c r="AT237" s="442"/>
      <c r="AU237" s="442"/>
      <c r="AV237" s="442"/>
    </row>
    <row r="238" ht="15.75" customHeight="1">
      <c r="A238" s="442"/>
      <c r="B238" s="442"/>
      <c r="C238" s="442"/>
      <c r="D238" s="442"/>
      <c r="E238" s="442"/>
      <c r="F238" s="442"/>
      <c r="G238" s="442"/>
      <c r="H238" s="442"/>
      <c r="I238" s="442"/>
      <c r="J238" s="442"/>
      <c r="K238" s="442"/>
      <c r="L238" s="442"/>
      <c r="M238" s="442"/>
      <c r="N238" s="442"/>
      <c r="O238" s="442"/>
      <c r="P238" s="442"/>
      <c r="Q238" s="442"/>
      <c r="R238" s="442"/>
      <c r="S238" s="442"/>
      <c r="T238" s="442"/>
      <c r="U238" s="442"/>
      <c r="V238" s="442"/>
      <c r="W238" s="442"/>
      <c r="X238" s="442"/>
      <c r="Y238" s="442"/>
      <c r="Z238" s="442"/>
      <c r="AA238" s="442"/>
      <c r="AB238" s="442"/>
      <c r="AC238" s="442"/>
      <c r="AD238" s="442"/>
      <c r="AE238" s="442"/>
      <c r="AF238" s="442"/>
      <c r="AG238" s="442"/>
      <c r="AH238" s="442"/>
      <c r="AI238" s="442"/>
      <c r="AJ238" s="442"/>
      <c r="AK238" s="442"/>
      <c r="AL238" s="442"/>
      <c r="AM238" s="442"/>
      <c r="AN238" s="442"/>
      <c r="AO238" s="442"/>
      <c r="AP238" s="442"/>
      <c r="AQ238" s="442"/>
      <c r="AR238" s="442"/>
      <c r="AS238" s="442"/>
      <c r="AT238" s="442"/>
      <c r="AU238" s="442"/>
      <c r="AV238" s="442"/>
    </row>
    <row r="239" ht="15.75" customHeight="1">
      <c r="A239" s="442"/>
      <c r="B239" s="442"/>
      <c r="C239" s="442"/>
      <c r="D239" s="442"/>
      <c r="E239" s="442"/>
      <c r="F239" s="442"/>
      <c r="G239" s="442"/>
      <c r="H239" s="442"/>
      <c r="I239" s="442"/>
      <c r="J239" s="442"/>
      <c r="K239" s="442"/>
      <c r="L239" s="442"/>
      <c r="M239" s="442"/>
      <c r="N239" s="442"/>
      <c r="O239" s="442"/>
      <c r="P239" s="442"/>
      <c r="Q239" s="442"/>
      <c r="R239" s="442"/>
      <c r="S239" s="442"/>
      <c r="T239" s="442"/>
      <c r="U239" s="442"/>
      <c r="V239" s="442"/>
      <c r="W239" s="442"/>
      <c r="X239" s="442"/>
      <c r="Y239" s="442"/>
      <c r="Z239" s="442"/>
      <c r="AA239" s="442"/>
      <c r="AB239" s="442"/>
      <c r="AC239" s="442"/>
      <c r="AD239" s="442"/>
      <c r="AE239" s="442"/>
      <c r="AF239" s="442"/>
      <c r="AG239" s="442"/>
      <c r="AH239" s="442"/>
      <c r="AI239" s="442"/>
      <c r="AJ239" s="442"/>
      <c r="AK239" s="442"/>
      <c r="AL239" s="442"/>
      <c r="AM239" s="442"/>
      <c r="AN239" s="442"/>
      <c r="AO239" s="442"/>
      <c r="AP239" s="442"/>
      <c r="AQ239" s="442"/>
      <c r="AR239" s="442"/>
      <c r="AS239" s="442"/>
      <c r="AT239" s="442"/>
      <c r="AU239" s="442"/>
      <c r="AV239" s="442"/>
    </row>
    <row r="240" ht="15.75" customHeight="1">
      <c r="A240" s="442"/>
      <c r="B240" s="442"/>
      <c r="C240" s="442"/>
      <c r="D240" s="442"/>
      <c r="E240" s="442"/>
      <c r="F240" s="442"/>
      <c r="G240" s="442"/>
      <c r="H240" s="442"/>
      <c r="I240" s="442"/>
      <c r="J240" s="442"/>
      <c r="K240" s="442"/>
      <c r="L240" s="442"/>
      <c r="M240" s="442"/>
      <c r="N240" s="442"/>
      <c r="O240" s="442"/>
      <c r="P240" s="442"/>
      <c r="Q240" s="442"/>
      <c r="R240" s="442"/>
      <c r="S240" s="442"/>
      <c r="T240" s="442"/>
      <c r="U240" s="442"/>
      <c r="V240" s="442"/>
      <c r="W240" s="442"/>
      <c r="X240" s="442"/>
      <c r="Y240" s="442"/>
      <c r="Z240" s="442"/>
      <c r="AA240" s="442"/>
      <c r="AB240" s="442"/>
      <c r="AC240" s="442"/>
      <c r="AD240" s="442"/>
      <c r="AE240" s="442"/>
      <c r="AF240" s="442"/>
      <c r="AG240" s="442"/>
      <c r="AH240" s="442"/>
      <c r="AI240" s="442"/>
      <c r="AJ240" s="442"/>
      <c r="AK240" s="442"/>
      <c r="AL240" s="442"/>
      <c r="AM240" s="442"/>
      <c r="AN240" s="442"/>
      <c r="AO240" s="442"/>
      <c r="AP240" s="442"/>
      <c r="AQ240" s="442"/>
      <c r="AR240" s="442"/>
      <c r="AS240" s="442"/>
      <c r="AT240" s="442"/>
      <c r="AU240" s="442"/>
      <c r="AV240" s="442"/>
    </row>
    <row r="241" ht="15.75" customHeight="1">
      <c r="A241" s="442"/>
      <c r="B241" s="442"/>
      <c r="C241" s="442"/>
      <c r="D241" s="442"/>
      <c r="E241" s="442"/>
      <c r="F241" s="442"/>
      <c r="G241" s="442"/>
      <c r="H241" s="442"/>
      <c r="I241" s="442"/>
      <c r="J241" s="442"/>
      <c r="K241" s="442"/>
      <c r="L241" s="442"/>
      <c r="M241" s="442"/>
      <c r="N241" s="442"/>
      <c r="O241" s="442"/>
      <c r="P241" s="442"/>
      <c r="Q241" s="442"/>
      <c r="R241" s="442"/>
      <c r="S241" s="442"/>
      <c r="T241" s="442"/>
      <c r="U241" s="442"/>
      <c r="V241" s="442"/>
      <c r="W241" s="442"/>
      <c r="X241" s="442"/>
      <c r="Y241" s="442"/>
      <c r="Z241" s="442"/>
      <c r="AA241" s="442"/>
      <c r="AB241" s="442"/>
      <c r="AC241" s="442"/>
      <c r="AD241" s="442"/>
      <c r="AE241" s="442"/>
      <c r="AF241" s="442"/>
      <c r="AG241" s="442"/>
      <c r="AH241" s="442"/>
      <c r="AI241" s="442"/>
      <c r="AJ241" s="442"/>
      <c r="AK241" s="442"/>
      <c r="AL241" s="442"/>
      <c r="AM241" s="442"/>
      <c r="AN241" s="442"/>
      <c r="AO241" s="442"/>
      <c r="AP241" s="442"/>
      <c r="AQ241" s="442"/>
      <c r="AR241" s="442"/>
      <c r="AS241" s="442"/>
      <c r="AT241" s="442"/>
      <c r="AU241" s="442"/>
      <c r="AV241" s="442"/>
    </row>
    <row r="242" ht="15.75" customHeight="1">
      <c r="A242" s="442"/>
      <c r="B242" s="442"/>
      <c r="C242" s="442"/>
      <c r="D242" s="442"/>
      <c r="E242" s="442"/>
      <c r="F242" s="442"/>
      <c r="G242" s="442"/>
      <c r="H242" s="442"/>
      <c r="I242" s="442"/>
      <c r="J242" s="442"/>
      <c r="K242" s="442"/>
      <c r="L242" s="442"/>
      <c r="M242" s="442"/>
      <c r="N242" s="442"/>
      <c r="O242" s="442"/>
      <c r="P242" s="442"/>
      <c r="Q242" s="442"/>
      <c r="R242" s="442"/>
      <c r="S242" s="442"/>
      <c r="T242" s="442"/>
      <c r="U242" s="442"/>
      <c r="V242" s="442"/>
      <c r="W242" s="442"/>
      <c r="X242" s="442"/>
      <c r="Y242" s="442"/>
      <c r="Z242" s="442"/>
      <c r="AA242" s="442"/>
      <c r="AB242" s="442"/>
      <c r="AC242" s="442"/>
      <c r="AD242" s="442"/>
      <c r="AE242" s="442"/>
      <c r="AF242" s="442"/>
      <c r="AG242" s="442"/>
      <c r="AH242" s="442"/>
      <c r="AI242" s="442"/>
      <c r="AJ242" s="442"/>
      <c r="AK242" s="442"/>
      <c r="AL242" s="442"/>
      <c r="AM242" s="442"/>
      <c r="AN242" s="442"/>
      <c r="AO242" s="442"/>
      <c r="AP242" s="442"/>
      <c r="AQ242" s="442"/>
      <c r="AR242" s="442"/>
      <c r="AS242" s="442"/>
      <c r="AT242" s="442"/>
      <c r="AU242" s="442"/>
      <c r="AV242" s="442"/>
    </row>
    <row r="243" ht="15.75" customHeight="1">
      <c r="A243" s="442"/>
      <c r="B243" s="442"/>
      <c r="C243" s="442"/>
      <c r="D243" s="442"/>
      <c r="E243" s="442"/>
      <c r="F243" s="442"/>
      <c r="G243" s="442"/>
      <c r="H243" s="442"/>
      <c r="I243" s="442"/>
      <c r="J243" s="442"/>
      <c r="K243" s="442"/>
      <c r="L243" s="442"/>
      <c r="M243" s="442"/>
      <c r="N243" s="442"/>
      <c r="O243" s="442"/>
      <c r="P243" s="442"/>
      <c r="Q243" s="442"/>
      <c r="R243" s="442"/>
      <c r="S243" s="442"/>
      <c r="T243" s="442"/>
      <c r="U243" s="442"/>
      <c r="V243" s="442"/>
      <c r="W243" s="442"/>
      <c r="X243" s="442"/>
      <c r="Y243" s="442"/>
      <c r="Z243" s="442"/>
      <c r="AA243" s="442"/>
      <c r="AB243" s="442"/>
      <c r="AC243" s="442"/>
      <c r="AD243" s="442"/>
      <c r="AE243" s="442"/>
      <c r="AF243" s="442"/>
      <c r="AG243" s="442"/>
      <c r="AH243" s="442"/>
      <c r="AI243" s="442"/>
      <c r="AJ243" s="442"/>
      <c r="AK243" s="442"/>
      <c r="AL243" s="442"/>
      <c r="AM243" s="442"/>
      <c r="AN243" s="442"/>
      <c r="AO243" s="442"/>
      <c r="AP243" s="442"/>
      <c r="AQ243" s="442"/>
      <c r="AR243" s="442"/>
      <c r="AS243" s="442"/>
      <c r="AT243" s="442"/>
      <c r="AU243" s="442"/>
      <c r="AV243" s="442"/>
    </row>
    <row r="244" ht="15.75" customHeight="1">
      <c r="A244" s="442"/>
      <c r="B244" s="442"/>
      <c r="C244" s="442"/>
      <c r="D244" s="442"/>
      <c r="E244" s="442"/>
      <c r="F244" s="442"/>
      <c r="G244" s="442"/>
      <c r="H244" s="442"/>
      <c r="I244" s="442"/>
      <c r="J244" s="442"/>
      <c r="K244" s="442"/>
      <c r="L244" s="442"/>
      <c r="M244" s="442"/>
      <c r="N244" s="442"/>
      <c r="O244" s="442"/>
      <c r="P244" s="442"/>
      <c r="Q244" s="442"/>
      <c r="R244" s="442"/>
      <c r="S244" s="442"/>
      <c r="T244" s="442"/>
      <c r="U244" s="442"/>
      <c r="V244" s="442"/>
      <c r="W244" s="442"/>
      <c r="X244" s="442"/>
      <c r="Y244" s="442"/>
      <c r="Z244" s="442"/>
      <c r="AA244" s="442"/>
      <c r="AB244" s="442"/>
      <c r="AC244" s="442"/>
      <c r="AD244" s="442"/>
      <c r="AE244" s="442"/>
      <c r="AF244" s="442"/>
      <c r="AG244" s="442"/>
      <c r="AH244" s="442"/>
      <c r="AI244" s="442"/>
      <c r="AJ244" s="442"/>
      <c r="AK244" s="442"/>
      <c r="AL244" s="442"/>
      <c r="AM244" s="442"/>
      <c r="AN244" s="442"/>
      <c r="AO244" s="442"/>
      <c r="AP244" s="442"/>
      <c r="AQ244" s="442"/>
      <c r="AR244" s="442"/>
      <c r="AS244" s="442"/>
      <c r="AT244" s="442"/>
      <c r="AU244" s="442"/>
      <c r="AV244" s="442"/>
    </row>
    <row r="245" ht="15.75" customHeight="1">
      <c r="A245" s="442"/>
      <c r="B245" s="442"/>
      <c r="C245" s="442"/>
      <c r="D245" s="442"/>
      <c r="E245" s="442"/>
      <c r="F245" s="442"/>
      <c r="G245" s="442"/>
      <c r="H245" s="442"/>
      <c r="I245" s="442"/>
      <c r="J245" s="442"/>
      <c r="K245" s="442"/>
      <c r="L245" s="442"/>
      <c r="M245" s="442"/>
      <c r="N245" s="442"/>
      <c r="O245" s="442"/>
      <c r="P245" s="442"/>
      <c r="Q245" s="442"/>
      <c r="R245" s="442"/>
      <c r="S245" s="442"/>
      <c r="T245" s="442"/>
      <c r="U245" s="442"/>
      <c r="V245" s="442"/>
      <c r="W245" s="442"/>
      <c r="X245" s="442"/>
      <c r="Y245" s="442"/>
      <c r="Z245" s="442"/>
      <c r="AA245" s="442"/>
      <c r="AB245" s="442"/>
      <c r="AC245" s="442"/>
      <c r="AD245" s="442"/>
      <c r="AE245" s="442"/>
      <c r="AF245" s="442"/>
      <c r="AG245" s="442"/>
      <c r="AH245" s="442"/>
      <c r="AI245" s="442"/>
      <c r="AJ245" s="442"/>
      <c r="AK245" s="442"/>
      <c r="AL245" s="442"/>
      <c r="AM245" s="442"/>
      <c r="AN245" s="442"/>
      <c r="AO245" s="442"/>
      <c r="AP245" s="442"/>
      <c r="AQ245" s="442"/>
      <c r="AR245" s="442"/>
      <c r="AS245" s="442"/>
      <c r="AT245" s="442"/>
      <c r="AU245" s="442"/>
      <c r="AV245" s="442"/>
    </row>
    <row r="246" ht="15.75" customHeight="1">
      <c r="A246" s="442"/>
      <c r="B246" s="442"/>
      <c r="C246" s="442"/>
      <c r="D246" s="442"/>
      <c r="E246" s="442"/>
      <c r="F246" s="442"/>
      <c r="G246" s="442"/>
      <c r="H246" s="442"/>
      <c r="I246" s="442"/>
      <c r="J246" s="442"/>
      <c r="K246" s="442"/>
      <c r="L246" s="442"/>
      <c r="M246" s="442"/>
      <c r="N246" s="442"/>
      <c r="O246" s="442"/>
      <c r="P246" s="442"/>
      <c r="Q246" s="442"/>
      <c r="R246" s="442"/>
      <c r="S246" s="442"/>
      <c r="T246" s="442"/>
      <c r="U246" s="442"/>
      <c r="V246" s="442"/>
      <c r="W246" s="442"/>
      <c r="X246" s="442"/>
      <c r="Y246" s="442"/>
      <c r="Z246" s="442"/>
      <c r="AA246" s="442"/>
      <c r="AB246" s="442"/>
      <c r="AC246" s="442"/>
      <c r="AD246" s="442"/>
      <c r="AE246" s="442"/>
      <c r="AF246" s="442"/>
      <c r="AG246" s="442"/>
      <c r="AH246" s="442"/>
      <c r="AI246" s="442"/>
      <c r="AJ246" s="442"/>
      <c r="AK246" s="442"/>
      <c r="AL246" s="442"/>
      <c r="AM246" s="442"/>
      <c r="AN246" s="442"/>
      <c r="AO246" s="442"/>
      <c r="AP246" s="442"/>
      <c r="AQ246" s="442"/>
      <c r="AR246" s="442"/>
      <c r="AS246" s="442"/>
      <c r="AT246" s="442"/>
      <c r="AU246" s="442"/>
      <c r="AV246" s="442"/>
    </row>
    <row r="247" ht="15.75" customHeight="1">
      <c r="A247" s="442"/>
      <c r="B247" s="442"/>
      <c r="C247" s="442"/>
      <c r="D247" s="442"/>
      <c r="E247" s="442"/>
      <c r="F247" s="442"/>
      <c r="G247" s="442"/>
      <c r="H247" s="442"/>
      <c r="I247" s="442"/>
      <c r="J247" s="442"/>
      <c r="K247" s="442"/>
      <c r="L247" s="442"/>
      <c r="M247" s="442"/>
      <c r="N247" s="442"/>
      <c r="O247" s="442"/>
      <c r="P247" s="442"/>
      <c r="Q247" s="442"/>
      <c r="R247" s="442"/>
      <c r="S247" s="442"/>
      <c r="T247" s="442"/>
      <c r="U247" s="442"/>
      <c r="V247" s="442"/>
      <c r="W247" s="442"/>
      <c r="X247" s="442"/>
      <c r="Y247" s="442"/>
      <c r="Z247" s="442"/>
      <c r="AA247" s="442"/>
      <c r="AB247" s="442"/>
      <c r="AC247" s="442"/>
      <c r="AD247" s="442"/>
      <c r="AE247" s="442"/>
      <c r="AF247" s="442"/>
      <c r="AG247" s="442"/>
      <c r="AH247" s="442"/>
      <c r="AI247" s="442"/>
      <c r="AJ247" s="442"/>
      <c r="AK247" s="442"/>
      <c r="AL247" s="442"/>
      <c r="AM247" s="442"/>
      <c r="AN247" s="442"/>
      <c r="AO247" s="442"/>
      <c r="AP247" s="442"/>
      <c r="AQ247" s="442"/>
      <c r="AR247" s="442"/>
      <c r="AS247" s="442"/>
      <c r="AT247" s="442"/>
      <c r="AU247" s="442"/>
      <c r="AV247" s="442"/>
    </row>
    <row r="248" ht="15.75" customHeight="1">
      <c r="A248" s="442"/>
      <c r="B248" s="442"/>
      <c r="C248" s="442"/>
      <c r="D248" s="442"/>
      <c r="E248" s="442"/>
      <c r="F248" s="442"/>
      <c r="G248" s="442"/>
      <c r="H248" s="442"/>
      <c r="I248" s="442"/>
      <c r="J248" s="442"/>
      <c r="K248" s="442"/>
      <c r="L248" s="442"/>
      <c r="M248" s="442"/>
      <c r="N248" s="442"/>
      <c r="O248" s="442"/>
      <c r="P248" s="442"/>
      <c r="Q248" s="442"/>
      <c r="R248" s="442"/>
      <c r="S248" s="442"/>
      <c r="T248" s="442"/>
      <c r="U248" s="442"/>
      <c r="V248" s="442"/>
      <c r="W248" s="442"/>
      <c r="X248" s="442"/>
      <c r="Y248" s="442"/>
      <c r="Z248" s="442"/>
      <c r="AA248" s="442"/>
      <c r="AB248" s="442"/>
      <c r="AC248" s="442"/>
      <c r="AD248" s="442"/>
      <c r="AE248" s="442"/>
      <c r="AF248" s="442"/>
      <c r="AG248" s="442"/>
      <c r="AH248" s="442"/>
      <c r="AI248" s="442"/>
      <c r="AJ248" s="442"/>
      <c r="AK248" s="442"/>
      <c r="AL248" s="442"/>
      <c r="AM248" s="442"/>
      <c r="AN248" s="442"/>
      <c r="AO248" s="442"/>
      <c r="AP248" s="442"/>
      <c r="AQ248" s="442"/>
      <c r="AR248" s="442"/>
      <c r="AS248" s="442"/>
      <c r="AT248" s="442"/>
      <c r="AU248" s="442"/>
      <c r="AV248" s="442"/>
    </row>
    <row r="249" ht="15.75" customHeight="1">
      <c r="A249" s="442"/>
      <c r="B249" s="442"/>
      <c r="C249" s="442"/>
      <c r="D249" s="442"/>
      <c r="E249" s="442"/>
      <c r="F249" s="442"/>
      <c r="G249" s="442"/>
      <c r="H249" s="442"/>
      <c r="I249" s="442"/>
      <c r="J249" s="442"/>
      <c r="K249" s="442"/>
      <c r="L249" s="442"/>
      <c r="M249" s="442"/>
      <c r="N249" s="442"/>
      <c r="O249" s="442"/>
      <c r="P249" s="442"/>
      <c r="Q249" s="442"/>
      <c r="R249" s="442"/>
      <c r="S249" s="442"/>
      <c r="T249" s="442"/>
      <c r="U249" s="442"/>
      <c r="V249" s="442"/>
      <c r="W249" s="442"/>
      <c r="X249" s="442"/>
      <c r="Y249" s="442"/>
      <c r="Z249" s="442"/>
      <c r="AA249" s="442"/>
      <c r="AB249" s="442"/>
      <c r="AC249" s="442"/>
      <c r="AD249" s="442"/>
      <c r="AE249" s="442"/>
      <c r="AF249" s="442"/>
      <c r="AG249" s="442"/>
      <c r="AH249" s="442"/>
      <c r="AI249" s="442"/>
      <c r="AJ249" s="442"/>
      <c r="AK249" s="442"/>
      <c r="AL249" s="442"/>
      <c r="AM249" s="442"/>
      <c r="AN249" s="442"/>
      <c r="AO249" s="442"/>
      <c r="AP249" s="442"/>
      <c r="AQ249" s="442"/>
      <c r="AR249" s="442"/>
      <c r="AS249" s="442"/>
      <c r="AT249" s="442"/>
      <c r="AU249" s="442"/>
      <c r="AV249" s="442"/>
    </row>
    <row r="250" ht="15.75" customHeight="1">
      <c r="A250" s="442"/>
      <c r="B250" s="442"/>
      <c r="C250" s="442"/>
      <c r="D250" s="442"/>
      <c r="E250" s="442"/>
      <c r="F250" s="442"/>
      <c r="G250" s="442"/>
      <c r="H250" s="442"/>
      <c r="I250" s="442"/>
      <c r="J250" s="442"/>
      <c r="K250" s="442"/>
      <c r="L250" s="442"/>
      <c r="M250" s="442"/>
      <c r="N250" s="442"/>
      <c r="O250" s="442"/>
      <c r="P250" s="442"/>
      <c r="Q250" s="442"/>
      <c r="R250" s="442"/>
      <c r="S250" s="442"/>
      <c r="T250" s="442"/>
      <c r="U250" s="442"/>
      <c r="V250" s="442"/>
      <c r="W250" s="442"/>
      <c r="X250" s="442"/>
      <c r="Y250" s="442"/>
      <c r="Z250" s="442"/>
      <c r="AA250" s="442"/>
      <c r="AB250" s="442"/>
      <c r="AC250" s="442"/>
      <c r="AD250" s="442"/>
      <c r="AE250" s="442"/>
      <c r="AF250" s="442"/>
      <c r="AG250" s="442"/>
      <c r="AH250" s="442"/>
      <c r="AI250" s="442"/>
      <c r="AJ250" s="442"/>
      <c r="AK250" s="442"/>
      <c r="AL250" s="442"/>
      <c r="AM250" s="442"/>
      <c r="AN250" s="442"/>
      <c r="AO250" s="442"/>
      <c r="AP250" s="442"/>
      <c r="AQ250" s="442"/>
      <c r="AR250" s="442"/>
      <c r="AS250" s="442"/>
      <c r="AT250" s="442"/>
      <c r="AU250" s="442"/>
      <c r="AV250" s="442"/>
    </row>
    <row r="251" ht="15.75" customHeight="1">
      <c r="A251" s="442"/>
      <c r="B251" s="442"/>
      <c r="C251" s="442"/>
      <c r="D251" s="442"/>
      <c r="E251" s="442"/>
      <c r="F251" s="442"/>
      <c r="G251" s="442"/>
      <c r="H251" s="442"/>
      <c r="I251" s="442"/>
      <c r="J251" s="442"/>
      <c r="K251" s="442"/>
      <c r="L251" s="442"/>
      <c r="M251" s="442"/>
      <c r="N251" s="442"/>
      <c r="O251" s="442"/>
      <c r="P251" s="442"/>
      <c r="Q251" s="442"/>
      <c r="R251" s="442"/>
      <c r="S251" s="442"/>
      <c r="T251" s="442"/>
      <c r="U251" s="442"/>
      <c r="V251" s="442"/>
      <c r="W251" s="442"/>
      <c r="X251" s="442"/>
      <c r="Y251" s="442"/>
      <c r="Z251" s="442"/>
      <c r="AA251" s="442"/>
      <c r="AB251" s="442"/>
      <c r="AC251" s="442"/>
      <c r="AD251" s="442"/>
      <c r="AE251" s="442"/>
      <c r="AF251" s="442"/>
      <c r="AG251" s="442"/>
      <c r="AH251" s="442"/>
      <c r="AI251" s="442"/>
      <c r="AJ251" s="442"/>
      <c r="AK251" s="442"/>
      <c r="AL251" s="442"/>
      <c r="AM251" s="442"/>
      <c r="AN251" s="442"/>
      <c r="AO251" s="442"/>
      <c r="AP251" s="442"/>
      <c r="AQ251" s="442"/>
      <c r="AR251" s="442"/>
      <c r="AS251" s="442"/>
      <c r="AT251" s="442"/>
      <c r="AU251" s="442"/>
      <c r="AV251" s="442"/>
    </row>
    <row r="252" ht="15.75" customHeight="1">
      <c r="A252" s="442"/>
      <c r="B252" s="442"/>
      <c r="C252" s="442"/>
      <c r="D252" s="442"/>
      <c r="E252" s="442"/>
      <c r="F252" s="442"/>
      <c r="G252" s="442"/>
      <c r="H252" s="442"/>
      <c r="I252" s="442"/>
      <c r="J252" s="442"/>
      <c r="K252" s="442"/>
      <c r="L252" s="442"/>
      <c r="M252" s="442"/>
      <c r="N252" s="442"/>
      <c r="O252" s="442"/>
      <c r="P252" s="442"/>
      <c r="Q252" s="442"/>
      <c r="R252" s="442"/>
      <c r="S252" s="442"/>
      <c r="T252" s="442"/>
      <c r="U252" s="442"/>
      <c r="V252" s="442"/>
      <c r="W252" s="442"/>
      <c r="X252" s="442"/>
      <c r="Y252" s="442"/>
      <c r="Z252" s="442"/>
      <c r="AA252" s="442"/>
      <c r="AB252" s="442"/>
      <c r="AC252" s="442"/>
      <c r="AD252" s="442"/>
      <c r="AE252" s="442"/>
      <c r="AF252" s="442"/>
      <c r="AG252" s="442"/>
      <c r="AH252" s="442"/>
      <c r="AI252" s="442"/>
      <c r="AJ252" s="442"/>
      <c r="AK252" s="442"/>
      <c r="AL252" s="442"/>
      <c r="AM252" s="442"/>
      <c r="AN252" s="442"/>
      <c r="AO252" s="442"/>
      <c r="AP252" s="442"/>
      <c r="AQ252" s="442"/>
      <c r="AR252" s="442"/>
      <c r="AS252" s="442"/>
      <c r="AT252" s="442"/>
      <c r="AU252" s="442"/>
      <c r="AV252" s="442"/>
    </row>
    <row r="253" ht="15.75" customHeight="1">
      <c r="A253" s="442"/>
      <c r="B253" s="442"/>
      <c r="C253" s="442"/>
      <c r="D253" s="442"/>
      <c r="E253" s="442"/>
      <c r="F253" s="442"/>
      <c r="G253" s="442"/>
      <c r="H253" s="442"/>
      <c r="I253" s="442"/>
      <c r="J253" s="442"/>
      <c r="K253" s="442"/>
      <c r="L253" s="442"/>
      <c r="M253" s="442"/>
      <c r="N253" s="442"/>
      <c r="O253" s="442"/>
      <c r="P253" s="442"/>
      <c r="Q253" s="442"/>
      <c r="R253" s="442"/>
      <c r="S253" s="442"/>
      <c r="T253" s="442"/>
      <c r="U253" s="442"/>
      <c r="V253" s="442"/>
      <c r="W253" s="442"/>
      <c r="X253" s="442"/>
      <c r="Y253" s="442"/>
      <c r="Z253" s="442"/>
      <c r="AA253" s="442"/>
      <c r="AB253" s="442"/>
      <c r="AC253" s="442"/>
      <c r="AD253" s="442"/>
      <c r="AE253" s="442"/>
      <c r="AF253" s="442"/>
      <c r="AG253" s="442"/>
      <c r="AH253" s="442"/>
      <c r="AI253" s="442"/>
      <c r="AJ253" s="442"/>
      <c r="AK253" s="442"/>
      <c r="AL253" s="442"/>
      <c r="AM253" s="442"/>
      <c r="AN253" s="442"/>
      <c r="AO253" s="442"/>
      <c r="AP253" s="442"/>
      <c r="AQ253" s="442"/>
      <c r="AR253" s="442"/>
      <c r="AS253" s="442"/>
      <c r="AT253" s="442"/>
      <c r="AU253" s="442"/>
      <c r="AV253" s="442"/>
    </row>
    <row r="254" ht="15.75" customHeight="1">
      <c r="A254" s="442"/>
      <c r="B254" s="442"/>
      <c r="C254" s="442"/>
      <c r="D254" s="442"/>
      <c r="E254" s="442"/>
      <c r="F254" s="442"/>
      <c r="G254" s="442"/>
      <c r="H254" s="442"/>
      <c r="I254" s="442"/>
      <c r="J254" s="442"/>
      <c r="K254" s="442"/>
      <c r="L254" s="442"/>
      <c r="M254" s="442"/>
      <c r="N254" s="442"/>
      <c r="O254" s="442"/>
      <c r="P254" s="442"/>
      <c r="Q254" s="442"/>
      <c r="R254" s="442"/>
      <c r="S254" s="442"/>
      <c r="T254" s="442"/>
      <c r="U254" s="442"/>
      <c r="V254" s="442"/>
      <c r="W254" s="442"/>
      <c r="X254" s="442"/>
      <c r="Y254" s="442"/>
      <c r="Z254" s="442"/>
      <c r="AA254" s="442"/>
      <c r="AB254" s="442"/>
      <c r="AC254" s="442"/>
      <c r="AD254" s="442"/>
      <c r="AE254" s="442"/>
      <c r="AF254" s="442"/>
      <c r="AG254" s="442"/>
      <c r="AH254" s="442"/>
      <c r="AI254" s="442"/>
      <c r="AJ254" s="442"/>
      <c r="AK254" s="442"/>
      <c r="AL254" s="442"/>
      <c r="AM254" s="442"/>
      <c r="AN254" s="442"/>
      <c r="AO254" s="442"/>
      <c r="AP254" s="442"/>
      <c r="AQ254" s="442"/>
      <c r="AR254" s="442"/>
      <c r="AS254" s="442"/>
      <c r="AT254" s="442"/>
      <c r="AU254" s="442"/>
      <c r="AV254" s="442"/>
    </row>
    <row r="255" ht="15.75" customHeight="1">
      <c r="A255" s="442"/>
      <c r="B255" s="442"/>
      <c r="C255" s="442"/>
      <c r="D255" s="442"/>
      <c r="E255" s="442"/>
      <c r="F255" s="442"/>
      <c r="G255" s="442"/>
      <c r="H255" s="442"/>
      <c r="I255" s="442"/>
      <c r="J255" s="442"/>
      <c r="K255" s="442"/>
      <c r="L255" s="442"/>
      <c r="M255" s="442"/>
      <c r="N255" s="442"/>
      <c r="O255" s="442"/>
      <c r="P255" s="442"/>
      <c r="Q255" s="442"/>
      <c r="R255" s="442"/>
      <c r="S255" s="442"/>
      <c r="T255" s="442"/>
      <c r="U255" s="442"/>
      <c r="V255" s="442"/>
      <c r="W255" s="442"/>
      <c r="X255" s="442"/>
      <c r="Y255" s="442"/>
      <c r="Z255" s="442"/>
      <c r="AA255" s="442"/>
      <c r="AB255" s="442"/>
      <c r="AC255" s="442"/>
      <c r="AD255" s="442"/>
      <c r="AE255" s="442"/>
      <c r="AF255" s="442"/>
      <c r="AG255" s="442"/>
      <c r="AH255" s="442"/>
      <c r="AI255" s="442"/>
      <c r="AJ255" s="442"/>
      <c r="AK255" s="442"/>
      <c r="AL255" s="442"/>
      <c r="AM255" s="442"/>
      <c r="AN255" s="442"/>
      <c r="AO255" s="442"/>
      <c r="AP255" s="442"/>
      <c r="AQ255" s="442"/>
      <c r="AR255" s="442"/>
      <c r="AS255" s="442"/>
      <c r="AT255" s="442"/>
      <c r="AU255" s="442"/>
      <c r="AV255" s="442"/>
    </row>
    <row r="256" ht="15.75" customHeight="1">
      <c r="A256" s="442"/>
      <c r="B256" s="442"/>
      <c r="C256" s="442"/>
      <c r="D256" s="442"/>
      <c r="E256" s="442"/>
      <c r="F256" s="442"/>
      <c r="G256" s="442"/>
      <c r="H256" s="442"/>
      <c r="I256" s="442"/>
      <c r="J256" s="442"/>
      <c r="K256" s="442"/>
      <c r="L256" s="442"/>
      <c r="M256" s="442"/>
      <c r="N256" s="442"/>
      <c r="O256" s="442"/>
      <c r="P256" s="442"/>
      <c r="Q256" s="442"/>
      <c r="R256" s="442"/>
      <c r="S256" s="442"/>
      <c r="T256" s="442"/>
      <c r="U256" s="442"/>
      <c r="V256" s="442"/>
      <c r="W256" s="442"/>
      <c r="X256" s="442"/>
      <c r="Y256" s="442"/>
      <c r="Z256" s="442"/>
      <c r="AA256" s="442"/>
      <c r="AB256" s="442"/>
      <c r="AC256" s="442"/>
      <c r="AD256" s="442"/>
      <c r="AE256" s="442"/>
      <c r="AF256" s="442"/>
      <c r="AG256" s="442"/>
      <c r="AH256" s="442"/>
      <c r="AI256" s="442"/>
      <c r="AJ256" s="442"/>
      <c r="AK256" s="442"/>
      <c r="AL256" s="442"/>
      <c r="AM256" s="442"/>
      <c r="AN256" s="442"/>
      <c r="AO256" s="442"/>
      <c r="AP256" s="442"/>
      <c r="AQ256" s="442"/>
      <c r="AR256" s="442"/>
      <c r="AS256" s="442"/>
      <c r="AT256" s="442"/>
      <c r="AU256" s="442"/>
      <c r="AV256" s="442"/>
    </row>
    <row r="257" ht="15.75" customHeight="1">
      <c r="A257" s="442"/>
      <c r="B257" s="442"/>
      <c r="C257" s="442"/>
      <c r="D257" s="442"/>
      <c r="E257" s="442"/>
      <c r="F257" s="442"/>
      <c r="G257" s="442"/>
      <c r="H257" s="442"/>
      <c r="I257" s="442"/>
      <c r="J257" s="442"/>
      <c r="K257" s="442"/>
      <c r="L257" s="442"/>
      <c r="M257" s="442"/>
      <c r="N257" s="442"/>
      <c r="O257" s="442"/>
      <c r="P257" s="442"/>
      <c r="Q257" s="442"/>
      <c r="R257" s="442"/>
      <c r="S257" s="442"/>
      <c r="T257" s="442"/>
      <c r="U257" s="442"/>
      <c r="V257" s="442"/>
      <c r="W257" s="442"/>
      <c r="X257" s="442"/>
      <c r="Y257" s="442"/>
      <c r="Z257" s="442"/>
      <c r="AA257" s="442"/>
      <c r="AB257" s="442"/>
      <c r="AC257" s="442"/>
      <c r="AD257" s="442"/>
      <c r="AE257" s="442"/>
      <c r="AF257" s="442"/>
      <c r="AG257" s="442"/>
      <c r="AH257" s="442"/>
      <c r="AI257" s="442"/>
      <c r="AJ257" s="442"/>
      <c r="AK257" s="442"/>
      <c r="AL257" s="442"/>
      <c r="AM257" s="442"/>
      <c r="AN257" s="442"/>
      <c r="AO257" s="442"/>
      <c r="AP257" s="442"/>
      <c r="AQ257" s="442"/>
      <c r="AR257" s="442"/>
      <c r="AS257" s="442"/>
      <c r="AT257" s="442"/>
      <c r="AU257" s="442"/>
      <c r="AV257" s="442"/>
    </row>
    <row r="258" ht="15.75" customHeight="1">
      <c r="A258" s="442"/>
      <c r="B258" s="442"/>
      <c r="C258" s="442"/>
      <c r="D258" s="442"/>
      <c r="E258" s="442"/>
      <c r="F258" s="442"/>
      <c r="G258" s="442"/>
      <c r="H258" s="442"/>
      <c r="I258" s="442"/>
      <c r="J258" s="442"/>
      <c r="K258" s="442"/>
      <c r="L258" s="442"/>
      <c r="M258" s="442"/>
      <c r="N258" s="442"/>
      <c r="O258" s="442"/>
      <c r="P258" s="442"/>
      <c r="Q258" s="442"/>
      <c r="R258" s="442"/>
      <c r="S258" s="442"/>
      <c r="T258" s="442"/>
      <c r="U258" s="442"/>
      <c r="V258" s="442"/>
      <c r="W258" s="442"/>
      <c r="X258" s="442"/>
      <c r="Y258" s="442"/>
      <c r="Z258" s="442"/>
      <c r="AA258" s="442"/>
      <c r="AB258" s="442"/>
      <c r="AC258" s="442"/>
      <c r="AD258" s="442"/>
      <c r="AE258" s="442"/>
      <c r="AF258" s="442"/>
      <c r="AG258" s="442"/>
      <c r="AH258" s="442"/>
      <c r="AI258" s="442"/>
      <c r="AJ258" s="442"/>
      <c r="AK258" s="442"/>
      <c r="AL258" s="442"/>
      <c r="AM258" s="442"/>
      <c r="AN258" s="442"/>
      <c r="AO258" s="442"/>
      <c r="AP258" s="442"/>
      <c r="AQ258" s="442"/>
      <c r="AR258" s="442"/>
      <c r="AS258" s="442"/>
      <c r="AT258" s="442"/>
      <c r="AU258" s="442"/>
      <c r="AV258" s="442"/>
    </row>
    <row r="259" ht="15.75" customHeight="1">
      <c r="A259" s="442"/>
      <c r="B259" s="442"/>
      <c r="C259" s="442"/>
      <c r="D259" s="442"/>
      <c r="E259" s="442"/>
      <c r="F259" s="442"/>
      <c r="G259" s="442"/>
      <c r="H259" s="442"/>
      <c r="I259" s="442"/>
      <c r="J259" s="442"/>
      <c r="K259" s="442"/>
      <c r="L259" s="442"/>
      <c r="M259" s="442"/>
      <c r="N259" s="442"/>
      <c r="O259" s="442"/>
      <c r="P259" s="442"/>
      <c r="Q259" s="442"/>
      <c r="R259" s="442"/>
      <c r="S259" s="442"/>
      <c r="T259" s="442"/>
      <c r="U259" s="442"/>
      <c r="V259" s="442"/>
      <c r="W259" s="442"/>
      <c r="X259" s="442"/>
      <c r="Y259" s="442"/>
      <c r="Z259" s="442"/>
      <c r="AA259" s="442"/>
      <c r="AB259" s="442"/>
      <c r="AC259" s="442"/>
      <c r="AD259" s="442"/>
      <c r="AE259" s="442"/>
      <c r="AF259" s="442"/>
      <c r="AG259" s="442"/>
      <c r="AH259" s="442"/>
      <c r="AI259" s="442"/>
      <c r="AJ259" s="442"/>
      <c r="AK259" s="442"/>
      <c r="AL259" s="442"/>
      <c r="AM259" s="442"/>
      <c r="AN259" s="442"/>
      <c r="AO259" s="442"/>
      <c r="AP259" s="442"/>
      <c r="AQ259" s="442"/>
      <c r="AR259" s="442"/>
      <c r="AS259" s="442"/>
      <c r="AT259" s="442"/>
      <c r="AU259" s="442"/>
      <c r="AV259" s="442"/>
    </row>
    <row r="260" ht="15.75" customHeight="1">
      <c r="A260" s="442"/>
      <c r="B260" s="442"/>
      <c r="C260" s="442"/>
      <c r="D260" s="442"/>
      <c r="E260" s="442"/>
      <c r="F260" s="442"/>
      <c r="G260" s="442"/>
      <c r="H260" s="442"/>
      <c r="I260" s="442"/>
      <c r="J260" s="442"/>
      <c r="K260" s="442"/>
      <c r="L260" s="442"/>
      <c r="M260" s="442"/>
      <c r="N260" s="442"/>
      <c r="O260" s="442"/>
      <c r="P260" s="442"/>
      <c r="Q260" s="442"/>
      <c r="R260" s="442"/>
      <c r="S260" s="442"/>
      <c r="T260" s="442"/>
      <c r="U260" s="442"/>
      <c r="V260" s="442"/>
      <c r="W260" s="442"/>
      <c r="X260" s="442"/>
      <c r="Y260" s="442"/>
      <c r="Z260" s="442"/>
      <c r="AA260" s="442"/>
      <c r="AB260" s="442"/>
      <c r="AC260" s="442"/>
      <c r="AD260" s="442"/>
      <c r="AE260" s="442"/>
      <c r="AF260" s="442"/>
      <c r="AG260" s="442"/>
      <c r="AH260" s="442"/>
      <c r="AI260" s="442"/>
      <c r="AJ260" s="442"/>
      <c r="AK260" s="442"/>
      <c r="AL260" s="442"/>
      <c r="AM260" s="442"/>
      <c r="AN260" s="442"/>
      <c r="AO260" s="442"/>
      <c r="AP260" s="442"/>
      <c r="AQ260" s="442"/>
      <c r="AR260" s="442"/>
      <c r="AS260" s="442"/>
      <c r="AT260" s="442"/>
      <c r="AU260" s="442"/>
      <c r="AV260" s="442"/>
    </row>
    <row r="261" ht="15.75" customHeight="1">
      <c r="A261" s="442"/>
      <c r="B261" s="442"/>
      <c r="C261" s="442"/>
      <c r="D261" s="442"/>
      <c r="E261" s="442"/>
      <c r="F261" s="442"/>
      <c r="G261" s="442"/>
      <c r="H261" s="442"/>
      <c r="I261" s="442"/>
      <c r="J261" s="442"/>
      <c r="K261" s="442"/>
      <c r="L261" s="442"/>
      <c r="M261" s="442"/>
      <c r="N261" s="442"/>
      <c r="O261" s="442"/>
      <c r="P261" s="442"/>
      <c r="Q261" s="442"/>
      <c r="R261" s="442"/>
      <c r="S261" s="442"/>
      <c r="T261" s="442"/>
      <c r="U261" s="442"/>
      <c r="V261" s="442"/>
      <c r="W261" s="442"/>
      <c r="X261" s="442"/>
      <c r="Y261" s="442"/>
      <c r="Z261" s="442"/>
      <c r="AA261" s="442"/>
      <c r="AB261" s="442"/>
      <c r="AC261" s="442"/>
      <c r="AD261" s="442"/>
      <c r="AE261" s="442"/>
      <c r="AF261" s="442"/>
      <c r="AG261" s="442"/>
      <c r="AH261" s="442"/>
      <c r="AI261" s="442"/>
      <c r="AJ261" s="442"/>
      <c r="AK261" s="442"/>
      <c r="AL261" s="442"/>
      <c r="AM261" s="442"/>
      <c r="AN261" s="442"/>
      <c r="AO261" s="442"/>
      <c r="AP261" s="442"/>
      <c r="AQ261" s="442"/>
      <c r="AR261" s="442"/>
      <c r="AS261" s="442"/>
      <c r="AT261" s="442"/>
      <c r="AU261" s="442"/>
      <c r="AV261" s="442"/>
    </row>
    <row r="262" ht="15.75" customHeight="1">
      <c r="A262" s="442"/>
      <c r="B262" s="442"/>
      <c r="C262" s="442"/>
      <c r="D262" s="442"/>
      <c r="E262" s="442"/>
      <c r="F262" s="442"/>
      <c r="G262" s="442"/>
      <c r="H262" s="442"/>
      <c r="I262" s="442"/>
      <c r="J262" s="442"/>
      <c r="K262" s="442"/>
      <c r="L262" s="442"/>
      <c r="M262" s="442"/>
      <c r="N262" s="442"/>
      <c r="O262" s="442"/>
      <c r="P262" s="442"/>
      <c r="Q262" s="442"/>
      <c r="R262" s="442"/>
      <c r="S262" s="442"/>
      <c r="T262" s="442"/>
      <c r="U262" s="442"/>
      <c r="V262" s="442"/>
      <c r="W262" s="442"/>
      <c r="X262" s="442"/>
      <c r="Y262" s="442"/>
      <c r="Z262" s="442"/>
      <c r="AA262" s="442"/>
      <c r="AB262" s="442"/>
      <c r="AC262" s="442"/>
      <c r="AD262" s="442"/>
      <c r="AE262" s="442"/>
      <c r="AF262" s="442"/>
      <c r="AG262" s="442"/>
      <c r="AH262" s="442"/>
      <c r="AI262" s="442"/>
      <c r="AJ262" s="442"/>
      <c r="AK262" s="442"/>
      <c r="AL262" s="442"/>
      <c r="AM262" s="442"/>
      <c r="AN262" s="442"/>
      <c r="AO262" s="442"/>
      <c r="AP262" s="442"/>
      <c r="AQ262" s="442"/>
      <c r="AR262" s="442"/>
      <c r="AS262" s="442"/>
      <c r="AT262" s="442"/>
      <c r="AU262" s="442"/>
      <c r="AV262" s="442"/>
    </row>
    <row r="263" ht="15.75" customHeight="1">
      <c r="A263" s="442"/>
      <c r="B263" s="442"/>
      <c r="C263" s="442"/>
      <c r="D263" s="442"/>
      <c r="E263" s="442"/>
      <c r="F263" s="442"/>
      <c r="G263" s="442"/>
      <c r="H263" s="442"/>
      <c r="I263" s="442"/>
      <c r="J263" s="442"/>
      <c r="K263" s="442"/>
      <c r="L263" s="442"/>
      <c r="M263" s="442"/>
      <c r="N263" s="442"/>
      <c r="O263" s="442"/>
      <c r="P263" s="442"/>
      <c r="Q263" s="442"/>
      <c r="R263" s="442"/>
      <c r="S263" s="442"/>
      <c r="T263" s="442"/>
      <c r="U263" s="442"/>
      <c r="V263" s="442"/>
      <c r="W263" s="442"/>
      <c r="X263" s="442"/>
      <c r="Y263" s="442"/>
      <c r="Z263" s="442"/>
      <c r="AA263" s="442"/>
      <c r="AB263" s="442"/>
      <c r="AC263" s="442"/>
      <c r="AD263" s="442"/>
      <c r="AE263" s="442"/>
      <c r="AF263" s="442"/>
      <c r="AG263" s="442"/>
      <c r="AH263" s="442"/>
      <c r="AI263" s="442"/>
      <c r="AJ263" s="442"/>
      <c r="AK263" s="442"/>
      <c r="AL263" s="442"/>
      <c r="AM263" s="442"/>
      <c r="AN263" s="442"/>
      <c r="AO263" s="442"/>
      <c r="AP263" s="442"/>
      <c r="AQ263" s="442"/>
      <c r="AR263" s="442"/>
      <c r="AS263" s="442"/>
      <c r="AT263" s="442"/>
      <c r="AU263" s="442"/>
      <c r="AV263" s="442"/>
    </row>
    <row r="264" ht="15.75" customHeight="1">
      <c r="A264" s="442"/>
      <c r="B264" s="442"/>
      <c r="C264" s="442"/>
      <c r="D264" s="442"/>
      <c r="E264" s="442"/>
      <c r="F264" s="442"/>
      <c r="G264" s="442"/>
      <c r="H264" s="442"/>
      <c r="I264" s="442"/>
      <c r="J264" s="442"/>
      <c r="K264" s="442"/>
      <c r="L264" s="442"/>
      <c r="M264" s="442"/>
      <c r="N264" s="442"/>
      <c r="O264" s="442"/>
      <c r="P264" s="442"/>
      <c r="Q264" s="442"/>
      <c r="R264" s="442"/>
      <c r="S264" s="442"/>
      <c r="T264" s="442"/>
      <c r="U264" s="442"/>
      <c r="V264" s="442"/>
      <c r="W264" s="442"/>
      <c r="X264" s="442"/>
      <c r="Y264" s="442"/>
      <c r="Z264" s="442"/>
      <c r="AA264" s="442"/>
      <c r="AB264" s="442"/>
      <c r="AC264" s="442"/>
      <c r="AD264" s="442"/>
      <c r="AE264" s="442"/>
      <c r="AF264" s="442"/>
      <c r="AG264" s="442"/>
      <c r="AH264" s="442"/>
      <c r="AI264" s="442"/>
      <c r="AJ264" s="442"/>
      <c r="AK264" s="442"/>
      <c r="AL264" s="442"/>
      <c r="AM264" s="442"/>
      <c r="AN264" s="442"/>
      <c r="AO264" s="442"/>
      <c r="AP264" s="442"/>
      <c r="AQ264" s="442"/>
      <c r="AR264" s="442"/>
      <c r="AS264" s="442"/>
      <c r="AT264" s="442"/>
      <c r="AU264" s="442"/>
      <c r="AV264" s="442"/>
    </row>
    <row r="265" ht="15.75" customHeight="1">
      <c r="A265" s="442"/>
      <c r="B265" s="442"/>
      <c r="C265" s="442"/>
      <c r="D265" s="442"/>
      <c r="E265" s="442"/>
      <c r="F265" s="442"/>
      <c r="G265" s="442"/>
      <c r="H265" s="442"/>
      <c r="I265" s="442"/>
      <c r="J265" s="442"/>
      <c r="K265" s="442"/>
      <c r="L265" s="442"/>
      <c r="M265" s="442"/>
      <c r="N265" s="442"/>
      <c r="O265" s="442"/>
      <c r="P265" s="442"/>
      <c r="Q265" s="442"/>
      <c r="R265" s="442"/>
      <c r="S265" s="442"/>
      <c r="T265" s="442"/>
      <c r="U265" s="442"/>
      <c r="V265" s="442"/>
      <c r="W265" s="442"/>
      <c r="X265" s="442"/>
      <c r="Y265" s="442"/>
      <c r="Z265" s="442"/>
      <c r="AA265" s="442"/>
      <c r="AB265" s="442"/>
      <c r="AC265" s="442"/>
      <c r="AD265" s="442"/>
      <c r="AE265" s="442"/>
      <c r="AF265" s="442"/>
      <c r="AG265" s="442"/>
      <c r="AH265" s="442"/>
      <c r="AI265" s="442"/>
      <c r="AJ265" s="442"/>
      <c r="AK265" s="442"/>
      <c r="AL265" s="442"/>
      <c r="AM265" s="442"/>
      <c r="AN265" s="442"/>
      <c r="AO265" s="442"/>
      <c r="AP265" s="442"/>
      <c r="AQ265" s="442"/>
      <c r="AR265" s="442"/>
      <c r="AS265" s="442"/>
      <c r="AT265" s="442"/>
      <c r="AU265" s="442"/>
      <c r="AV265" s="442"/>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A4:O4"/>
    <mergeCell ref="R4:AF4"/>
    <mergeCell ref="A5:A6"/>
    <mergeCell ref="B5:B6"/>
    <mergeCell ref="O5:O6"/>
    <mergeCell ref="R5:R6"/>
    <mergeCell ref="AF5:AF6"/>
    <mergeCell ref="S5:S6"/>
    <mergeCell ref="R14:S14"/>
    <mergeCell ref="R17:R18"/>
    <mergeCell ref="S17:S18"/>
    <mergeCell ref="A19:B19"/>
    <mergeCell ref="A22:O22"/>
    <mergeCell ref="R22:AF22"/>
    <mergeCell ref="A23:A24"/>
    <mergeCell ref="B23:B24"/>
    <mergeCell ref="O23:O24"/>
    <mergeCell ref="R23:R24"/>
    <mergeCell ref="S23:S24"/>
    <mergeCell ref="AF23:AF24"/>
    <mergeCell ref="A34:B34"/>
    <mergeCell ref="B38:B39"/>
    <mergeCell ref="A50:B50"/>
    <mergeCell ref="R50:S50"/>
    <mergeCell ref="R52:AF52"/>
    <mergeCell ref="R53:R54"/>
    <mergeCell ref="S53:S54"/>
    <mergeCell ref="AF53:AF54"/>
    <mergeCell ref="R65:S65"/>
    <mergeCell ref="A37:O37"/>
    <mergeCell ref="R37:AF37"/>
    <mergeCell ref="A38:A39"/>
    <mergeCell ref="O38:O39"/>
    <mergeCell ref="R38:R39"/>
    <mergeCell ref="S38:S39"/>
    <mergeCell ref="AF38:AF39"/>
  </mergeCells>
  <conditionalFormatting sqref="T7:AE14 T55:AE64">
    <cfRule type="cellIs" dxfId="8" priority="1" operator="notEqual">
      <formula>0</formula>
    </cfRule>
  </conditionalFormatting>
  <conditionalFormatting sqref="T14:AE14 T25:AE32">
    <cfRule type="cellIs" dxfId="9" priority="2" operator="notEqual">
      <formula>0</formula>
    </cfRule>
  </conditionalFormatting>
  <conditionalFormatting sqref="T40:AE50 T55:AE65">
    <cfRule type="cellIs" dxfId="10" priority="3" operator="notEqual">
      <formula>0</formula>
    </cfRule>
  </conditionalFormatting>
  <conditionalFormatting sqref="C25:N33">
    <cfRule type="cellIs" dxfId="11" priority="4" operator="notEqual">
      <formula>0</formula>
    </cfRule>
  </conditionalFormatting>
  <conditionalFormatting sqref="C7:N18">
    <cfRule type="cellIs" dxfId="12" priority="5" operator="notEqual">
      <formula>0</formula>
    </cfRule>
  </conditionalFormatting>
  <conditionalFormatting sqref="C40:N49">
    <cfRule type="cellIs" dxfId="13" priority="6" operator="notEqual">
      <formula>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500" t="s">
        <v>4756</v>
      </c>
      <c r="B1" s="235"/>
      <c r="C1" s="235"/>
      <c r="D1" s="235"/>
      <c r="E1" s="235"/>
      <c r="F1" s="235"/>
      <c r="G1" s="235"/>
      <c r="H1" s="235"/>
      <c r="I1" s="235"/>
      <c r="J1" s="236"/>
    </row>
    <row r="2" ht="15.75" customHeight="1">
      <c r="A2" s="381" t="s">
        <v>1</v>
      </c>
      <c r="B2" s="381"/>
      <c r="C2" s="381" t="s">
        <v>4757</v>
      </c>
      <c r="D2" s="381" t="s">
        <v>4758</v>
      </c>
      <c r="E2" s="381" t="s">
        <v>4759</v>
      </c>
      <c r="F2" s="381" t="s">
        <v>4760</v>
      </c>
      <c r="G2" s="381" t="s">
        <v>4761</v>
      </c>
      <c r="H2" s="381" t="s">
        <v>4762</v>
      </c>
      <c r="I2" s="381" t="s">
        <v>4763</v>
      </c>
      <c r="J2" s="381" t="s">
        <v>4622</v>
      </c>
    </row>
    <row r="3" ht="15.75" customHeight="1">
      <c r="A3" s="381" t="s">
        <v>4620</v>
      </c>
      <c r="B3" s="376"/>
      <c r="C3" s="376">
        <f>'DL T6'!AE5</f>
        <v>0</v>
      </c>
      <c r="D3" s="381">
        <f>'DL T7'!V34</f>
        <v>-1</v>
      </c>
      <c r="E3" s="376">
        <v>5.0</v>
      </c>
      <c r="F3" s="376">
        <v>89.0</v>
      </c>
      <c r="G3" s="376">
        <v>54.0</v>
      </c>
      <c r="H3" s="376"/>
      <c r="I3" s="376"/>
      <c r="J3" s="376">
        <f t="shared" ref="J3:J11" si="1">SUM(C3:I3)</f>
        <v>147</v>
      </c>
    </row>
    <row r="4" ht="15.75" customHeight="1">
      <c r="A4" s="381" t="s">
        <v>4621</v>
      </c>
      <c r="B4" s="376"/>
      <c r="C4" s="376">
        <f>'DL T6'!AF5</f>
        <v>0</v>
      </c>
      <c r="D4" s="376">
        <v>0.0</v>
      </c>
      <c r="E4" s="376">
        <v>0.0</v>
      </c>
      <c r="F4" s="376">
        <v>1.0</v>
      </c>
      <c r="G4" s="376">
        <v>4.0</v>
      </c>
      <c r="H4" s="376"/>
      <c r="I4" s="376"/>
      <c r="J4" s="376">
        <f t="shared" si="1"/>
        <v>5</v>
      </c>
      <c r="K4" s="383"/>
    </row>
    <row r="5" ht="15.75" customHeight="1">
      <c r="A5" s="381" t="s">
        <v>73</v>
      </c>
      <c r="B5" s="376"/>
      <c r="C5" s="376">
        <f>'DL T6'!AG5</f>
        <v>0</v>
      </c>
      <c r="D5" s="376">
        <f>'DL T7'!X34</f>
        <v>1</v>
      </c>
      <c r="E5" s="376">
        <v>1.0</v>
      </c>
      <c r="F5" s="376">
        <v>2.0</v>
      </c>
      <c r="G5" s="376">
        <v>0.0</v>
      </c>
      <c r="H5" s="376"/>
      <c r="I5" s="376"/>
      <c r="J5" s="376">
        <f t="shared" si="1"/>
        <v>4</v>
      </c>
    </row>
    <row r="6" ht="15.75" customHeight="1">
      <c r="A6" s="381" t="s">
        <v>201</v>
      </c>
      <c r="B6" s="376"/>
      <c r="C6" s="376">
        <f>'DL T6'!AH5</f>
        <v>12</v>
      </c>
      <c r="D6" s="376">
        <v>13.0</v>
      </c>
      <c r="E6" s="376">
        <v>7.0</v>
      </c>
      <c r="F6" s="376">
        <v>12.0</v>
      </c>
      <c r="G6" s="376">
        <v>6.0</v>
      </c>
      <c r="H6" s="376"/>
      <c r="I6" s="376"/>
      <c r="J6" s="376">
        <f t="shared" si="1"/>
        <v>50</v>
      </c>
    </row>
    <row r="7" ht="15.75" customHeight="1">
      <c r="A7" s="381" t="s">
        <v>84</v>
      </c>
      <c r="B7" s="376"/>
      <c r="C7" s="376">
        <f>'DL T6'!AI5</f>
        <v>15</v>
      </c>
      <c r="D7" s="376">
        <v>5.0</v>
      </c>
      <c r="E7" s="376">
        <v>2.0</v>
      </c>
      <c r="F7" s="376">
        <v>5.0</v>
      </c>
      <c r="G7" s="376">
        <v>6.0</v>
      </c>
      <c r="H7" s="376"/>
      <c r="I7" s="376"/>
      <c r="J7" s="376">
        <f t="shared" si="1"/>
        <v>33</v>
      </c>
    </row>
    <row r="8" ht="15.75" customHeight="1">
      <c r="A8" s="381" t="s">
        <v>60</v>
      </c>
      <c r="B8" s="376"/>
      <c r="C8" s="376">
        <f>'DL T6'!AJ5</f>
        <v>1</v>
      </c>
      <c r="D8" s="376">
        <v>4.0</v>
      </c>
      <c r="E8" s="376">
        <v>0.0</v>
      </c>
      <c r="F8" s="376">
        <v>1.0</v>
      </c>
      <c r="G8" s="376">
        <v>0.0</v>
      </c>
      <c r="H8" s="376"/>
      <c r="I8" s="376"/>
      <c r="J8" s="376">
        <f t="shared" si="1"/>
        <v>6</v>
      </c>
    </row>
    <row r="9" ht="15.75" customHeight="1">
      <c r="A9" s="381" t="s">
        <v>703</v>
      </c>
      <c r="B9" s="376"/>
      <c r="C9" s="376">
        <f>'DL T6'!AK5</f>
        <v>1</v>
      </c>
      <c r="D9" s="376">
        <v>0.0</v>
      </c>
      <c r="E9" s="376">
        <v>0.0</v>
      </c>
      <c r="F9" s="376">
        <v>4.0</v>
      </c>
      <c r="G9" s="376">
        <v>6.0</v>
      </c>
      <c r="H9" s="376"/>
      <c r="I9" s="376"/>
      <c r="J9" s="376">
        <f t="shared" si="1"/>
        <v>11</v>
      </c>
    </row>
    <row r="10" ht="15.75" customHeight="1">
      <c r="A10" s="381" t="s">
        <v>539</v>
      </c>
      <c r="B10" s="376"/>
      <c r="C10" s="376">
        <v>0.0</v>
      </c>
      <c r="D10" s="376">
        <v>3.0</v>
      </c>
      <c r="E10" s="376">
        <v>0.0</v>
      </c>
      <c r="F10" s="376">
        <v>6.0</v>
      </c>
      <c r="G10" s="376">
        <v>0.0</v>
      </c>
      <c r="H10" s="376"/>
      <c r="I10" s="376"/>
      <c r="J10" s="376">
        <f t="shared" si="1"/>
        <v>9</v>
      </c>
    </row>
    <row r="11" ht="15.75" customHeight="1">
      <c r="A11" s="376" t="s">
        <v>4622</v>
      </c>
      <c r="B11" s="376"/>
      <c r="C11" s="376">
        <f t="shared" ref="C11:I11" si="2">SUM(C3:C10)</f>
        <v>29</v>
      </c>
      <c r="D11" s="376">
        <f t="shared" si="2"/>
        <v>25</v>
      </c>
      <c r="E11" s="376">
        <f t="shared" si="2"/>
        <v>15</v>
      </c>
      <c r="F11" s="376">
        <f t="shared" si="2"/>
        <v>120</v>
      </c>
      <c r="G11" s="376">
        <f t="shared" si="2"/>
        <v>76</v>
      </c>
      <c r="H11" s="376">
        <f t="shared" si="2"/>
        <v>0</v>
      </c>
      <c r="I11" s="376">
        <f t="shared" si="2"/>
        <v>0</v>
      </c>
      <c r="J11" s="376">
        <f t="shared" si="1"/>
        <v>265</v>
      </c>
    </row>
    <row r="12" ht="15.75" customHeight="1">
      <c r="M12" s="501"/>
      <c r="N12" s="501"/>
      <c r="O12" s="501"/>
      <c r="P12" s="501"/>
      <c r="Q12" s="501"/>
      <c r="R12" s="501"/>
      <c r="S12" s="501"/>
      <c r="T12" s="501"/>
    </row>
    <row r="13" ht="15.75" customHeight="1">
      <c r="A13" s="502" t="s">
        <v>4764</v>
      </c>
    </row>
    <row r="14" ht="15.75" customHeight="1">
      <c r="A14" s="381" t="s">
        <v>1</v>
      </c>
      <c r="B14" s="381" t="s">
        <v>4765</v>
      </c>
      <c r="C14" s="381" t="s">
        <v>4757</v>
      </c>
      <c r="D14" s="381" t="s">
        <v>4758</v>
      </c>
      <c r="E14" s="381" t="s">
        <v>4759</v>
      </c>
      <c r="F14" s="381" t="s">
        <v>4760</v>
      </c>
      <c r="G14" s="381" t="s">
        <v>4761</v>
      </c>
      <c r="H14" s="381" t="s">
        <v>4762</v>
      </c>
      <c r="I14" s="381" t="s">
        <v>4763</v>
      </c>
      <c r="J14" s="381" t="s">
        <v>4622</v>
      </c>
      <c r="K14" s="415"/>
      <c r="L14" s="421"/>
      <c r="M14" s="421"/>
      <c r="N14" s="421"/>
      <c r="O14" s="421"/>
      <c r="P14" s="421"/>
      <c r="Q14" s="421"/>
      <c r="R14" s="421"/>
      <c r="S14" s="421"/>
      <c r="T14" s="415"/>
      <c r="U14" s="415"/>
      <c r="V14" s="415"/>
      <c r="W14" s="415"/>
      <c r="X14" s="415"/>
      <c r="Y14" s="415"/>
      <c r="Z14" s="415"/>
      <c r="AA14" s="415"/>
    </row>
    <row r="15" ht="15.75" customHeight="1">
      <c r="A15" s="381" t="s">
        <v>4620</v>
      </c>
      <c r="B15" s="501">
        <v>1.15534E7</v>
      </c>
      <c r="C15" s="398">
        <f>'DL T6'!AE10</f>
        <v>0</v>
      </c>
      <c r="D15" s="398">
        <f>'DL T7'!AG10</f>
        <v>0</v>
      </c>
      <c r="E15" s="398">
        <f>'DL T8'!V72</f>
        <v>0</v>
      </c>
      <c r="F15" s="398">
        <v>2.5782E7</v>
      </c>
      <c r="G15" s="398">
        <f>'DL T10'!AG10</f>
        <v>0</v>
      </c>
      <c r="H15" s="398"/>
      <c r="I15" s="398"/>
      <c r="J15" s="398">
        <f t="shared" ref="J15:J22" si="3">SUM(C15:I15)</f>
        <v>25782000</v>
      </c>
      <c r="K15" s="501"/>
    </row>
    <row r="16" ht="15.75" customHeight="1">
      <c r="A16" s="381" t="s">
        <v>4621</v>
      </c>
      <c r="B16" s="398">
        <v>7500000.0</v>
      </c>
      <c r="C16" s="398">
        <f>'DL T6'!AF10</f>
        <v>0</v>
      </c>
      <c r="D16" s="398">
        <f>'DL T7'!AH10</f>
        <v>0</v>
      </c>
      <c r="E16" s="398">
        <f>'DL T8'!W72</f>
        <v>0</v>
      </c>
      <c r="F16" s="398">
        <v>0.0</v>
      </c>
      <c r="G16" s="398">
        <f>'DL T10'!AH10</f>
        <v>0</v>
      </c>
      <c r="H16" s="376"/>
      <c r="I16" s="376"/>
      <c r="J16" s="398">
        <f t="shared" si="3"/>
        <v>0</v>
      </c>
    </row>
    <row r="17" ht="15.75" customHeight="1">
      <c r="A17" s="381" t="s">
        <v>73</v>
      </c>
      <c r="B17" s="398">
        <v>0.0</v>
      </c>
      <c r="C17" s="398">
        <f>'DL T6'!AG10</f>
        <v>0</v>
      </c>
      <c r="D17" s="398">
        <f>'DL T7'!AI10</f>
        <v>5022000</v>
      </c>
      <c r="E17" s="398">
        <f>'DL T8'!X72</f>
        <v>5358280</v>
      </c>
      <c r="F17" s="398">
        <v>0.0</v>
      </c>
      <c r="G17" s="398">
        <f>'DL T10'!AI10</f>
        <v>0</v>
      </c>
      <c r="H17" s="376"/>
      <c r="I17" s="376"/>
      <c r="J17" s="398">
        <f t="shared" si="3"/>
        <v>10380280</v>
      </c>
    </row>
    <row r="18" ht="15.75" customHeight="1">
      <c r="A18" s="381" t="s">
        <v>201</v>
      </c>
      <c r="B18" s="398">
        <v>0.0</v>
      </c>
      <c r="C18" s="398">
        <f>'DL T6'!AH10</f>
        <v>56582798</v>
      </c>
      <c r="D18" s="398">
        <f>'DL T7'!AJ10</f>
        <v>57177240</v>
      </c>
      <c r="E18" s="398">
        <f>'DL T8'!Y72</f>
        <v>29339450</v>
      </c>
      <c r="F18" s="398">
        <v>1.9376E7</v>
      </c>
      <c r="G18" s="398">
        <f>'DL T10'!AJ10</f>
        <v>16265000</v>
      </c>
      <c r="H18" s="376"/>
      <c r="I18" s="376"/>
      <c r="J18" s="398">
        <f t="shared" si="3"/>
        <v>178740488</v>
      </c>
    </row>
    <row r="19" ht="15.75" customHeight="1">
      <c r="A19" s="381" t="s">
        <v>84</v>
      </c>
      <c r="B19" s="398">
        <v>2.31325E7</v>
      </c>
      <c r="C19" s="398">
        <f>'DL T6'!AI10</f>
        <v>73956480</v>
      </c>
      <c r="D19" s="398">
        <f>'DL T7'!AK10</f>
        <v>24181900</v>
      </c>
      <c r="E19" s="398">
        <f>'DL T8'!Z72</f>
        <v>11023200</v>
      </c>
      <c r="F19" s="398">
        <v>1.01015E7</v>
      </c>
      <c r="G19" s="398">
        <f>'DL T10'!AK10</f>
        <v>34386500</v>
      </c>
      <c r="H19" s="376"/>
      <c r="I19" s="376"/>
      <c r="J19" s="398">
        <f t="shared" si="3"/>
        <v>153649580</v>
      </c>
    </row>
    <row r="20" ht="15.75" customHeight="1">
      <c r="A20" s="381" t="s">
        <v>60</v>
      </c>
      <c r="B20" s="398">
        <v>1.15536E7</v>
      </c>
      <c r="C20" s="398">
        <f>'DL T6'!AJ10</f>
        <v>2302200</v>
      </c>
      <c r="D20" s="398">
        <f>'DL T7'!AL10</f>
        <v>19909500</v>
      </c>
      <c r="E20" s="398">
        <v>0.0</v>
      </c>
      <c r="F20" s="398">
        <v>2664000.0</v>
      </c>
      <c r="G20" s="398">
        <f>'DL T10'!AL10</f>
        <v>0</v>
      </c>
      <c r="H20" s="376"/>
      <c r="I20" s="376"/>
      <c r="J20" s="398">
        <f t="shared" si="3"/>
        <v>24875700</v>
      </c>
    </row>
    <row r="21" ht="14.25" customHeight="1">
      <c r="A21" s="381" t="s">
        <v>703</v>
      </c>
      <c r="B21" s="398">
        <v>0.0</v>
      </c>
      <c r="C21" s="398">
        <f>'DL T6'!AK10</f>
        <v>4348600</v>
      </c>
      <c r="D21" s="383">
        <v>0.0</v>
      </c>
      <c r="E21" s="398">
        <v>0.0</v>
      </c>
      <c r="F21" s="398">
        <v>0.0</v>
      </c>
      <c r="G21" s="398">
        <v>0.0</v>
      </c>
      <c r="H21" s="376"/>
      <c r="I21" s="376"/>
      <c r="J21" s="398">
        <f t="shared" si="3"/>
        <v>4348600</v>
      </c>
    </row>
    <row r="22" ht="14.25" customHeight="1">
      <c r="A22" s="381" t="s">
        <v>539</v>
      </c>
      <c r="B22" s="398">
        <v>0.0</v>
      </c>
      <c r="C22" s="376">
        <v>0.0</v>
      </c>
      <c r="D22" s="398">
        <f>'DL T7'!AM10</f>
        <v>15751080</v>
      </c>
      <c r="E22" s="398">
        <v>0.0</v>
      </c>
      <c r="F22" s="398">
        <v>0.0</v>
      </c>
      <c r="G22" s="398">
        <v>0.0</v>
      </c>
      <c r="H22" s="376"/>
      <c r="I22" s="376"/>
      <c r="J22" s="398">
        <f t="shared" si="3"/>
        <v>15751080</v>
      </c>
    </row>
    <row r="23" ht="15.75" customHeight="1">
      <c r="A23" s="376" t="s">
        <v>4622</v>
      </c>
      <c r="B23" s="503">
        <v>5.37395E7</v>
      </c>
      <c r="C23" s="398">
        <f t="shared" ref="C23:D23" si="4">SUM(C15:C22)</f>
        <v>137190078</v>
      </c>
      <c r="D23" s="398">
        <f t="shared" si="4"/>
        <v>122041720</v>
      </c>
      <c r="E23" s="398">
        <f>SUM(E15:E21)</f>
        <v>45720930</v>
      </c>
      <c r="F23" s="503">
        <v>5.79235E7</v>
      </c>
      <c r="G23" s="398">
        <f>SUM(G15:G21)</f>
        <v>50651500</v>
      </c>
      <c r="H23" s="503">
        <f>'DL T11'!H34</f>
        <v>25459800</v>
      </c>
      <c r="I23" s="398">
        <f>SUM(I15:I21)</f>
        <v>0</v>
      </c>
      <c r="J23" s="503">
        <f>SUM(B23:I23)</f>
        <v>492727028</v>
      </c>
    </row>
    <row r="24" ht="15.75" customHeight="1"/>
    <row r="25" ht="15.75" customHeight="1"/>
    <row r="26" ht="15.75" customHeight="1"/>
    <row r="27" ht="15.75" customHeight="1">
      <c r="M27" s="501"/>
      <c r="N27" s="501"/>
      <c r="O27" s="501"/>
      <c r="P27" s="501"/>
      <c r="Q27" s="501"/>
      <c r="R27" s="501"/>
      <c r="S27" s="501"/>
      <c r="T27" s="501"/>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J1"/>
    <mergeCell ref="A13:J1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38"/>
    <col customWidth="1" min="2" max="2" width="25.13"/>
    <col customWidth="1" min="3" max="3" width="14.25"/>
    <col customWidth="1" min="4" max="4" width="12.63"/>
    <col customWidth="1" min="5" max="5" width="29.13"/>
    <col customWidth="1" min="6" max="6" width="30.13"/>
  </cols>
  <sheetData>
    <row r="1" ht="15.75" customHeight="1">
      <c r="A1" s="415" t="s">
        <v>4743</v>
      </c>
      <c r="B1" s="381" t="s">
        <v>3</v>
      </c>
      <c r="C1" s="381" t="s">
        <v>7</v>
      </c>
      <c r="D1" s="381" t="s">
        <v>4766</v>
      </c>
      <c r="E1" s="381" t="s">
        <v>4733</v>
      </c>
    </row>
    <row r="2" ht="15.75" customHeight="1">
      <c r="A2" s="504">
        <v>45103.0</v>
      </c>
      <c r="B2" s="505"/>
      <c r="C2" s="505"/>
      <c r="D2" s="505"/>
      <c r="E2" s="495"/>
    </row>
    <row r="3" ht="15.75" customHeight="1">
      <c r="A3" s="383">
        <v>1.0</v>
      </c>
      <c r="B3" s="381" t="s">
        <v>4767</v>
      </c>
      <c r="C3" s="381">
        <v>9.03196971E8</v>
      </c>
      <c r="D3" s="43" t="s">
        <v>48</v>
      </c>
      <c r="E3" s="376" t="s">
        <v>34</v>
      </c>
    </row>
    <row r="4" ht="15.75" customHeight="1">
      <c r="A4" s="383">
        <v>2.0</v>
      </c>
      <c r="B4" s="376" t="s">
        <v>4768</v>
      </c>
      <c r="C4" s="376">
        <v>3.99109318E8</v>
      </c>
      <c r="D4" s="43" t="s">
        <v>48</v>
      </c>
      <c r="E4" s="376" t="s">
        <v>34</v>
      </c>
      <c r="F4" s="383" t="s">
        <v>4769</v>
      </c>
    </row>
    <row r="5" ht="15.75" customHeight="1">
      <c r="A5" s="383">
        <v>3.0</v>
      </c>
      <c r="B5" s="376" t="s">
        <v>4770</v>
      </c>
      <c r="C5" s="376">
        <v>9.15516569E8</v>
      </c>
      <c r="D5" s="43" t="s">
        <v>48</v>
      </c>
      <c r="E5" s="376" t="s">
        <v>34</v>
      </c>
      <c r="F5" s="383" t="s">
        <v>4769</v>
      </c>
    </row>
    <row r="6" ht="15.75" customHeight="1">
      <c r="A6" s="383">
        <v>4.0</v>
      </c>
      <c r="B6" s="376" t="s">
        <v>4771</v>
      </c>
      <c r="C6" s="376">
        <v>3.69947196E8</v>
      </c>
      <c r="D6" s="43" t="s">
        <v>48</v>
      </c>
      <c r="E6" s="376" t="s">
        <v>34</v>
      </c>
      <c r="F6" s="383" t="s">
        <v>4769</v>
      </c>
    </row>
    <row r="7" ht="15.75" customHeight="1">
      <c r="A7" s="383">
        <v>5.0</v>
      </c>
      <c r="B7" s="376" t="s">
        <v>4772</v>
      </c>
      <c r="C7" s="376">
        <v>7.82766881E8</v>
      </c>
      <c r="D7" s="43" t="s">
        <v>48</v>
      </c>
      <c r="E7" s="376" t="s">
        <v>34</v>
      </c>
      <c r="F7" s="383" t="s">
        <v>4769</v>
      </c>
    </row>
    <row r="8" ht="15.75" customHeight="1">
      <c r="A8" s="383">
        <v>6.0</v>
      </c>
      <c r="B8" s="376" t="s">
        <v>4773</v>
      </c>
      <c r="C8" s="376">
        <v>7.74439694E8</v>
      </c>
      <c r="D8" s="43" t="s">
        <v>48</v>
      </c>
      <c r="E8" s="376" t="s">
        <v>34</v>
      </c>
    </row>
    <row r="9" ht="15.75" customHeight="1">
      <c r="A9" s="383">
        <v>7.0</v>
      </c>
      <c r="B9" s="376" t="s">
        <v>4774</v>
      </c>
      <c r="C9" s="376">
        <v>7.77446712E8</v>
      </c>
      <c r="D9" s="43" t="s">
        <v>48</v>
      </c>
      <c r="E9" s="376" t="s">
        <v>34</v>
      </c>
    </row>
    <row r="10" ht="15.75" customHeight="1">
      <c r="A10" s="383">
        <v>8.0</v>
      </c>
      <c r="B10" s="376" t="s">
        <v>4775</v>
      </c>
      <c r="C10" s="376">
        <v>7.77550659E8</v>
      </c>
      <c r="D10" s="43" t="s">
        <v>48</v>
      </c>
      <c r="E10" s="376" t="s">
        <v>34</v>
      </c>
    </row>
    <row r="11" ht="15.75" customHeight="1">
      <c r="A11" s="383">
        <v>10.0</v>
      </c>
      <c r="B11" s="376" t="s">
        <v>4776</v>
      </c>
      <c r="C11" s="376">
        <v>9.05200977E8</v>
      </c>
      <c r="D11" s="43" t="s">
        <v>48</v>
      </c>
      <c r="E11" s="376" t="s">
        <v>34</v>
      </c>
      <c r="F11" s="383" t="s">
        <v>4777</v>
      </c>
    </row>
    <row r="12" ht="15.75" customHeight="1">
      <c r="A12" s="383">
        <v>11.0</v>
      </c>
      <c r="B12" s="376" t="s">
        <v>4778</v>
      </c>
      <c r="C12" s="376">
        <v>9.13954473E8</v>
      </c>
      <c r="D12" s="43" t="s">
        <v>48</v>
      </c>
      <c r="E12" s="376" t="s">
        <v>34</v>
      </c>
      <c r="F12" s="383" t="s">
        <v>4779</v>
      </c>
    </row>
    <row r="13" ht="15.75" customHeight="1">
      <c r="A13" s="383">
        <v>12.0</v>
      </c>
      <c r="B13" s="376" t="s">
        <v>1164</v>
      </c>
      <c r="C13" s="376">
        <v>9.84863378E8</v>
      </c>
      <c r="D13" s="43" t="s">
        <v>48</v>
      </c>
      <c r="E13" s="376" t="s">
        <v>34</v>
      </c>
      <c r="F13" s="383" t="s">
        <v>4777</v>
      </c>
    </row>
    <row r="14" ht="15.75" customHeight="1">
      <c r="A14" s="383">
        <v>13.0</v>
      </c>
      <c r="B14" s="376" t="s">
        <v>4780</v>
      </c>
      <c r="C14" s="376">
        <v>9.06504323E8</v>
      </c>
      <c r="D14" s="43" t="s">
        <v>48</v>
      </c>
      <c r="E14" s="376" t="s">
        <v>34</v>
      </c>
      <c r="F14" s="383" t="s">
        <v>4769</v>
      </c>
    </row>
    <row r="15" ht="15.75" customHeight="1">
      <c r="A15" s="383">
        <v>14.0</v>
      </c>
      <c r="B15" s="376" t="s">
        <v>4781</v>
      </c>
      <c r="C15" s="376">
        <v>7.74193052E8</v>
      </c>
      <c r="D15" s="43" t="s">
        <v>48</v>
      </c>
      <c r="E15" s="376" t="s">
        <v>4782</v>
      </c>
      <c r="F15" s="506"/>
    </row>
    <row r="16" ht="15.75" customHeight="1">
      <c r="A16" s="383">
        <v>15.0</v>
      </c>
      <c r="B16" s="376" t="s">
        <v>4783</v>
      </c>
      <c r="C16" s="376">
        <v>9.05932918E8</v>
      </c>
      <c r="D16" s="43" t="s">
        <v>48</v>
      </c>
      <c r="E16" s="376" t="s">
        <v>216</v>
      </c>
    </row>
    <row r="17" ht="15.75" customHeight="1">
      <c r="A17" s="383">
        <v>16.0</v>
      </c>
      <c r="B17" s="376" t="s">
        <v>4784</v>
      </c>
      <c r="C17" s="376">
        <v>9.05108377E8</v>
      </c>
      <c r="D17" s="43" t="s">
        <v>48</v>
      </c>
      <c r="E17" s="376" t="s">
        <v>4785</v>
      </c>
      <c r="F17" s="383" t="s">
        <v>4786</v>
      </c>
    </row>
    <row r="18" ht="15.75" customHeight="1">
      <c r="A18" s="383">
        <v>17.0</v>
      </c>
      <c r="B18" s="376" t="s">
        <v>4787</v>
      </c>
      <c r="C18" s="376">
        <v>9.37251526E8</v>
      </c>
      <c r="D18" s="43" t="s">
        <v>48</v>
      </c>
      <c r="E18" s="376" t="s">
        <v>34</v>
      </c>
      <c r="F18" s="383" t="s">
        <v>4788</v>
      </c>
    </row>
    <row r="19" ht="15.75" customHeight="1">
      <c r="A19" s="383">
        <v>18.0</v>
      </c>
      <c r="B19" s="376" t="s">
        <v>4789</v>
      </c>
      <c r="C19" s="376">
        <v>9.05257505E8</v>
      </c>
      <c r="D19" s="43" t="s">
        <v>48</v>
      </c>
      <c r="E19" s="376" t="s">
        <v>216</v>
      </c>
    </row>
    <row r="20" ht="15.75" customHeight="1">
      <c r="A20" s="383">
        <v>19.0</v>
      </c>
      <c r="B20" s="376" t="s">
        <v>4790</v>
      </c>
      <c r="C20" s="376">
        <v>9.06434219E8</v>
      </c>
      <c r="D20" s="43" t="s">
        <v>48</v>
      </c>
      <c r="E20" s="376" t="s">
        <v>216</v>
      </c>
    </row>
    <row r="21" ht="15.75" customHeight="1">
      <c r="A21" s="383">
        <v>20.0</v>
      </c>
      <c r="B21" s="376" t="s">
        <v>4791</v>
      </c>
      <c r="C21" s="376">
        <v>9.05602402E8</v>
      </c>
      <c r="D21" s="43" t="s">
        <v>48</v>
      </c>
      <c r="E21" s="376" t="s">
        <v>216</v>
      </c>
      <c r="F21" s="383" t="s">
        <v>4792</v>
      </c>
    </row>
    <row r="22" ht="15.75" customHeight="1">
      <c r="A22" s="383">
        <v>21.0</v>
      </c>
      <c r="B22" s="376" t="s">
        <v>4791</v>
      </c>
      <c r="C22" s="376">
        <v>9.05977985E8</v>
      </c>
      <c r="D22" s="43" t="s">
        <v>48</v>
      </c>
      <c r="E22" s="376" t="s">
        <v>34</v>
      </c>
      <c r="F22" s="383" t="s">
        <v>4793</v>
      </c>
    </row>
    <row r="23" ht="15.75" customHeight="1">
      <c r="A23" s="383">
        <v>22.0</v>
      </c>
      <c r="B23" s="376" t="s">
        <v>4794</v>
      </c>
      <c r="C23" s="376">
        <v>9.05144161E8</v>
      </c>
      <c r="D23" s="43" t="s">
        <v>48</v>
      </c>
      <c r="E23" s="376" t="s">
        <v>34</v>
      </c>
      <c r="F23" s="383" t="s">
        <v>4795</v>
      </c>
    </row>
    <row r="24" ht="15.75" customHeight="1">
      <c r="A24" s="383">
        <v>23.0</v>
      </c>
      <c r="B24" s="376" t="s">
        <v>4796</v>
      </c>
      <c r="C24" s="376">
        <v>9.05814594E8</v>
      </c>
      <c r="D24" s="43" t="s">
        <v>48</v>
      </c>
      <c r="E24" s="376" t="s">
        <v>216</v>
      </c>
    </row>
    <row r="25" ht="15.75" customHeight="1">
      <c r="A25" s="383">
        <v>24.0</v>
      </c>
      <c r="B25" s="376" t="s">
        <v>4797</v>
      </c>
      <c r="C25" s="376">
        <v>7.79332534E8</v>
      </c>
      <c r="D25" s="43" t="s">
        <v>48</v>
      </c>
      <c r="E25" s="376" t="s">
        <v>4785</v>
      </c>
      <c r="F25" s="383" t="s">
        <v>4798</v>
      </c>
    </row>
    <row r="26" ht="15.75" customHeight="1">
      <c r="A26" s="383">
        <v>25.0</v>
      </c>
      <c r="B26" s="376" t="s">
        <v>4797</v>
      </c>
      <c r="C26" s="376">
        <v>9.05755452E8</v>
      </c>
      <c r="D26" s="43" t="s">
        <v>48</v>
      </c>
      <c r="E26" s="376" t="s">
        <v>34</v>
      </c>
      <c r="F26" s="383" t="s">
        <v>4799</v>
      </c>
    </row>
    <row r="27" ht="15.75" customHeight="1">
      <c r="A27" s="383">
        <v>26.0</v>
      </c>
      <c r="B27" s="376" t="s">
        <v>4800</v>
      </c>
      <c r="C27" s="376">
        <v>9.05405155E8</v>
      </c>
      <c r="D27" s="43" t="s">
        <v>48</v>
      </c>
      <c r="E27" s="376" t="s">
        <v>216</v>
      </c>
    </row>
    <row r="28" ht="15.75" customHeight="1">
      <c r="A28" s="383">
        <v>27.0</v>
      </c>
      <c r="B28" s="376" t="s">
        <v>4801</v>
      </c>
      <c r="C28" s="376">
        <v>9.05113841E8</v>
      </c>
      <c r="D28" s="43" t="s">
        <v>48</v>
      </c>
      <c r="E28" s="376" t="s">
        <v>216</v>
      </c>
      <c r="F28" s="383" t="s">
        <v>4802</v>
      </c>
    </row>
    <row r="29" ht="15.75" customHeight="1">
      <c r="A29" s="383">
        <v>28.0</v>
      </c>
      <c r="B29" s="376" t="s">
        <v>4803</v>
      </c>
      <c r="C29" s="376">
        <v>9.64701704E8</v>
      </c>
      <c r="D29" s="43" t="s">
        <v>48</v>
      </c>
      <c r="E29" s="376" t="s">
        <v>34</v>
      </c>
      <c r="F29" s="383" t="s">
        <v>4804</v>
      </c>
    </row>
    <row r="30" ht="15.75" customHeight="1">
      <c r="A30" s="383">
        <v>29.0</v>
      </c>
      <c r="B30" s="376" t="s">
        <v>4805</v>
      </c>
      <c r="C30" s="376">
        <v>9.76358817E8</v>
      </c>
      <c r="D30" s="43" t="s">
        <v>48</v>
      </c>
      <c r="E30" s="376" t="s">
        <v>4785</v>
      </c>
      <c r="F30" s="383" t="s">
        <v>4806</v>
      </c>
    </row>
    <row r="31" ht="15.75" customHeight="1">
      <c r="A31" s="383">
        <v>30.0</v>
      </c>
      <c r="B31" s="376" t="s">
        <v>4807</v>
      </c>
      <c r="C31" s="376">
        <v>9.35334036E8</v>
      </c>
      <c r="D31" s="43" t="s">
        <v>48</v>
      </c>
      <c r="E31" s="376" t="s">
        <v>34</v>
      </c>
      <c r="F31" s="383" t="s">
        <v>4808</v>
      </c>
    </row>
    <row r="32" ht="15.75" customHeight="1">
      <c r="A32" s="383">
        <v>31.0</v>
      </c>
      <c r="B32" s="376" t="s">
        <v>4809</v>
      </c>
      <c r="C32" s="376">
        <v>9.35229774E8</v>
      </c>
      <c r="D32" s="43" t="s">
        <v>48</v>
      </c>
      <c r="E32" s="376" t="s">
        <v>34</v>
      </c>
      <c r="F32" s="383" t="s">
        <v>4802</v>
      </c>
    </row>
    <row r="33" ht="15.75" customHeight="1">
      <c r="A33" s="383">
        <v>32.0</v>
      </c>
      <c r="B33" s="376" t="s">
        <v>4810</v>
      </c>
      <c r="C33" s="376">
        <v>9.06490974E8</v>
      </c>
      <c r="D33" s="43" t="s">
        <v>48</v>
      </c>
      <c r="E33" s="376" t="s">
        <v>34</v>
      </c>
      <c r="F33" s="383" t="s">
        <v>4811</v>
      </c>
    </row>
    <row r="34" ht="15.75" customHeight="1">
      <c r="A34" s="383">
        <v>33.0</v>
      </c>
      <c r="B34" s="376" t="s">
        <v>4812</v>
      </c>
      <c r="C34" s="376">
        <v>9.31020688E8</v>
      </c>
      <c r="D34" s="43" t="s">
        <v>48</v>
      </c>
      <c r="E34" s="376" t="s">
        <v>216</v>
      </c>
    </row>
    <row r="35" ht="15.75" customHeight="1">
      <c r="A35" s="383">
        <v>34.0</v>
      </c>
      <c r="B35" s="376" t="s">
        <v>4813</v>
      </c>
      <c r="C35" s="376">
        <v>9.12919157E8</v>
      </c>
      <c r="D35" s="43" t="s">
        <v>48</v>
      </c>
      <c r="E35" s="376" t="s">
        <v>216</v>
      </c>
    </row>
    <row r="36" ht="15.75" customHeight="1">
      <c r="A36" s="383">
        <v>35.0</v>
      </c>
      <c r="B36" s="376" t="s">
        <v>4814</v>
      </c>
      <c r="C36" s="376">
        <v>9.83365684E8</v>
      </c>
      <c r="D36" s="43" t="s">
        <v>48</v>
      </c>
      <c r="E36" s="376" t="s">
        <v>34</v>
      </c>
      <c r="F36" s="383" t="s">
        <v>4815</v>
      </c>
    </row>
    <row r="37" ht="15.75" customHeight="1">
      <c r="A37" s="383">
        <v>36.0</v>
      </c>
      <c r="B37" s="376" t="s">
        <v>4816</v>
      </c>
      <c r="C37" s="376">
        <v>9.78345759E8</v>
      </c>
      <c r="D37" s="43" t="s">
        <v>48</v>
      </c>
      <c r="E37" s="376" t="s">
        <v>34</v>
      </c>
      <c r="F37" s="383" t="s">
        <v>4817</v>
      </c>
    </row>
    <row r="38" ht="15.75" customHeight="1">
      <c r="A38" s="383">
        <v>37.0</v>
      </c>
      <c r="B38" s="376" t="s">
        <v>4818</v>
      </c>
      <c r="C38" s="376">
        <v>9.05840287E8</v>
      </c>
      <c r="D38" s="43" t="s">
        <v>48</v>
      </c>
      <c r="E38" s="376" t="s">
        <v>34</v>
      </c>
      <c r="F38" s="383" t="s">
        <v>4817</v>
      </c>
    </row>
    <row r="39" ht="15.75" customHeight="1">
      <c r="A39" s="383">
        <v>38.0</v>
      </c>
      <c r="B39" s="376" t="s">
        <v>4819</v>
      </c>
      <c r="C39" s="376">
        <v>3.26248188E8</v>
      </c>
      <c r="D39" s="43" t="s">
        <v>48</v>
      </c>
      <c r="E39" s="376" t="s">
        <v>216</v>
      </c>
    </row>
    <row r="40" ht="15.75" customHeight="1">
      <c r="A40" s="383">
        <v>39.0</v>
      </c>
      <c r="B40" s="376" t="s">
        <v>4820</v>
      </c>
      <c r="C40" s="376">
        <v>9.12252632E8</v>
      </c>
      <c r="D40" s="43" t="s">
        <v>48</v>
      </c>
      <c r="E40" s="376" t="s">
        <v>216</v>
      </c>
    </row>
    <row r="41" ht="15.75" customHeight="1">
      <c r="A41" s="383">
        <v>41.0</v>
      </c>
      <c r="B41" s="376" t="s">
        <v>4821</v>
      </c>
      <c r="C41" s="376">
        <v>8.34409359E8</v>
      </c>
      <c r="D41" s="43" t="s">
        <v>48</v>
      </c>
      <c r="E41" s="376" t="s">
        <v>34</v>
      </c>
      <c r="F41" s="383" t="s">
        <v>4822</v>
      </c>
    </row>
    <row r="42" ht="15.75" customHeight="1">
      <c r="A42" s="383">
        <v>42.0</v>
      </c>
      <c r="B42" s="376" t="s">
        <v>4823</v>
      </c>
      <c r="C42" s="376">
        <v>9.35056455E8</v>
      </c>
      <c r="D42" s="43" t="s">
        <v>48</v>
      </c>
      <c r="E42" s="376" t="s">
        <v>216</v>
      </c>
      <c r="F42" s="383" t="s">
        <v>4824</v>
      </c>
    </row>
    <row r="43" ht="15.75" customHeight="1">
      <c r="A43" s="383">
        <v>43.0</v>
      </c>
      <c r="B43" s="376" t="s">
        <v>4825</v>
      </c>
      <c r="C43" s="376">
        <v>9.35471491E8</v>
      </c>
      <c r="D43" s="43" t="s">
        <v>48</v>
      </c>
      <c r="E43" s="376" t="s">
        <v>34</v>
      </c>
      <c r="F43" s="383" t="s">
        <v>4826</v>
      </c>
    </row>
    <row r="44" ht="15.75" customHeight="1">
      <c r="A44" s="383">
        <v>44.0</v>
      </c>
      <c r="B44" s="376" t="s">
        <v>4827</v>
      </c>
      <c r="C44" s="376">
        <v>9.07410777E8</v>
      </c>
      <c r="D44" s="43" t="s">
        <v>48</v>
      </c>
      <c r="E44" s="376" t="s">
        <v>34</v>
      </c>
      <c r="F44" s="383" t="s">
        <v>4828</v>
      </c>
    </row>
    <row r="45" ht="15.75" customHeight="1">
      <c r="A45" s="383">
        <v>45.0</v>
      </c>
      <c r="B45" s="376" t="s">
        <v>4827</v>
      </c>
      <c r="C45" s="376">
        <v>9.35728646E8</v>
      </c>
      <c r="D45" s="43" t="s">
        <v>48</v>
      </c>
      <c r="E45" s="376" t="s">
        <v>34</v>
      </c>
      <c r="F45" s="383" t="s">
        <v>4829</v>
      </c>
    </row>
    <row r="46" ht="15.75" customHeight="1">
      <c r="A46" s="383">
        <v>46.0</v>
      </c>
      <c r="B46" s="376" t="s">
        <v>4830</v>
      </c>
      <c r="C46" s="376">
        <v>9.88225006E8</v>
      </c>
      <c r="D46" s="43" t="s">
        <v>48</v>
      </c>
      <c r="E46" s="376" t="s">
        <v>4785</v>
      </c>
      <c r="F46" s="507" t="s">
        <v>4831</v>
      </c>
    </row>
    <row r="47" ht="15.75" customHeight="1">
      <c r="A47" s="383">
        <v>47.0</v>
      </c>
      <c r="B47" s="376" t="s">
        <v>4832</v>
      </c>
      <c r="C47" s="376">
        <v>9.05306889E8</v>
      </c>
      <c r="D47" s="43" t="s">
        <v>48</v>
      </c>
      <c r="E47" s="376" t="s">
        <v>34</v>
      </c>
      <c r="F47" s="383" t="s">
        <v>4833</v>
      </c>
    </row>
    <row r="48" ht="15.75" customHeight="1">
      <c r="A48" s="383">
        <v>48.0</v>
      </c>
      <c r="B48" s="376" t="s">
        <v>4832</v>
      </c>
      <c r="C48" s="376">
        <v>9.05643414E8</v>
      </c>
      <c r="D48" s="43" t="s">
        <v>48</v>
      </c>
      <c r="E48" s="376" t="s">
        <v>34</v>
      </c>
      <c r="F48" s="383" t="s">
        <v>4834</v>
      </c>
    </row>
    <row r="49" ht="15.75" customHeight="1">
      <c r="A49" s="383">
        <v>49.0</v>
      </c>
      <c r="B49" s="376" t="s">
        <v>4832</v>
      </c>
      <c r="C49" s="376">
        <v>9.82643414E8</v>
      </c>
      <c r="D49" s="43" t="s">
        <v>48</v>
      </c>
      <c r="E49" s="376" t="s">
        <v>34</v>
      </c>
    </row>
    <row r="50" ht="15.75" customHeight="1">
      <c r="A50" s="383">
        <v>50.0</v>
      </c>
      <c r="B50" s="376" t="s">
        <v>4835</v>
      </c>
      <c r="C50" s="376">
        <v>3.84786558E8</v>
      </c>
      <c r="D50" s="43" t="s">
        <v>48</v>
      </c>
      <c r="E50" s="376" t="s">
        <v>34</v>
      </c>
      <c r="F50" s="383" t="s">
        <v>4836</v>
      </c>
    </row>
    <row r="51" ht="15.75" customHeight="1">
      <c r="A51" s="383">
        <v>51.0</v>
      </c>
      <c r="B51" s="376" t="s">
        <v>4837</v>
      </c>
      <c r="C51" s="376">
        <v>9.01166123E8</v>
      </c>
      <c r="D51" s="43" t="s">
        <v>48</v>
      </c>
      <c r="E51" s="376" t="s">
        <v>34</v>
      </c>
      <c r="F51" s="383" t="s">
        <v>4838</v>
      </c>
    </row>
    <row r="52" ht="15.75" customHeight="1">
      <c r="A52" s="383">
        <v>52.0</v>
      </c>
      <c r="B52" s="376" t="s">
        <v>4839</v>
      </c>
      <c r="C52" s="376">
        <v>9.3253034E8</v>
      </c>
      <c r="D52" s="43" t="s">
        <v>48</v>
      </c>
      <c r="E52" s="376" t="s">
        <v>34</v>
      </c>
      <c r="F52" s="383" t="s">
        <v>4840</v>
      </c>
    </row>
    <row r="53" ht="15.75" customHeight="1">
      <c r="A53" s="383">
        <v>53.0</v>
      </c>
      <c r="B53" s="376" t="s">
        <v>4841</v>
      </c>
      <c r="C53" s="376">
        <v>9.0578723E8</v>
      </c>
      <c r="D53" s="43" t="s">
        <v>48</v>
      </c>
      <c r="E53" s="376" t="s">
        <v>216</v>
      </c>
      <c r="F53" s="383" t="s">
        <v>4792</v>
      </c>
    </row>
    <row r="54" ht="15.75" customHeight="1">
      <c r="A54" s="383">
        <v>54.0</v>
      </c>
      <c r="B54" s="376" t="s">
        <v>4842</v>
      </c>
      <c r="C54" s="376">
        <v>3.42716989E8</v>
      </c>
      <c r="D54" s="43" t="s">
        <v>48</v>
      </c>
      <c r="E54" s="376" t="s">
        <v>4785</v>
      </c>
      <c r="F54" s="383" t="s">
        <v>4786</v>
      </c>
    </row>
    <row r="55" ht="15.75" customHeight="1">
      <c r="A55" s="383">
        <v>55.0</v>
      </c>
      <c r="B55" s="376" t="s">
        <v>4842</v>
      </c>
      <c r="C55" s="376">
        <v>9.84683068E8</v>
      </c>
      <c r="D55" s="43" t="s">
        <v>48</v>
      </c>
      <c r="E55" s="376" t="s">
        <v>4785</v>
      </c>
      <c r="F55" s="383" t="s">
        <v>4843</v>
      </c>
    </row>
    <row r="56" ht="15.75" customHeight="1">
      <c r="A56" s="383">
        <v>56.0</v>
      </c>
      <c r="B56" s="376" t="s">
        <v>4844</v>
      </c>
      <c r="C56" s="376">
        <v>7.93965331E8</v>
      </c>
      <c r="D56" s="43" t="s">
        <v>48</v>
      </c>
      <c r="E56" s="376" t="s">
        <v>216</v>
      </c>
    </row>
    <row r="57" ht="15.75" customHeight="1">
      <c r="A57" s="383">
        <v>57.0</v>
      </c>
      <c r="B57" s="376" t="s">
        <v>4845</v>
      </c>
      <c r="C57" s="376">
        <v>9.32583076E8</v>
      </c>
      <c r="D57" s="43" t="s">
        <v>48</v>
      </c>
      <c r="E57" s="376" t="s">
        <v>34</v>
      </c>
      <c r="F57" s="383" t="s">
        <v>4846</v>
      </c>
    </row>
    <row r="58" ht="15.75" customHeight="1">
      <c r="A58" s="383">
        <v>58.0</v>
      </c>
      <c r="B58" s="376" t="s">
        <v>4847</v>
      </c>
      <c r="C58" s="376">
        <v>9.09937143E8</v>
      </c>
      <c r="D58" s="43" t="s">
        <v>48</v>
      </c>
      <c r="E58" s="376" t="s">
        <v>34</v>
      </c>
      <c r="F58" s="383" t="s">
        <v>4777</v>
      </c>
    </row>
    <row r="59" ht="15.75" customHeight="1">
      <c r="A59" s="383">
        <v>59.0</v>
      </c>
      <c r="B59" s="376" t="s">
        <v>4847</v>
      </c>
      <c r="C59" s="376" t="s">
        <v>4848</v>
      </c>
      <c r="D59" s="43" t="s">
        <v>48</v>
      </c>
      <c r="E59" s="376" t="s">
        <v>216</v>
      </c>
      <c r="F59" s="383" t="s">
        <v>4849</v>
      </c>
    </row>
    <row r="60" ht="15.75" customHeight="1">
      <c r="A60" s="383">
        <v>60.0</v>
      </c>
      <c r="B60" s="376" t="s">
        <v>4850</v>
      </c>
      <c r="C60" s="376">
        <v>9.05227894E8</v>
      </c>
      <c r="D60" s="43" t="s">
        <v>48</v>
      </c>
      <c r="E60" s="376" t="s">
        <v>4785</v>
      </c>
      <c r="F60" s="383" t="s">
        <v>4851</v>
      </c>
    </row>
    <row r="61" ht="15.75" customHeight="1">
      <c r="A61" s="383">
        <v>61.0</v>
      </c>
      <c r="B61" s="376" t="s">
        <v>4852</v>
      </c>
      <c r="C61" s="376">
        <v>9.0185085E8</v>
      </c>
      <c r="D61" s="43" t="s">
        <v>111</v>
      </c>
      <c r="E61" s="376" t="s">
        <v>216</v>
      </c>
      <c r="F61" s="383" t="s">
        <v>4853</v>
      </c>
    </row>
    <row r="62" ht="15.75" customHeight="1">
      <c r="A62" s="383">
        <v>62.0</v>
      </c>
      <c r="B62" s="376" t="s">
        <v>4854</v>
      </c>
      <c r="C62" s="376">
        <v>9.05389116E8</v>
      </c>
      <c r="D62" s="43" t="s">
        <v>111</v>
      </c>
      <c r="E62" s="376" t="s">
        <v>4785</v>
      </c>
      <c r="F62" s="383" t="s">
        <v>4855</v>
      </c>
    </row>
    <row r="63" ht="15.75" customHeight="1">
      <c r="A63" s="383">
        <v>63.0</v>
      </c>
      <c r="B63" s="376" t="s">
        <v>4856</v>
      </c>
      <c r="C63" s="376">
        <v>3.88077519E8</v>
      </c>
      <c r="D63" s="43" t="s">
        <v>111</v>
      </c>
      <c r="E63" s="376" t="s">
        <v>34</v>
      </c>
      <c r="F63" s="383" t="s">
        <v>4857</v>
      </c>
    </row>
    <row r="64" ht="15.75" customHeight="1">
      <c r="A64" s="383">
        <v>64.0</v>
      </c>
      <c r="B64" s="376" t="s">
        <v>4858</v>
      </c>
      <c r="C64" s="376">
        <v>9.05825171E8</v>
      </c>
      <c r="D64" s="43" t="s">
        <v>111</v>
      </c>
      <c r="E64" s="376" t="s">
        <v>216</v>
      </c>
      <c r="F64" s="383" t="s">
        <v>4853</v>
      </c>
    </row>
    <row r="65" ht="15.75" customHeight="1">
      <c r="A65" s="383">
        <v>65.0</v>
      </c>
      <c r="B65" s="376" t="s">
        <v>4859</v>
      </c>
      <c r="C65" s="376">
        <v>9.35225698E8</v>
      </c>
      <c r="D65" s="43" t="s">
        <v>111</v>
      </c>
      <c r="E65" s="376" t="s">
        <v>34</v>
      </c>
      <c r="F65" s="383" t="s">
        <v>4860</v>
      </c>
    </row>
    <row r="66" ht="15.75" customHeight="1">
      <c r="A66" s="383">
        <v>66.0</v>
      </c>
      <c r="B66" s="376" t="s">
        <v>4861</v>
      </c>
      <c r="C66" s="376">
        <v>9.05344987E8</v>
      </c>
      <c r="D66" s="43" t="s">
        <v>111</v>
      </c>
      <c r="E66" s="376" t="s">
        <v>34</v>
      </c>
      <c r="F66" s="383" t="s">
        <v>4862</v>
      </c>
    </row>
    <row r="67" ht="15.75" customHeight="1">
      <c r="A67" s="383">
        <v>67.0</v>
      </c>
      <c r="B67" s="376" t="s">
        <v>4863</v>
      </c>
      <c r="C67" s="376">
        <v>9.15276692E8</v>
      </c>
      <c r="D67" s="43" t="s">
        <v>111</v>
      </c>
      <c r="E67" s="376" t="s">
        <v>34</v>
      </c>
    </row>
    <row r="68" ht="15.75" customHeight="1">
      <c r="A68" s="383">
        <v>68.0</v>
      </c>
      <c r="B68" s="376" t="s">
        <v>4864</v>
      </c>
      <c r="C68" s="376">
        <v>9.05560095E8</v>
      </c>
      <c r="D68" s="43" t="s">
        <v>111</v>
      </c>
      <c r="E68" s="376" t="s">
        <v>34</v>
      </c>
      <c r="F68" s="383" t="s">
        <v>4865</v>
      </c>
    </row>
    <row r="69" ht="15.75" customHeight="1">
      <c r="A69" s="383">
        <v>69.0</v>
      </c>
      <c r="B69" s="376" t="s">
        <v>4866</v>
      </c>
      <c r="C69" s="376">
        <v>9.3680006E8</v>
      </c>
      <c r="D69" s="43" t="s">
        <v>111</v>
      </c>
      <c r="E69" s="376" t="s">
        <v>34</v>
      </c>
      <c r="F69" s="383" t="s">
        <v>4865</v>
      </c>
    </row>
    <row r="70" ht="15.75" customHeight="1">
      <c r="A70" s="383">
        <v>70.0</v>
      </c>
      <c r="B70" s="376" t="s">
        <v>4867</v>
      </c>
      <c r="C70" s="376">
        <v>3.6978345E8</v>
      </c>
      <c r="D70" s="43" t="s">
        <v>111</v>
      </c>
      <c r="E70" s="376" t="s">
        <v>34</v>
      </c>
      <c r="F70" s="383" t="s">
        <v>4865</v>
      </c>
    </row>
    <row r="71" ht="15.75" customHeight="1">
      <c r="A71" s="383">
        <v>71.0</v>
      </c>
      <c r="B71" s="376" t="s">
        <v>4868</v>
      </c>
      <c r="C71" s="376">
        <v>7.68454635E8</v>
      </c>
      <c r="D71" s="43" t="s">
        <v>111</v>
      </c>
      <c r="E71" s="376" t="s">
        <v>4785</v>
      </c>
      <c r="F71" s="383" t="s">
        <v>4869</v>
      </c>
    </row>
    <row r="72" ht="15.75" customHeight="1">
      <c r="A72" s="383">
        <v>72.0</v>
      </c>
      <c r="B72" s="376" t="s">
        <v>4870</v>
      </c>
      <c r="C72" s="376">
        <v>8.24583421E8</v>
      </c>
      <c r="D72" s="43" t="s">
        <v>111</v>
      </c>
      <c r="E72" s="376" t="s">
        <v>34</v>
      </c>
      <c r="F72" s="383" t="s">
        <v>4871</v>
      </c>
    </row>
    <row r="73" ht="15.75" customHeight="1">
      <c r="A73" s="383">
        <v>73.0</v>
      </c>
      <c r="B73" s="376" t="s">
        <v>4872</v>
      </c>
      <c r="C73" s="376">
        <v>9.05553058E8</v>
      </c>
      <c r="D73" s="43" t="s">
        <v>111</v>
      </c>
      <c r="E73" s="376" t="s">
        <v>4785</v>
      </c>
      <c r="F73" s="383" t="s">
        <v>4873</v>
      </c>
    </row>
    <row r="74" ht="15.75" customHeight="1">
      <c r="A74" s="383">
        <v>74.0</v>
      </c>
      <c r="B74" s="376" t="s">
        <v>4874</v>
      </c>
      <c r="C74" s="376">
        <v>9.34706132E8</v>
      </c>
      <c r="D74" s="43" t="s">
        <v>111</v>
      </c>
      <c r="E74" s="376" t="s">
        <v>216</v>
      </c>
    </row>
    <row r="75" ht="15.75" customHeight="1">
      <c r="A75" s="383">
        <v>75.0</v>
      </c>
      <c r="B75" s="376" t="s">
        <v>4875</v>
      </c>
      <c r="C75" s="376">
        <v>9.35687148E8</v>
      </c>
      <c r="D75" s="43" t="s">
        <v>111</v>
      </c>
      <c r="E75" s="376" t="s">
        <v>216</v>
      </c>
    </row>
    <row r="76" ht="15.75" customHeight="1">
      <c r="A76" s="383">
        <v>76.0</v>
      </c>
      <c r="B76" s="376" t="s">
        <v>4876</v>
      </c>
      <c r="C76" s="376">
        <v>9.49456034E8</v>
      </c>
      <c r="D76" s="43" t="s">
        <v>111</v>
      </c>
      <c r="E76" s="376" t="s">
        <v>34</v>
      </c>
      <c r="F76" s="383" t="s">
        <v>4877</v>
      </c>
    </row>
    <row r="77" ht="15.75" customHeight="1">
      <c r="A77" s="383">
        <v>77.0</v>
      </c>
      <c r="B77" s="376" t="s">
        <v>4878</v>
      </c>
      <c r="C77" s="376">
        <v>7.64041997E8</v>
      </c>
      <c r="D77" s="43" t="s">
        <v>111</v>
      </c>
      <c r="E77" s="376" t="s">
        <v>34</v>
      </c>
      <c r="F77" s="383" t="s">
        <v>4879</v>
      </c>
    </row>
    <row r="78" ht="15.75" customHeight="1">
      <c r="A78" s="383">
        <v>78.0</v>
      </c>
      <c r="B78" s="376" t="s">
        <v>4878</v>
      </c>
      <c r="C78" s="376">
        <v>7.64041997E8</v>
      </c>
      <c r="D78" s="43" t="s">
        <v>111</v>
      </c>
      <c r="E78" s="376" t="s">
        <v>34</v>
      </c>
    </row>
    <row r="79" ht="15.75" customHeight="1">
      <c r="A79" s="383">
        <v>79.0</v>
      </c>
      <c r="B79" s="376" t="s">
        <v>4880</v>
      </c>
      <c r="C79" s="376">
        <v>7.88633177E8</v>
      </c>
      <c r="D79" s="43" t="s">
        <v>111</v>
      </c>
      <c r="E79" s="376" t="s">
        <v>216</v>
      </c>
    </row>
    <row r="80" ht="15.75" customHeight="1">
      <c r="A80" s="383">
        <v>80.0</v>
      </c>
      <c r="B80" s="376" t="s">
        <v>4881</v>
      </c>
      <c r="C80" s="376">
        <v>9.0522399E8</v>
      </c>
      <c r="D80" s="43" t="s">
        <v>111</v>
      </c>
      <c r="E80" s="376" t="s">
        <v>216</v>
      </c>
    </row>
    <row r="81" ht="15.75" customHeight="1">
      <c r="A81" s="383">
        <v>81.0</v>
      </c>
      <c r="B81" s="376" t="s">
        <v>4882</v>
      </c>
      <c r="C81" s="376">
        <v>9.05101257E8</v>
      </c>
      <c r="D81" s="43" t="s">
        <v>111</v>
      </c>
      <c r="E81" s="376" t="s">
        <v>34</v>
      </c>
      <c r="F81" s="383" t="s">
        <v>4877</v>
      </c>
    </row>
    <row r="82" ht="15.75" customHeight="1">
      <c r="A82" s="383">
        <v>82.0</v>
      </c>
      <c r="B82" s="376" t="s">
        <v>4883</v>
      </c>
      <c r="C82" s="376">
        <v>9.05153409E8</v>
      </c>
      <c r="D82" s="43" t="s">
        <v>111</v>
      </c>
      <c r="E82" s="376" t="s">
        <v>34</v>
      </c>
    </row>
    <row r="83" ht="15.75" customHeight="1">
      <c r="A83" s="383">
        <v>83.0</v>
      </c>
      <c r="B83" s="376" t="s">
        <v>4884</v>
      </c>
      <c r="C83" s="376">
        <v>7.6373282E8</v>
      </c>
      <c r="D83" s="43" t="s">
        <v>111</v>
      </c>
      <c r="E83" s="376" t="s">
        <v>34</v>
      </c>
      <c r="F83" s="383" t="s">
        <v>4885</v>
      </c>
    </row>
    <row r="84" ht="15.75" customHeight="1">
      <c r="A84" s="383">
        <v>84.0</v>
      </c>
      <c r="B84" s="376" t="s">
        <v>4886</v>
      </c>
      <c r="C84" s="376">
        <v>7.02768769E8</v>
      </c>
      <c r="D84" s="43" t="s">
        <v>111</v>
      </c>
      <c r="E84" s="376" t="s">
        <v>34</v>
      </c>
    </row>
    <row r="85" ht="15.75" customHeight="1">
      <c r="A85" s="383">
        <v>85.0</v>
      </c>
      <c r="B85" s="376" t="s">
        <v>4887</v>
      </c>
      <c r="C85" s="376">
        <v>9.37063739E8</v>
      </c>
      <c r="D85" s="43" t="s">
        <v>111</v>
      </c>
      <c r="E85" s="376" t="s">
        <v>34</v>
      </c>
    </row>
    <row r="86" ht="15.75" customHeight="1">
      <c r="A86" s="383">
        <v>86.0</v>
      </c>
      <c r="B86" s="376" t="s">
        <v>4888</v>
      </c>
      <c r="C86" s="376">
        <v>9.06406526E8</v>
      </c>
      <c r="D86" s="43" t="s">
        <v>111</v>
      </c>
      <c r="E86" s="376" t="s">
        <v>34</v>
      </c>
      <c r="F86" s="383" t="s">
        <v>4889</v>
      </c>
    </row>
    <row r="87" ht="15.75" customHeight="1">
      <c r="A87" s="383">
        <v>87.0</v>
      </c>
      <c r="B87" s="376" t="s">
        <v>4890</v>
      </c>
      <c r="C87" s="376">
        <v>9.35697533E8</v>
      </c>
      <c r="D87" s="43" t="s">
        <v>111</v>
      </c>
      <c r="E87" s="376" t="s">
        <v>34</v>
      </c>
      <c r="F87" s="383" t="s">
        <v>4853</v>
      </c>
    </row>
    <row r="88" ht="15.75" customHeight="1">
      <c r="A88" s="383">
        <v>88.0</v>
      </c>
      <c r="B88" s="376" t="s">
        <v>4891</v>
      </c>
      <c r="C88" s="376">
        <v>9.35555248E8</v>
      </c>
      <c r="D88" s="43" t="s">
        <v>111</v>
      </c>
      <c r="E88" s="376" t="s">
        <v>34</v>
      </c>
      <c r="F88" s="383" t="s">
        <v>4892</v>
      </c>
    </row>
    <row r="89" ht="15.75" customHeight="1">
      <c r="A89" s="383">
        <v>89.0</v>
      </c>
      <c r="B89" s="376" t="s">
        <v>4891</v>
      </c>
      <c r="C89" s="376">
        <v>9.35555248E8</v>
      </c>
      <c r="D89" s="43" t="s">
        <v>111</v>
      </c>
      <c r="E89" s="376" t="s">
        <v>34</v>
      </c>
      <c r="F89" s="383" t="s">
        <v>4892</v>
      </c>
    </row>
    <row r="90" ht="15.75" customHeight="1">
      <c r="A90" s="383">
        <v>90.0</v>
      </c>
      <c r="B90" s="376" t="s">
        <v>4893</v>
      </c>
      <c r="C90" s="376">
        <v>9.32558445E8</v>
      </c>
      <c r="D90" s="43" t="s">
        <v>111</v>
      </c>
      <c r="E90" s="376" t="s">
        <v>34</v>
      </c>
      <c r="F90" s="383" t="s">
        <v>4871</v>
      </c>
    </row>
    <row r="91" ht="15.75" customHeight="1">
      <c r="A91" s="383">
        <v>91.0</v>
      </c>
      <c r="B91" s="376" t="s">
        <v>4894</v>
      </c>
      <c r="C91" s="376">
        <v>3.52360897E8</v>
      </c>
      <c r="D91" s="43" t="s">
        <v>111</v>
      </c>
      <c r="E91" s="376" t="s">
        <v>34</v>
      </c>
      <c r="F91" s="383" t="s">
        <v>4895</v>
      </c>
    </row>
    <row r="92" ht="15.75" customHeight="1">
      <c r="A92" s="383">
        <v>92.0</v>
      </c>
      <c r="B92" s="376" t="s">
        <v>4896</v>
      </c>
      <c r="C92" s="376">
        <v>9.69989967E8</v>
      </c>
      <c r="D92" s="43" t="s">
        <v>111</v>
      </c>
      <c r="E92" s="376" t="s">
        <v>34</v>
      </c>
      <c r="F92" s="383" t="s">
        <v>4895</v>
      </c>
    </row>
    <row r="93" ht="15.75" customHeight="1">
      <c r="A93" s="383">
        <v>93.0</v>
      </c>
      <c r="B93" s="376" t="s">
        <v>4896</v>
      </c>
      <c r="C93" s="376">
        <v>9.69989967E8</v>
      </c>
      <c r="D93" s="43" t="s">
        <v>111</v>
      </c>
      <c r="E93" s="376" t="s">
        <v>34</v>
      </c>
      <c r="F93" s="383" t="s">
        <v>4895</v>
      </c>
    </row>
    <row r="94" ht="15.75" customHeight="1">
      <c r="A94" s="383">
        <v>94.0</v>
      </c>
      <c r="B94" s="376" t="s">
        <v>4897</v>
      </c>
      <c r="C94" s="376">
        <v>9.88511797E8</v>
      </c>
      <c r="D94" s="43" t="s">
        <v>111</v>
      </c>
      <c r="E94" s="376" t="s">
        <v>34</v>
      </c>
      <c r="F94" s="383" t="s">
        <v>4898</v>
      </c>
    </row>
    <row r="95" ht="15.75" customHeight="1">
      <c r="A95" s="383">
        <v>95.0</v>
      </c>
      <c r="B95" s="376" t="s">
        <v>4899</v>
      </c>
      <c r="C95" s="376">
        <v>9.74707793E8</v>
      </c>
      <c r="D95" s="43" t="s">
        <v>111</v>
      </c>
      <c r="E95" s="376" t="s">
        <v>34</v>
      </c>
      <c r="F95" s="383" t="s">
        <v>4898</v>
      </c>
    </row>
    <row r="96" ht="15.75" customHeight="1">
      <c r="A96" s="383">
        <v>96.0</v>
      </c>
      <c r="B96" s="376" t="s">
        <v>4899</v>
      </c>
      <c r="C96" s="376">
        <v>9.74707793E8</v>
      </c>
      <c r="D96" s="43" t="s">
        <v>111</v>
      </c>
      <c r="E96" s="376" t="s">
        <v>34</v>
      </c>
      <c r="F96" s="383" t="s">
        <v>4898</v>
      </c>
    </row>
    <row r="97" ht="15.75" customHeight="1">
      <c r="A97" s="383">
        <v>97.0</v>
      </c>
      <c r="B97" s="376" t="s">
        <v>4900</v>
      </c>
      <c r="C97" s="376">
        <v>9.35656322E8</v>
      </c>
      <c r="D97" s="43" t="s">
        <v>111</v>
      </c>
      <c r="E97" s="376" t="s">
        <v>4785</v>
      </c>
      <c r="F97" s="383" t="s">
        <v>4901</v>
      </c>
    </row>
    <row r="98" ht="15.75" customHeight="1">
      <c r="A98" s="383">
        <v>98.0</v>
      </c>
      <c r="B98" s="376" t="s">
        <v>4902</v>
      </c>
      <c r="C98" s="376">
        <v>3.82733138E8</v>
      </c>
      <c r="D98" s="43" t="s">
        <v>111</v>
      </c>
      <c r="E98" s="376" t="s">
        <v>34</v>
      </c>
      <c r="F98" s="383" t="s">
        <v>4898</v>
      </c>
    </row>
    <row r="99" ht="15.75" customHeight="1">
      <c r="A99" s="383">
        <v>99.0</v>
      </c>
      <c r="B99" s="376" t="s">
        <v>4903</v>
      </c>
      <c r="C99" s="376">
        <v>9.05053073E8</v>
      </c>
      <c r="D99" s="43" t="s">
        <v>111</v>
      </c>
      <c r="E99" s="376" t="s">
        <v>34</v>
      </c>
      <c r="F99" s="383" t="s">
        <v>4904</v>
      </c>
    </row>
    <row r="100" ht="15.75" customHeight="1">
      <c r="A100" s="383">
        <v>100.0</v>
      </c>
      <c r="B100" s="376" t="s">
        <v>4905</v>
      </c>
      <c r="C100" s="376">
        <v>9.05926418E8</v>
      </c>
      <c r="D100" s="43" t="s">
        <v>111</v>
      </c>
      <c r="E100" s="376" t="s">
        <v>34</v>
      </c>
    </row>
    <row r="101" ht="15.75" customHeight="1">
      <c r="A101" s="383">
        <v>101.0</v>
      </c>
      <c r="B101" s="376" t="s">
        <v>4906</v>
      </c>
      <c r="C101" s="376">
        <v>3.69506599E8</v>
      </c>
      <c r="D101" s="43" t="s">
        <v>111</v>
      </c>
      <c r="E101" s="376" t="s">
        <v>34</v>
      </c>
    </row>
    <row r="102" ht="15.75" customHeight="1">
      <c r="A102" s="383">
        <v>102.0</v>
      </c>
      <c r="B102" s="376" t="s">
        <v>4906</v>
      </c>
      <c r="C102" s="376">
        <v>3.69506599E8</v>
      </c>
      <c r="D102" s="43" t="s">
        <v>111</v>
      </c>
      <c r="E102" s="376" t="s">
        <v>34</v>
      </c>
    </row>
    <row r="103" ht="15.75" customHeight="1">
      <c r="A103" s="383">
        <v>103.0</v>
      </c>
      <c r="B103" s="376" t="s">
        <v>4907</v>
      </c>
      <c r="C103" s="376">
        <v>9.16814569E8</v>
      </c>
      <c r="D103" s="43" t="s">
        <v>111</v>
      </c>
      <c r="E103" s="376" t="s">
        <v>4785</v>
      </c>
      <c r="F103" s="383" t="s">
        <v>4908</v>
      </c>
    </row>
    <row r="104" ht="15.75" customHeight="1">
      <c r="A104" s="383">
        <v>104.0</v>
      </c>
      <c r="B104" s="376" t="s">
        <v>4907</v>
      </c>
      <c r="C104" s="376">
        <v>9.16814569E8</v>
      </c>
      <c r="D104" s="43" t="s">
        <v>111</v>
      </c>
      <c r="E104" s="376" t="s">
        <v>4785</v>
      </c>
    </row>
    <row r="105" ht="15.75" customHeight="1">
      <c r="A105" s="383">
        <v>105.0</v>
      </c>
      <c r="B105" s="376" t="s">
        <v>4909</v>
      </c>
      <c r="C105" s="376">
        <v>9.35148232E8</v>
      </c>
      <c r="D105" s="43" t="s">
        <v>111</v>
      </c>
      <c r="E105" s="376" t="s">
        <v>4785</v>
      </c>
      <c r="F105" s="383" t="s">
        <v>4908</v>
      </c>
    </row>
    <row r="106" ht="15.75" customHeight="1">
      <c r="A106" s="383">
        <v>106.0</v>
      </c>
      <c r="B106" s="376" t="s">
        <v>4910</v>
      </c>
      <c r="C106" s="376">
        <v>9.32414198E8</v>
      </c>
      <c r="D106" s="43" t="s">
        <v>111</v>
      </c>
      <c r="E106" s="376" t="s">
        <v>4785</v>
      </c>
      <c r="F106" s="383" t="s">
        <v>4911</v>
      </c>
    </row>
    <row r="107" ht="15.75" customHeight="1">
      <c r="A107" s="383">
        <v>107.0</v>
      </c>
      <c r="B107" s="376" t="s">
        <v>4910</v>
      </c>
      <c r="C107" s="376">
        <v>9.32414198E8</v>
      </c>
      <c r="D107" s="43" t="s">
        <v>111</v>
      </c>
      <c r="E107" s="376" t="s">
        <v>4785</v>
      </c>
    </row>
    <row r="108" ht="15.75" customHeight="1">
      <c r="A108" s="383">
        <v>108.0</v>
      </c>
      <c r="B108" s="376" t="s">
        <v>4912</v>
      </c>
      <c r="C108" s="376">
        <v>9.05889211E8</v>
      </c>
      <c r="D108" s="43" t="s">
        <v>111</v>
      </c>
      <c r="E108" s="376" t="s">
        <v>34</v>
      </c>
    </row>
    <row r="109" ht="15.75" customHeight="1">
      <c r="A109" s="383">
        <v>109.0</v>
      </c>
      <c r="B109" s="376" t="s">
        <v>4913</v>
      </c>
      <c r="C109" s="376">
        <v>3.89789352E8</v>
      </c>
      <c r="D109" s="43" t="s">
        <v>111</v>
      </c>
      <c r="E109" s="376" t="s">
        <v>216</v>
      </c>
    </row>
    <row r="110" ht="15.75" customHeight="1">
      <c r="A110" s="383">
        <v>110.0</v>
      </c>
      <c r="B110" s="376" t="s">
        <v>3021</v>
      </c>
      <c r="C110" s="376">
        <v>9.43102911E8</v>
      </c>
      <c r="D110" s="43" t="s">
        <v>111</v>
      </c>
      <c r="E110" s="376" t="s">
        <v>216</v>
      </c>
    </row>
    <row r="111" ht="15.75" customHeight="1">
      <c r="A111" s="383">
        <v>111.0</v>
      </c>
      <c r="B111" s="376" t="s">
        <v>4914</v>
      </c>
      <c r="C111" s="376">
        <v>3.47296864E8</v>
      </c>
      <c r="D111" s="43" t="s">
        <v>111</v>
      </c>
      <c r="E111" s="376" t="s">
        <v>216</v>
      </c>
    </row>
    <row r="112" ht="15.75" customHeight="1">
      <c r="A112" s="383">
        <v>112.0</v>
      </c>
      <c r="B112" s="376" t="s">
        <v>4915</v>
      </c>
      <c r="C112" s="376">
        <v>9.05719359E8</v>
      </c>
      <c r="D112" s="43" t="s">
        <v>111</v>
      </c>
      <c r="E112" s="376" t="s">
        <v>34</v>
      </c>
    </row>
    <row r="113" ht="15.75" customHeight="1">
      <c r="A113" s="383">
        <v>113.0</v>
      </c>
      <c r="B113" s="376" t="s">
        <v>4916</v>
      </c>
      <c r="C113" s="376">
        <v>9.35204686E8</v>
      </c>
      <c r="D113" s="43" t="s">
        <v>111</v>
      </c>
      <c r="E113" s="376" t="s">
        <v>216</v>
      </c>
    </row>
    <row r="114" ht="15.75" customHeight="1">
      <c r="A114" s="383">
        <v>114.0</v>
      </c>
      <c r="B114" s="376" t="s">
        <v>4916</v>
      </c>
      <c r="C114" s="376">
        <v>9.35204686E8</v>
      </c>
      <c r="D114" s="43" t="s">
        <v>111</v>
      </c>
      <c r="E114" s="376" t="s">
        <v>34</v>
      </c>
      <c r="F114" s="383" t="s">
        <v>4917</v>
      </c>
    </row>
    <row r="115" ht="15.75" customHeight="1">
      <c r="A115" s="383">
        <v>115.0</v>
      </c>
      <c r="B115" s="376" t="s">
        <v>4918</v>
      </c>
      <c r="C115" s="376">
        <v>9.84052253E8</v>
      </c>
      <c r="D115" s="43" t="s">
        <v>111</v>
      </c>
      <c r="E115" s="376" t="s">
        <v>34</v>
      </c>
      <c r="F115" s="383" t="s">
        <v>4919</v>
      </c>
    </row>
    <row r="116" ht="15.75" customHeight="1">
      <c r="A116" s="383">
        <v>116.0</v>
      </c>
      <c r="B116" s="376" t="s">
        <v>4918</v>
      </c>
      <c r="C116" s="376">
        <v>9.84052253E8</v>
      </c>
      <c r="D116" s="43" t="s">
        <v>111</v>
      </c>
      <c r="E116" s="376" t="s">
        <v>34</v>
      </c>
    </row>
    <row r="117" ht="15.75" customHeight="1">
      <c r="A117" s="383">
        <v>117.0</v>
      </c>
      <c r="B117" s="376" t="s">
        <v>4920</v>
      </c>
      <c r="C117" s="376">
        <v>9.83616302E8</v>
      </c>
      <c r="D117" s="43" t="s">
        <v>111</v>
      </c>
      <c r="E117" s="376" t="s">
        <v>34</v>
      </c>
      <c r="F117" s="383" t="s">
        <v>4919</v>
      </c>
    </row>
    <row r="118" ht="15.75" customHeight="1">
      <c r="A118" s="383">
        <v>118.0</v>
      </c>
      <c r="B118" s="376" t="s">
        <v>4920</v>
      </c>
      <c r="C118" s="376">
        <v>9.83616302E8</v>
      </c>
      <c r="D118" s="43" t="s">
        <v>111</v>
      </c>
      <c r="E118" s="376" t="s">
        <v>34</v>
      </c>
    </row>
    <row r="119" ht="15.75" customHeight="1">
      <c r="A119" s="383">
        <v>119.0</v>
      </c>
      <c r="B119" s="376" t="s">
        <v>4921</v>
      </c>
      <c r="C119" s="376">
        <v>7.74597122E8</v>
      </c>
      <c r="D119" s="43" t="s">
        <v>111</v>
      </c>
      <c r="E119" s="376" t="s">
        <v>34</v>
      </c>
      <c r="F119" s="383" t="s">
        <v>4898</v>
      </c>
    </row>
    <row r="120" ht="15.75" customHeight="1">
      <c r="A120" s="508">
        <v>45104.0</v>
      </c>
      <c r="B120" s="505"/>
      <c r="C120" s="505"/>
      <c r="D120" s="505"/>
      <c r="E120" s="495"/>
    </row>
    <row r="121" ht="15.75" customHeight="1">
      <c r="A121" s="509">
        <v>1.0</v>
      </c>
      <c r="B121" s="510" t="s">
        <v>4922</v>
      </c>
      <c r="C121" s="511">
        <v>3.28726473E8</v>
      </c>
      <c r="D121" s="294" t="s">
        <v>48</v>
      </c>
      <c r="E121" s="512" t="s">
        <v>34</v>
      </c>
      <c r="F121" s="383" t="s">
        <v>4923</v>
      </c>
    </row>
    <row r="122" ht="15.75" customHeight="1">
      <c r="A122" s="513">
        <v>2.0</v>
      </c>
      <c r="B122" s="514" t="s">
        <v>4924</v>
      </c>
      <c r="C122" s="515">
        <v>9.06401617E8</v>
      </c>
      <c r="D122" s="294" t="s">
        <v>48</v>
      </c>
      <c r="E122" s="512" t="s">
        <v>34</v>
      </c>
      <c r="F122" s="383" t="s">
        <v>4925</v>
      </c>
    </row>
    <row r="123" ht="15.75" customHeight="1">
      <c r="A123" s="513">
        <v>3.0</v>
      </c>
      <c r="B123" s="516" t="s">
        <v>4926</v>
      </c>
      <c r="C123" s="515">
        <v>9.0567243E7</v>
      </c>
      <c r="D123" s="294" t="s">
        <v>48</v>
      </c>
      <c r="E123" s="512" t="s">
        <v>216</v>
      </c>
    </row>
    <row r="124" ht="15.75" customHeight="1">
      <c r="A124" s="513">
        <v>4.0</v>
      </c>
      <c r="B124" s="516" t="s">
        <v>4926</v>
      </c>
      <c r="C124" s="515">
        <v>9.05670243E8</v>
      </c>
      <c r="D124" s="294" t="s">
        <v>48</v>
      </c>
      <c r="E124" s="512" t="s">
        <v>216</v>
      </c>
      <c r="F124" s="383" t="s">
        <v>4927</v>
      </c>
    </row>
    <row r="125" ht="15.75" customHeight="1">
      <c r="A125" s="513">
        <v>5.0</v>
      </c>
      <c r="B125" s="514" t="s">
        <v>4928</v>
      </c>
      <c r="C125" s="515">
        <v>9.35282246E8</v>
      </c>
      <c r="D125" s="294" t="s">
        <v>48</v>
      </c>
      <c r="E125" s="512" t="s">
        <v>34</v>
      </c>
      <c r="F125" s="383" t="s">
        <v>4929</v>
      </c>
    </row>
    <row r="126" ht="15.75" customHeight="1">
      <c r="A126" s="513">
        <v>6.0</v>
      </c>
      <c r="B126" s="514" t="s">
        <v>4930</v>
      </c>
      <c r="C126" s="515">
        <v>9.34891831E8</v>
      </c>
      <c r="D126" s="294" t="s">
        <v>48</v>
      </c>
      <c r="E126" s="512" t="s">
        <v>34</v>
      </c>
      <c r="F126" s="383" t="s">
        <v>4931</v>
      </c>
    </row>
    <row r="127" ht="15.75" customHeight="1">
      <c r="A127" s="513">
        <v>7.0</v>
      </c>
      <c r="B127" s="516" t="s">
        <v>4776</v>
      </c>
      <c r="C127" s="515">
        <v>6403677.0</v>
      </c>
      <c r="D127" s="294" t="s">
        <v>48</v>
      </c>
      <c r="E127" s="512"/>
    </row>
    <row r="128" ht="15.75" customHeight="1">
      <c r="A128" s="513">
        <v>8.0</v>
      </c>
      <c r="B128" s="516" t="s">
        <v>4776</v>
      </c>
      <c r="C128" s="515">
        <v>9.05200977E8</v>
      </c>
      <c r="D128" s="294" t="s">
        <v>48</v>
      </c>
      <c r="E128" s="512" t="s">
        <v>4782</v>
      </c>
    </row>
    <row r="129" ht="15.75" customHeight="1">
      <c r="A129" s="513">
        <v>9.0</v>
      </c>
      <c r="B129" s="514" t="s">
        <v>4932</v>
      </c>
      <c r="C129" s="515">
        <v>9.82555613E8</v>
      </c>
      <c r="D129" s="294" t="s">
        <v>48</v>
      </c>
      <c r="E129" s="512" t="s">
        <v>4785</v>
      </c>
      <c r="F129" s="383" t="s">
        <v>4933</v>
      </c>
    </row>
    <row r="130" ht="15.75" customHeight="1">
      <c r="A130" s="513">
        <v>10.0</v>
      </c>
      <c r="B130" s="516" t="s">
        <v>4934</v>
      </c>
      <c r="C130" s="515">
        <v>3.98491983E8</v>
      </c>
      <c r="D130" s="294" t="s">
        <v>48</v>
      </c>
      <c r="E130" s="512" t="s">
        <v>34</v>
      </c>
      <c r="F130" s="383" t="s">
        <v>4935</v>
      </c>
    </row>
    <row r="131" ht="15.75" customHeight="1">
      <c r="A131" s="513">
        <v>11.0</v>
      </c>
      <c r="B131" s="516" t="s">
        <v>4934</v>
      </c>
      <c r="C131" s="515">
        <v>9.3534841E8</v>
      </c>
      <c r="D131" s="294" t="s">
        <v>48</v>
      </c>
      <c r="E131" s="512" t="s">
        <v>34</v>
      </c>
      <c r="F131" s="383" t="s">
        <v>4792</v>
      </c>
    </row>
    <row r="132" ht="15.75" customHeight="1">
      <c r="A132" s="513">
        <v>12.0</v>
      </c>
      <c r="B132" s="514" t="s">
        <v>4936</v>
      </c>
      <c r="C132" s="515">
        <v>9.35599635E8</v>
      </c>
      <c r="D132" s="294" t="s">
        <v>48</v>
      </c>
      <c r="E132" s="512" t="s">
        <v>216</v>
      </c>
      <c r="F132" s="383" t="s">
        <v>4849</v>
      </c>
    </row>
    <row r="133" ht="15.75" customHeight="1">
      <c r="A133" s="513">
        <v>13.0</v>
      </c>
      <c r="B133" s="514" t="s">
        <v>1453</v>
      </c>
      <c r="C133" s="515">
        <v>3.78803489E8</v>
      </c>
      <c r="D133" s="294" t="s">
        <v>48</v>
      </c>
      <c r="E133" s="512" t="s">
        <v>4785</v>
      </c>
      <c r="F133" s="383" t="s">
        <v>480</v>
      </c>
    </row>
    <row r="134" ht="15.75" customHeight="1">
      <c r="A134" s="513">
        <v>14.0</v>
      </c>
      <c r="B134" s="514" t="s">
        <v>4937</v>
      </c>
      <c r="C134" s="515">
        <v>9.32574821E8</v>
      </c>
      <c r="D134" s="294" t="s">
        <v>48</v>
      </c>
      <c r="E134" s="512" t="s">
        <v>4785</v>
      </c>
      <c r="F134" s="383" t="s">
        <v>4935</v>
      </c>
    </row>
    <row r="135" ht="15.75" customHeight="1">
      <c r="A135" s="513">
        <v>15.0</v>
      </c>
      <c r="B135" s="514" t="s">
        <v>4938</v>
      </c>
      <c r="C135" s="515">
        <v>9.32558762E8</v>
      </c>
      <c r="D135" s="294" t="s">
        <v>48</v>
      </c>
      <c r="E135" s="512" t="s">
        <v>4785</v>
      </c>
      <c r="F135" s="383" t="s">
        <v>4935</v>
      </c>
    </row>
    <row r="136" ht="15.75" customHeight="1">
      <c r="A136" s="513">
        <v>16.0</v>
      </c>
      <c r="B136" s="514" t="s">
        <v>4939</v>
      </c>
      <c r="C136" s="515">
        <v>9.12869786E8</v>
      </c>
      <c r="D136" s="294" t="s">
        <v>48</v>
      </c>
      <c r="E136" s="512" t="s">
        <v>216</v>
      </c>
      <c r="F136" s="383" t="s">
        <v>4792</v>
      </c>
    </row>
    <row r="137" ht="15.75" customHeight="1">
      <c r="A137" s="513">
        <v>17.0</v>
      </c>
      <c r="B137" s="514" t="s">
        <v>4940</v>
      </c>
      <c r="C137" s="515">
        <v>9.65161949E8</v>
      </c>
      <c r="D137" s="294" t="s">
        <v>48</v>
      </c>
      <c r="E137" s="512" t="s">
        <v>216</v>
      </c>
      <c r="F137" s="383" t="s">
        <v>4792</v>
      </c>
    </row>
    <row r="138" ht="15.75" customHeight="1">
      <c r="A138" s="513">
        <v>18.0</v>
      </c>
      <c r="B138" s="514" t="s">
        <v>4941</v>
      </c>
      <c r="C138" s="515">
        <v>9.05200203E8</v>
      </c>
      <c r="D138" s="294" t="s">
        <v>48</v>
      </c>
      <c r="E138" s="512" t="s">
        <v>216</v>
      </c>
      <c r="F138" s="383" t="s">
        <v>4792</v>
      </c>
    </row>
    <row r="139" ht="15.75" customHeight="1">
      <c r="A139" s="513">
        <v>19.0</v>
      </c>
      <c r="B139" s="514" t="s">
        <v>4778</v>
      </c>
      <c r="C139" s="515">
        <v>9.13954473E8</v>
      </c>
      <c r="D139" s="294" t="s">
        <v>48</v>
      </c>
      <c r="E139" s="512" t="s">
        <v>216</v>
      </c>
      <c r="F139" s="383" t="s">
        <v>4942</v>
      </c>
    </row>
    <row r="140" ht="15.75" customHeight="1">
      <c r="A140" s="513">
        <v>20.0</v>
      </c>
      <c r="B140" s="514" t="s">
        <v>4943</v>
      </c>
      <c r="C140" s="515">
        <v>9.18255349E8</v>
      </c>
      <c r="D140" s="294" t="s">
        <v>48</v>
      </c>
      <c r="E140" s="512" t="s">
        <v>4785</v>
      </c>
      <c r="F140" s="383" t="s">
        <v>4944</v>
      </c>
    </row>
    <row r="141" ht="15.75" customHeight="1">
      <c r="A141" s="513">
        <v>21.0</v>
      </c>
      <c r="B141" s="514" t="s">
        <v>4945</v>
      </c>
      <c r="C141" s="515">
        <v>9.83512319E8</v>
      </c>
      <c r="D141" s="294" t="s">
        <v>48</v>
      </c>
      <c r="E141" s="512" t="s">
        <v>34</v>
      </c>
      <c r="F141" s="383" t="s">
        <v>4946</v>
      </c>
    </row>
    <row r="142" ht="15.75" customHeight="1">
      <c r="A142" s="513">
        <v>22.0</v>
      </c>
      <c r="B142" s="514" t="s">
        <v>4947</v>
      </c>
      <c r="C142" s="515" t="s">
        <v>4948</v>
      </c>
      <c r="D142" s="294" t="s">
        <v>48</v>
      </c>
      <c r="E142" s="512" t="s">
        <v>34</v>
      </c>
      <c r="F142" s="383" t="s">
        <v>4949</v>
      </c>
    </row>
    <row r="143" ht="15.75" customHeight="1">
      <c r="A143" s="513">
        <v>23.0</v>
      </c>
      <c r="B143" s="516" t="s">
        <v>4950</v>
      </c>
      <c r="C143" s="515">
        <v>9.3778929E7</v>
      </c>
      <c r="D143" s="294" t="s">
        <v>48</v>
      </c>
      <c r="E143" s="512" t="s">
        <v>216</v>
      </c>
    </row>
    <row r="144" ht="15.75" customHeight="1">
      <c r="A144" s="513">
        <v>24.0</v>
      </c>
      <c r="B144" s="516" t="s">
        <v>4950</v>
      </c>
      <c r="C144" s="515">
        <v>7.95667688E8</v>
      </c>
      <c r="D144" s="294" t="s">
        <v>48</v>
      </c>
      <c r="E144" s="512" t="s">
        <v>216</v>
      </c>
    </row>
    <row r="145" ht="15.75" customHeight="1">
      <c r="A145" s="513">
        <v>25.0</v>
      </c>
      <c r="B145" s="516" t="s">
        <v>4950</v>
      </c>
      <c r="C145" s="515">
        <v>9.13499656E8</v>
      </c>
      <c r="D145" s="294" t="s">
        <v>48</v>
      </c>
      <c r="E145" s="512"/>
    </row>
    <row r="146" ht="15.75" customHeight="1">
      <c r="A146" s="513">
        <v>26.0</v>
      </c>
      <c r="B146" s="514" t="s">
        <v>4951</v>
      </c>
      <c r="C146" s="515">
        <v>9.35325747E8</v>
      </c>
      <c r="D146" s="294" t="s">
        <v>48</v>
      </c>
      <c r="E146" s="512" t="s">
        <v>4785</v>
      </c>
      <c r="F146" s="383" t="s">
        <v>4952</v>
      </c>
    </row>
    <row r="147" ht="15.75" customHeight="1">
      <c r="A147" s="513">
        <v>27.0</v>
      </c>
      <c r="B147" s="514" t="s">
        <v>4953</v>
      </c>
      <c r="C147" s="515">
        <v>9.73021365E8</v>
      </c>
      <c r="D147" s="294" t="s">
        <v>48</v>
      </c>
      <c r="E147" s="512" t="s">
        <v>216</v>
      </c>
      <c r="F147" s="383" t="s">
        <v>4942</v>
      </c>
    </row>
    <row r="148" ht="15.75" customHeight="1">
      <c r="A148" s="513">
        <v>28.0</v>
      </c>
      <c r="B148" s="514" t="s">
        <v>4954</v>
      </c>
      <c r="C148" s="515">
        <v>9.06527225E8</v>
      </c>
      <c r="D148" s="294" t="s">
        <v>48</v>
      </c>
      <c r="E148" s="512" t="s">
        <v>34</v>
      </c>
      <c r="F148" s="383" t="s">
        <v>4955</v>
      </c>
    </row>
    <row r="149" ht="15.75" customHeight="1">
      <c r="A149" s="513">
        <v>29.0</v>
      </c>
      <c r="B149" s="514" t="s">
        <v>4956</v>
      </c>
      <c r="C149" s="515">
        <v>9.38806618E8</v>
      </c>
      <c r="D149" s="294" t="s">
        <v>48</v>
      </c>
      <c r="E149" s="512" t="s">
        <v>34</v>
      </c>
      <c r="F149" s="383" t="s">
        <v>4957</v>
      </c>
    </row>
    <row r="150" ht="15.75" customHeight="1">
      <c r="A150" s="513">
        <v>30.0</v>
      </c>
      <c r="B150" s="516" t="s">
        <v>4958</v>
      </c>
      <c r="C150" s="515">
        <v>9.35029929E8</v>
      </c>
      <c r="D150" s="294" t="s">
        <v>48</v>
      </c>
      <c r="E150" s="512" t="s">
        <v>34</v>
      </c>
      <c r="F150" s="383" t="s">
        <v>4959</v>
      </c>
    </row>
    <row r="151" ht="15.75" customHeight="1">
      <c r="A151" s="513">
        <v>31.0</v>
      </c>
      <c r="B151" s="516" t="s">
        <v>4960</v>
      </c>
      <c r="C151" s="515">
        <v>9.35584899E8</v>
      </c>
      <c r="D151" s="294" t="s">
        <v>48</v>
      </c>
      <c r="E151" s="512" t="s">
        <v>34</v>
      </c>
      <c r="F151" s="383" t="s">
        <v>4961</v>
      </c>
    </row>
    <row r="152" ht="15.75" customHeight="1">
      <c r="A152" s="513">
        <v>32.0</v>
      </c>
      <c r="B152" s="514" t="s">
        <v>4962</v>
      </c>
      <c r="C152" s="515">
        <v>9.75257945E8</v>
      </c>
      <c r="D152" s="294" t="s">
        <v>48</v>
      </c>
      <c r="E152" s="512" t="s">
        <v>216</v>
      </c>
    </row>
    <row r="153" ht="15.75" customHeight="1">
      <c r="A153" s="513">
        <v>33.0</v>
      </c>
      <c r="B153" s="514" t="s">
        <v>4963</v>
      </c>
      <c r="C153" s="515">
        <v>9.61965574E8</v>
      </c>
      <c r="D153" s="294" t="s">
        <v>48</v>
      </c>
      <c r="E153" s="512" t="s">
        <v>34</v>
      </c>
    </row>
    <row r="154" ht="15.75" customHeight="1">
      <c r="A154" s="513">
        <v>34.0</v>
      </c>
      <c r="B154" s="516" t="s">
        <v>4964</v>
      </c>
      <c r="C154" s="515">
        <v>9.35088008E8</v>
      </c>
      <c r="D154" s="294" t="s">
        <v>48</v>
      </c>
      <c r="E154" s="512" t="s">
        <v>216</v>
      </c>
      <c r="F154" s="383" t="s">
        <v>4792</v>
      </c>
    </row>
    <row r="155" ht="15.75" customHeight="1">
      <c r="A155" s="513">
        <v>35.0</v>
      </c>
      <c r="B155" s="516" t="s">
        <v>4964</v>
      </c>
      <c r="C155" s="515">
        <v>9.82828553E8</v>
      </c>
      <c r="D155" s="294" t="s">
        <v>48</v>
      </c>
      <c r="E155" s="512" t="s">
        <v>4785</v>
      </c>
      <c r="F155" s="383" t="s">
        <v>4965</v>
      </c>
    </row>
    <row r="156" ht="15.75" customHeight="1">
      <c r="A156" s="513">
        <v>36.0</v>
      </c>
      <c r="B156" s="514" t="s">
        <v>4966</v>
      </c>
      <c r="C156" s="515">
        <v>9.05053395E8</v>
      </c>
      <c r="D156" s="294" t="s">
        <v>48</v>
      </c>
      <c r="E156" s="512" t="s">
        <v>34</v>
      </c>
      <c r="F156" s="383" t="s">
        <v>4967</v>
      </c>
    </row>
    <row r="157" ht="15.75" customHeight="1">
      <c r="A157" s="513">
        <v>37.0</v>
      </c>
      <c r="B157" s="514" t="s">
        <v>4968</v>
      </c>
      <c r="C157" s="517" t="s">
        <v>4969</v>
      </c>
      <c r="D157" s="294" t="s">
        <v>48</v>
      </c>
      <c r="E157" s="512"/>
    </row>
    <row r="158" ht="15.75" customHeight="1">
      <c r="A158" s="513">
        <v>38.0</v>
      </c>
      <c r="B158" s="514" t="s">
        <v>4970</v>
      </c>
      <c r="C158" s="515">
        <v>9.34882267E8</v>
      </c>
      <c r="D158" s="294" t="s">
        <v>48</v>
      </c>
      <c r="E158" s="512" t="s">
        <v>216</v>
      </c>
      <c r="F158" s="383" t="s">
        <v>4792</v>
      </c>
    </row>
    <row r="159" ht="15.75" customHeight="1">
      <c r="A159" s="513">
        <v>39.0</v>
      </c>
      <c r="B159" s="514" t="s">
        <v>1164</v>
      </c>
      <c r="C159" s="515">
        <v>9.84863378E8</v>
      </c>
      <c r="D159" s="294" t="s">
        <v>48</v>
      </c>
      <c r="E159" s="512" t="s">
        <v>34</v>
      </c>
      <c r="F159" s="383" t="s">
        <v>4815</v>
      </c>
    </row>
    <row r="160" ht="15.75" customHeight="1">
      <c r="A160" s="513">
        <v>40.0</v>
      </c>
      <c r="B160" s="514" t="s">
        <v>4971</v>
      </c>
      <c r="C160" s="515">
        <v>9.46118579E8</v>
      </c>
      <c r="D160" s="294" t="s">
        <v>48</v>
      </c>
      <c r="E160" s="512" t="s">
        <v>216</v>
      </c>
      <c r="F160" s="383" t="s">
        <v>4942</v>
      </c>
    </row>
    <row r="161" ht="15.75" customHeight="1">
      <c r="A161" s="513">
        <v>41.0</v>
      </c>
      <c r="B161" s="516" t="s">
        <v>4972</v>
      </c>
      <c r="C161" s="515">
        <v>7.75418432E8</v>
      </c>
      <c r="D161" s="294" t="s">
        <v>48</v>
      </c>
      <c r="E161" s="512" t="s">
        <v>4785</v>
      </c>
      <c r="F161" s="383" t="s">
        <v>4973</v>
      </c>
    </row>
    <row r="162" ht="15.75" customHeight="1">
      <c r="A162" s="513">
        <v>42.0</v>
      </c>
      <c r="B162" s="516" t="s">
        <v>4972</v>
      </c>
      <c r="C162" s="517" t="s">
        <v>4974</v>
      </c>
      <c r="D162" s="294" t="s">
        <v>48</v>
      </c>
      <c r="E162" s="512" t="s">
        <v>216</v>
      </c>
    </row>
    <row r="163" ht="15.75" customHeight="1">
      <c r="A163" s="513">
        <v>43.0</v>
      </c>
      <c r="B163" s="514" t="s">
        <v>4975</v>
      </c>
      <c r="C163" s="515">
        <v>9.65366442E8</v>
      </c>
      <c r="D163" s="294" t="s">
        <v>48</v>
      </c>
      <c r="E163" s="512" t="s">
        <v>34</v>
      </c>
      <c r="F163" s="383" t="s">
        <v>4976</v>
      </c>
    </row>
    <row r="164" ht="15.75" customHeight="1">
      <c r="A164" s="513">
        <v>44.0</v>
      </c>
      <c r="B164" s="514" t="s">
        <v>4977</v>
      </c>
      <c r="C164" s="515">
        <v>9.14267474E8</v>
      </c>
      <c r="D164" s="294" t="s">
        <v>48</v>
      </c>
      <c r="E164" s="512" t="s">
        <v>34</v>
      </c>
      <c r="F164" s="383" t="s">
        <v>4978</v>
      </c>
    </row>
    <row r="165" ht="15.75" customHeight="1">
      <c r="A165" s="513">
        <v>45.0</v>
      </c>
      <c r="B165" s="514" t="s">
        <v>4979</v>
      </c>
      <c r="C165" s="515">
        <v>9.3550788E8</v>
      </c>
      <c r="D165" s="294" t="s">
        <v>48</v>
      </c>
      <c r="E165" s="512" t="s">
        <v>34</v>
      </c>
      <c r="F165" s="383" t="s">
        <v>4980</v>
      </c>
    </row>
    <row r="166" ht="15.75" customHeight="1">
      <c r="A166" s="513">
        <v>46.0</v>
      </c>
      <c r="B166" s="514" t="s">
        <v>4780</v>
      </c>
      <c r="C166" s="515">
        <v>9.06504323E8</v>
      </c>
      <c r="D166" s="294" t="s">
        <v>48</v>
      </c>
      <c r="E166" s="512" t="s">
        <v>216</v>
      </c>
      <c r="F166" s="383" t="s">
        <v>4981</v>
      </c>
    </row>
    <row r="167" ht="15.75" customHeight="1">
      <c r="A167" s="513">
        <v>47.0</v>
      </c>
      <c r="B167" s="514" t="s">
        <v>4982</v>
      </c>
      <c r="C167" s="515">
        <v>9.05864183E8</v>
      </c>
      <c r="D167" s="294" t="s">
        <v>48</v>
      </c>
      <c r="E167" s="512" t="s">
        <v>4785</v>
      </c>
      <c r="F167" s="518" t="s">
        <v>4983</v>
      </c>
    </row>
    <row r="168" ht="15.75" customHeight="1">
      <c r="A168" s="513">
        <v>48.0</v>
      </c>
      <c r="B168" s="514" t="s">
        <v>4984</v>
      </c>
      <c r="C168" s="515">
        <v>9.05535378E8</v>
      </c>
      <c r="D168" s="294" t="s">
        <v>48</v>
      </c>
      <c r="E168" s="512" t="s">
        <v>34</v>
      </c>
      <c r="F168" s="383" t="s">
        <v>4985</v>
      </c>
    </row>
    <row r="169" ht="15.75" customHeight="1">
      <c r="A169" s="513">
        <v>49.0</v>
      </c>
      <c r="B169" s="514" t="s">
        <v>4986</v>
      </c>
      <c r="C169" s="515">
        <v>9.03599914E8</v>
      </c>
      <c r="D169" s="294" t="s">
        <v>48</v>
      </c>
      <c r="E169" s="512" t="s">
        <v>216</v>
      </c>
    </row>
    <row r="170" ht="15.75" customHeight="1">
      <c r="A170" s="513">
        <v>50.0</v>
      </c>
      <c r="B170" s="514" t="s">
        <v>4987</v>
      </c>
      <c r="C170" s="515">
        <v>3.86056829E8</v>
      </c>
      <c r="D170" s="294" t="s">
        <v>48</v>
      </c>
      <c r="E170" s="512" t="s">
        <v>34</v>
      </c>
      <c r="F170" s="383" t="s">
        <v>4777</v>
      </c>
    </row>
    <row r="171" ht="15.75" customHeight="1">
      <c r="A171" s="513">
        <v>51.0</v>
      </c>
      <c r="B171" s="514" t="s">
        <v>4988</v>
      </c>
      <c r="C171" s="515">
        <v>9.05172067E8</v>
      </c>
      <c r="D171" s="294" t="s">
        <v>111</v>
      </c>
      <c r="E171" s="512" t="s">
        <v>34</v>
      </c>
      <c r="F171" s="383" t="s">
        <v>4989</v>
      </c>
    </row>
    <row r="172" ht="15.75" customHeight="1">
      <c r="A172" s="513">
        <v>52.0</v>
      </c>
      <c r="B172" s="514" t="s">
        <v>4990</v>
      </c>
      <c r="C172" s="515">
        <v>9.83274484E8</v>
      </c>
      <c r="D172" s="294" t="s">
        <v>111</v>
      </c>
      <c r="E172" s="512" t="s">
        <v>34</v>
      </c>
      <c r="F172" s="383" t="s">
        <v>4991</v>
      </c>
    </row>
    <row r="173" ht="15.75" customHeight="1">
      <c r="A173" s="513">
        <v>53.0</v>
      </c>
      <c r="B173" s="514" t="s">
        <v>4992</v>
      </c>
      <c r="C173" s="515">
        <v>9.0519282E8</v>
      </c>
      <c r="D173" s="294" t="s">
        <v>111</v>
      </c>
      <c r="E173" s="512" t="s">
        <v>34</v>
      </c>
      <c r="F173" s="383" t="s">
        <v>4993</v>
      </c>
    </row>
    <row r="174" ht="15.75" customHeight="1">
      <c r="A174" s="513">
        <v>54.0</v>
      </c>
      <c r="B174" s="514" t="s">
        <v>4994</v>
      </c>
      <c r="C174" s="515">
        <v>9.87255809E8</v>
      </c>
      <c r="D174" s="294" t="s">
        <v>111</v>
      </c>
      <c r="E174" s="512" t="s">
        <v>34</v>
      </c>
    </row>
    <row r="175" ht="15.75" customHeight="1">
      <c r="A175" s="513">
        <v>55.0</v>
      </c>
      <c r="B175" s="514" t="s">
        <v>4902</v>
      </c>
      <c r="C175" s="515">
        <v>3.8273313E8</v>
      </c>
      <c r="D175" s="294" t="s">
        <v>111</v>
      </c>
      <c r="E175" s="512" t="s">
        <v>34</v>
      </c>
    </row>
    <row r="176" ht="15.75" customHeight="1">
      <c r="A176" s="513">
        <v>56.0</v>
      </c>
      <c r="B176" s="514" t="s">
        <v>4995</v>
      </c>
      <c r="C176" s="515">
        <v>9.34835399E8</v>
      </c>
      <c r="D176" s="294" t="s">
        <v>111</v>
      </c>
      <c r="E176" s="512" t="s">
        <v>216</v>
      </c>
      <c r="F176" s="383" t="s">
        <v>4853</v>
      </c>
    </row>
    <row r="177" ht="15.75" customHeight="1">
      <c r="A177" s="513">
        <v>57.0</v>
      </c>
      <c r="B177" s="514" t="s">
        <v>4996</v>
      </c>
      <c r="C177" s="515">
        <v>9.72801147E8</v>
      </c>
      <c r="D177" s="294" t="s">
        <v>111</v>
      </c>
      <c r="E177" s="512" t="s">
        <v>216</v>
      </c>
      <c r="F177" s="383" t="s">
        <v>4997</v>
      </c>
    </row>
    <row r="178" ht="15.75" customHeight="1">
      <c r="A178" s="513">
        <v>58.0</v>
      </c>
      <c r="B178" s="514" t="s">
        <v>3948</v>
      </c>
      <c r="C178" s="519">
        <v>9.82190195E8</v>
      </c>
      <c r="D178" s="294" t="s">
        <v>111</v>
      </c>
      <c r="E178" s="512" t="s">
        <v>4782</v>
      </c>
    </row>
    <row r="179" ht="15.75" customHeight="1">
      <c r="A179" s="513">
        <v>59.0</v>
      </c>
      <c r="B179" s="514" t="s">
        <v>4781</v>
      </c>
      <c r="C179" s="515">
        <v>7.74193052E8</v>
      </c>
      <c r="D179" s="294" t="s">
        <v>111</v>
      </c>
      <c r="E179" s="512" t="s">
        <v>216</v>
      </c>
    </row>
    <row r="180" ht="15.75" customHeight="1">
      <c r="A180" s="513">
        <v>60.0</v>
      </c>
      <c r="B180" s="514" t="s">
        <v>4998</v>
      </c>
      <c r="C180" s="515">
        <v>9.05424227E8</v>
      </c>
      <c r="D180" s="294" t="s">
        <v>111</v>
      </c>
      <c r="E180" s="512" t="s">
        <v>216</v>
      </c>
      <c r="F180" s="383" t="s">
        <v>4853</v>
      </c>
    </row>
    <row r="181" ht="15.75" customHeight="1">
      <c r="A181" s="513">
        <v>61.0</v>
      </c>
      <c r="B181" s="514" t="s">
        <v>4903</v>
      </c>
      <c r="C181" s="515">
        <v>9.05053073E8</v>
      </c>
      <c r="D181" s="294" t="s">
        <v>111</v>
      </c>
      <c r="E181" s="512" t="s">
        <v>34</v>
      </c>
      <c r="F181" s="383" t="s">
        <v>4999</v>
      </c>
    </row>
    <row r="182" ht="15.75" customHeight="1">
      <c r="A182" s="513">
        <v>62.0</v>
      </c>
      <c r="B182" s="514" t="s">
        <v>5000</v>
      </c>
      <c r="C182" s="515">
        <v>9.05172041E8</v>
      </c>
      <c r="D182" s="294" t="s">
        <v>111</v>
      </c>
      <c r="E182" s="512" t="s">
        <v>34</v>
      </c>
      <c r="F182" s="383" t="s">
        <v>4871</v>
      </c>
    </row>
    <row r="183" ht="15.75" customHeight="1">
      <c r="A183" s="513">
        <v>63.0</v>
      </c>
      <c r="B183" s="516" t="s">
        <v>5001</v>
      </c>
      <c r="C183" s="515">
        <v>9.1447438E7</v>
      </c>
      <c r="D183" s="294" t="s">
        <v>111</v>
      </c>
      <c r="E183" s="512" t="s">
        <v>216</v>
      </c>
      <c r="F183" s="383" t="s">
        <v>5002</v>
      </c>
    </row>
    <row r="184" ht="15.75" customHeight="1">
      <c r="A184" s="513">
        <v>64.0</v>
      </c>
      <c r="B184" s="520" t="s">
        <v>5003</v>
      </c>
      <c r="C184" s="521">
        <v>8.27515233E8</v>
      </c>
      <c r="D184" s="294" t="s">
        <v>111</v>
      </c>
      <c r="E184" s="512" t="s">
        <v>34</v>
      </c>
      <c r="F184" s="383" t="s">
        <v>4871</v>
      </c>
    </row>
    <row r="185" ht="15.75" customHeight="1">
      <c r="A185" s="513">
        <v>65.0</v>
      </c>
      <c r="B185" s="514" t="s">
        <v>5004</v>
      </c>
      <c r="C185" s="515">
        <v>9.35838237E8</v>
      </c>
      <c r="D185" s="294" t="s">
        <v>111</v>
      </c>
      <c r="E185" s="512" t="s">
        <v>216</v>
      </c>
      <c r="F185" s="383" t="s">
        <v>4096</v>
      </c>
    </row>
    <row r="186" ht="15.75" customHeight="1">
      <c r="A186" s="513">
        <v>66.0</v>
      </c>
      <c r="B186" s="516" t="s">
        <v>5005</v>
      </c>
      <c r="C186" s="515">
        <v>9.83221448E8</v>
      </c>
      <c r="D186" s="294" t="s">
        <v>111</v>
      </c>
      <c r="E186" s="512" t="s">
        <v>34</v>
      </c>
      <c r="F186" s="383" t="s">
        <v>5006</v>
      </c>
    </row>
    <row r="187" ht="15.75" customHeight="1">
      <c r="A187" s="513">
        <v>67.0</v>
      </c>
      <c r="B187" s="514" t="s">
        <v>1554</v>
      </c>
      <c r="C187" s="519">
        <v>9.05123029E8</v>
      </c>
      <c r="D187" s="294" t="s">
        <v>111</v>
      </c>
      <c r="E187" s="512" t="s">
        <v>4782</v>
      </c>
    </row>
    <row r="188" ht="15.75" customHeight="1">
      <c r="A188" s="513">
        <v>68.0</v>
      </c>
      <c r="B188" s="514" t="s">
        <v>1556</v>
      </c>
      <c r="C188" s="519">
        <v>9.05123029E8</v>
      </c>
      <c r="D188" s="294" t="s">
        <v>111</v>
      </c>
      <c r="E188" s="512" t="s">
        <v>4782</v>
      </c>
    </row>
    <row r="189" ht="15.75" customHeight="1">
      <c r="A189" s="513">
        <v>69.0</v>
      </c>
      <c r="B189" s="514" t="s">
        <v>5007</v>
      </c>
      <c r="C189" s="515">
        <v>9.33542056E8</v>
      </c>
      <c r="D189" s="294" t="s">
        <v>111</v>
      </c>
      <c r="E189" s="512" t="s">
        <v>34</v>
      </c>
      <c r="F189" s="383" t="s">
        <v>5008</v>
      </c>
    </row>
    <row r="190" ht="15.75" customHeight="1">
      <c r="A190" s="513">
        <v>70.0</v>
      </c>
      <c r="B190" s="514" t="s">
        <v>5009</v>
      </c>
      <c r="C190" s="515">
        <v>9.05218027E8</v>
      </c>
      <c r="D190" s="294" t="s">
        <v>111</v>
      </c>
      <c r="E190" s="512" t="s">
        <v>216</v>
      </c>
    </row>
    <row r="191" ht="15.75" customHeight="1">
      <c r="A191" s="513">
        <v>71.0</v>
      </c>
      <c r="B191" s="514" t="s">
        <v>5010</v>
      </c>
      <c r="C191" s="515">
        <v>9.08821018E8</v>
      </c>
      <c r="D191" s="294" t="s">
        <v>111</v>
      </c>
      <c r="E191" s="512" t="s">
        <v>34</v>
      </c>
      <c r="F191" s="383" t="s">
        <v>4898</v>
      </c>
    </row>
    <row r="192" ht="15.75" customHeight="1">
      <c r="A192" s="513">
        <v>72.0</v>
      </c>
      <c r="B192" s="514" t="s">
        <v>5011</v>
      </c>
      <c r="C192" s="515">
        <v>9.87474352E8</v>
      </c>
      <c r="D192" s="294" t="s">
        <v>111</v>
      </c>
      <c r="E192" s="512" t="s">
        <v>34</v>
      </c>
      <c r="F192" s="383" t="s">
        <v>4898</v>
      </c>
    </row>
    <row r="193" ht="15.75" customHeight="1">
      <c r="A193" s="513">
        <v>73.0</v>
      </c>
      <c r="B193" s="516" t="s">
        <v>5012</v>
      </c>
      <c r="C193" s="515">
        <v>8.66191019E8</v>
      </c>
      <c r="D193" s="294" t="s">
        <v>111</v>
      </c>
      <c r="E193" s="512" t="s">
        <v>34</v>
      </c>
      <c r="F193" s="383" t="s">
        <v>4898</v>
      </c>
    </row>
    <row r="194" ht="15.75" customHeight="1">
      <c r="A194" s="513">
        <v>74.0</v>
      </c>
      <c r="B194" s="514" t="s">
        <v>5013</v>
      </c>
      <c r="C194" s="515">
        <v>9.05135402E8</v>
      </c>
      <c r="D194" s="294" t="s">
        <v>111</v>
      </c>
      <c r="E194" s="512" t="s">
        <v>4785</v>
      </c>
      <c r="F194" s="383" t="s">
        <v>5014</v>
      </c>
    </row>
    <row r="195" ht="15.75" customHeight="1">
      <c r="A195" s="513">
        <v>75.0</v>
      </c>
      <c r="B195" s="514" t="s">
        <v>5015</v>
      </c>
      <c r="C195" s="515">
        <v>7.88607999E8</v>
      </c>
      <c r="D195" s="294" t="s">
        <v>111</v>
      </c>
      <c r="E195" s="512" t="s">
        <v>34</v>
      </c>
      <c r="F195" s="383" t="s">
        <v>5016</v>
      </c>
    </row>
    <row r="196" ht="15.75" customHeight="1">
      <c r="A196" s="513">
        <v>76.0</v>
      </c>
      <c r="B196" s="514" t="s">
        <v>5017</v>
      </c>
      <c r="C196" s="515">
        <v>7.65879237E8</v>
      </c>
      <c r="D196" s="294" t="s">
        <v>111</v>
      </c>
      <c r="E196" s="512" t="s">
        <v>34</v>
      </c>
    </row>
    <row r="197" ht="15.75" customHeight="1">
      <c r="A197" s="513">
        <v>77.0</v>
      </c>
      <c r="B197" s="514" t="s">
        <v>5018</v>
      </c>
      <c r="C197" s="515">
        <v>9.35676505E8</v>
      </c>
      <c r="D197" s="294" t="s">
        <v>111</v>
      </c>
      <c r="E197" s="512" t="s">
        <v>34</v>
      </c>
    </row>
    <row r="198" ht="15.75" customHeight="1">
      <c r="A198" s="513">
        <v>78.0</v>
      </c>
      <c r="B198" s="516" t="s">
        <v>5019</v>
      </c>
      <c r="C198" s="515">
        <v>9.03546557E8</v>
      </c>
      <c r="D198" s="294" t="s">
        <v>111</v>
      </c>
      <c r="E198" s="512" t="s">
        <v>34</v>
      </c>
    </row>
    <row r="199" ht="15.75" customHeight="1">
      <c r="A199" s="513">
        <v>79.0</v>
      </c>
      <c r="B199" s="516" t="s">
        <v>5020</v>
      </c>
      <c r="C199" s="515">
        <v>9.05895169E8</v>
      </c>
      <c r="D199" s="294" t="s">
        <v>111</v>
      </c>
      <c r="E199" s="512" t="s">
        <v>34</v>
      </c>
    </row>
    <row r="200" ht="15.75" customHeight="1">
      <c r="A200" s="513">
        <v>80.0</v>
      </c>
      <c r="B200" s="514" t="s">
        <v>4783</v>
      </c>
      <c r="C200" s="515">
        <v>9.05932918E8</v>
      </c>
      <c r="D200" s="294" t="s">
        <v>111</v>
      </c>
      <c r="E200" s="512" t="s">
        <v>4785</v>
      </c>
      <c r="F200" s="383" t="s">
        <v>4898</v>
      </c>
    </row>
    <row r="201" ht="15.75" customHeight="1">
      <c r="A201" s="513">
        <v>81.0</v>
      </c>
      <c r="B201" s="514" t="s">
        <v>4891</v>
      </c>
      <c r="C201" s="515">
        <v>9.35555248E8</v>
      </c>
      <c r="D201" s="294" t="s">
        <v>111</v>
      </c>
      <c r="E201" s="512" t="s">
        <v>216</v>
      </c>
    </row>
    <row r="202" ht="15.75" customHeight="1">
      <c r="A202" s="513">
        <v>82.0</v>
      </c>
      <c r="B202" s="514" t="s">
        <v>5021</v>
      </c>
      <c r="C202" s="515">
        <v>9.35059971E8</v>
      </c>
      <c r="D202" s="294" t="s">
        <v>111</v>
      </c>
      <c r="E202" s="512" t="s">
        <v>216</v>
      </c>
    </row>
    <row r="203" ht="15.75" customHeight="1">
      <c r="A203" s="513">
        <v>83.0</v>
      </c>
      <c r="B203" s="522" t="s">
        <v>5022</v>
      </c>
      <c r="C203" s="521">
        <v>9.01948494E8</v>
      </c>
      <c r="D203" s="294" t="s">
        <v>111</v>
      </c>
      <c r="E203" s="512" t="s">
        <v>4785</v>
      </c>
      <c r="F203" s="383" t="s">
        <v>5023</v>
      </c>
    </row>
    <row r="204" ht="15.75" customHeight="1">
      <c r="A204" s="513">
        <v>84.0</v>
      </c>
      <c r="B204" s="514" t="s">
        <v>5024</v>
      </c>
      <c r="C204" s="515">
        <v>7.6729165E8</v>
      </c>
      <c r="D204" s="294" t="s">
        <v>111</v>
      </c>
      <c r="E204" s="512" t="s">
        <v>4785</v>
      </c>
      <c r="F204" s="383" t="s">
        <v>4898</v>
      </c>
    </row>
    <row r="205" ht="15.75" customHeight="1">
      <c r="A205" s="513">
        <v>85.0</v>
      </c>
      <c r="B205" s="514" t="s">
        <v>5025</v>
      </c>
      <c r="C205" s="515">
        <v>7.72668064E8</v>
      </c>
      <c r="D205" s="294" t="s">
        <v>111</v>
      </c>
      <c r="E205" s="512" t="s">
        <v>4785</v>
      </c>
      <c r="F205" s="383" t="s">
        <v>4898</v>
      </c>
    </row>
    <row r="206" ht="15.75" customHeight="1">
      <c r="A206" s="513">
        <v>86.0</v>
      </c>
      <c r="B206" s="514" t="s">
        <v>5026</v>
      </c>
      <c r="C206" s="515">
        <v>9.05926418E8</v>
      </c>
      <c r="D206" s="294" t="s">
        <v>111</v>
      </c>
      <c r="E206" s="512" t="s">
        <v>34</v>
      </c>
    </row>
    <row r="207" ht="15.75" customHeight="1">
      <c r="A207" s="513">
        <v>87.0</v>
      </c>
      <c r="B207" s="514" t="s">
        <v>5027</v>
      </c>
      <c r="C207" s="515">
        <v>9.05071891E8</v>
      </c>
      <c r="D207" s="294" t="s">
        <v>111</v>
      </c>
      <c r="E207" s="512" t="s">
        <v>34</v>
      </c>
    </row>
    <row r="208" ht="15.75" customHeight="1">
      <c r="A208" s="513">
        <v>88.0</v>
      </c>
      <c r="B208" s="514" t="s">
        <v>5028</v>
      </c>
      <c r="C208" s="515">
        <v>9.35533729E8</v>
      </c>
      <c r="D208" s="294" t="s">
        <v>111</v>
      </c>
      <c r="E208" s="512" t="s">
        <v>216</v>
      </c>
    </row>
    <row r="209" ht="15.75" customHeight="1">
      <c r="A209" s="513">
        <v>89.0</v>
      </c>
      <c r="B209" s="514" t="s">
        <v>5029</v>
      </c>
      <c r="C209" s="515">
        <v>9.05545656E8</v>
      </c>
      <c r="D209" s="294" t="s">
        <v>111</v>
      </c>
      <c r="E209" s="512" t="s">
        <v>4785</v>
      </c>
      <c r="F209" s="383" t="s">
        <v>4898</v>
      </c>
    </row>
    <row r="210" ht="15.75" customHeight="1">
      <c r="A210" s="513">
        <v>90.0</v>
      </c>
      <c r="B210" s="514" t="s">
        <v>5030</v>
      </c>
      <c r="C210" s="515">
        <v>9.82251343E8</v>
      </c>
      <c r="D210" s="294" t="s">
        <v>111</v>
      </c>
      <c r="E210" s="512" t="s">
        <v>216</v>
      </c>
    </row>
    <row r="211" ht="15.75" customHeight="1">
      <c r="A211" s="513">
        <v>91.0</v>
      </c>
      <c r="B211" s="516" t="s">
        <v>5031</v>
      </c>
      <c r="C211" s="515">
        <v>9.05290708E8</v>
      </c>
      <c r="D211" s="294" t="s">
        <v>111</v>
      </c>
      <c r="E211" s="512" t="s">
        <v>34</v>
      </c>
    </row>
    <row r="212" ht="15.75" customHeight="1">
      <c r="A212" s="513">
        <v>92.0</v>
      </c>
      <c r="B212" s="512" t="s">
        <v>5032</v>
      </c>
      <c r="C212" s="512">
        <v>3.65158157E8</v>
      </c>
      <c r="D212" s="294" t="s">
        <v>111</v>
      </c>
      <c r="E212" s="512" t="s">
        <v>34</v>
      </c>
    </row>
    <row r="213" ht="15.75" customHeight="1">
      <c r="A213" s="513">
        <v>93.0</v>
      </c>
      <c r="B213" s="512" t="s">
        <v>5032</v>
      </c>
      <c r="C213" s="512">
        <v>7.07346012E8</v>
      </c>
      <c r="D213" s="294" t="s">
        <v>111</v>
      </c>
      <c r="E213" s="512" t="s">
        <v>34</v>
      </c>
    </row>
    <row r="214" ht="15.75" customHeight="1">
      <c r="A214" s="513">
        <v>94.0</v>
      </c>
      <c r="B214" s="512" t="s">
        <v>5033</v>
      </c>
      <c r="C214" s="512">
        <v>9.05570525E8</v>
      </c>
      <c r="D214" s="294" t="s">
        <v>111</v>
      </c>
      <c r="E214" s="512" t="s">
        <v>34</v>
      </c>
    </row>
    <row r="215" ht="15.75" customHeight="1">
      <c r="A215" s="513">
        <v>95.0</v>
      </c>
      <c r="B215" s="512" t="s">
        <v>5034</v>
      </c>
      <c r="C215" s="512">
        <v>9.83383362E8</v>
      </c>
      <c r="D215" s="294" t="s">
        <v>111</v>
      </c>
      <c r="E215" s="512" t="s">
        <v>4785</v>
      </c>
      <c r="F215" s="383" t="s">
        <v>4898</v>
      </c>
    </row>
    <row r="216" ht="15.75" customHeight="1">
      <c r="A216" s="513">
        <v>96.0</v>
      </c>
      <c r="B216" s="512" t="s">
        <v>5035</v>
      </c>
      <c r="C216" s="512">
        <v>9.32542357E8</v>
      </c>
      <c r="D216" s="294" t="s">
        <v>111</v>
      </c>
      <c r="E216" s="512" t="s">
        <v>4785</v>
      </c>
      <c r="F216" s="383" t="s">
        <v>4898</v>
      </c>
    </row>
    <row r="217" ht="15.75" customHeight="1">
      <c r="A217" s="513">
        <v>97.0</v>
      </c>
      <c r="B217" s="512" t="s">
        <v>5036</v>
      </c>
      <c r="C217" s="512">
        <v>9.17308995E8</v>
      </c>
      <c r="D217" s="294" t="s">
        <v>111</v>
      </c>
      <c r="E217" s="512" t="s">
        <v>4785</v>
      </c>
      <c r="F217" s="383" t="s">
        <v>4898</v>
      </c>
    </row>
    <row r="218" ht="15.75" customHeight="1">
      <c r="A218" s="513">
        <v>98.0</v>
      </c>
      <c r="B218" s="512" t="s">
        <v>4784</v>
      </c>
      <c r="C218" s="512">
        <v>9.05108377E8</v>
      </c>
      <c r="D218" s="294" t="s">
        <v>111</v>
      </c>
      <c r="E218" s="512" t="s">
        <v>216</v>
      </c>
    </row>
    <row r="219" ht="15.75" customHeight="1">
      <c r="A219" s="513">
        <v>99.0</v>
      </c>
      <c r="B219" s="512" t="s">
        <v>5037</v>
      </c>
      <c r="C219" s="512">
        <v>9.43165482E8</v>
      </c>
      <c r="D219" s="294" t="s">
        <v>111</v>
      </c>
      <c r="E219" s="512" t="s">
        <v>216</v>
      </c>
    </row>
    <row r="220" ht="15.75" customHeight="1">
      <c r="A220" s="512">
        <v>100.0</v>
      </c>
      <c r="B220" s="512" t="s">
        <v>5038</v>
      </c>
      <c r="C220" s="512">
        <v>7.82282994E8</v>
      </c>
      <c r="D220" s="294" t="s">
        <v>111</v>
      </c>
      <c r="E220" s="512" t="s">
        <v>4785</v>
      </c>
      <c r="F220" s="383" t="s">
        <v>4898</v>
      </c>
    </row>
    <row r="221" ht="15.75" customHeight="1">
      <c r="A221" s="523">
        <v>45106.0</v>
      </c>
    </row>
    <row r="222" ht="15.75" customHeight="1">
      <c r="A222" s="383">
        <v>1.0</v>
      </c>
      <c r="B222" s="524" t="s">
        <v>5038</v>
      </c>
      <c r="C222" s="525" t="s">
        <v>5039</v>
      </c>
      <c r="D222" s="294" t="s">
        <v>111</v>
      </c>
      <c r="E222" s="512" t="s">
        <v>34</v>
      </c>
      <c r="F222" s="383" t="s">
        <v>4853</v>
      </c>
    </row>
    <row r="223" ht="15.75" customHeight="1">
      <c r="A223" s="383">
        <v>2.0</v>
      </c>
      <c r="B223" s="526" t="s">
        <v>3953</v>
      </c>
      <c r="C223" s="527">
        <v>9.82190195E8</v>
      </c>
      <c r="D223" s="294" t="s">
        <v>111</v>
      </c>
      <c r="E223" s="512" t="s">
        <v>216</v>
      </c>
      <c r="F223" s="383" t="s">
        <v>5040</v>
      </c>
    </row>
    <row r="224" ht="15.75" customHeight="1">
      <c r="A224" s="383">
        <v>3.0</v>
      </c>
      <c r="B224" s="528" t="s">
        <v>5041</v>
      </c>
      <c r="C224" s="529">
        <v>9.68817956E8</v>
      </c>
      <c r="D224" s="294" t="s">
        <v>111</v>
      </c>
      <c r="E224" s="512" t="s">
        <v>4782</v>
      </c>
    </row>
    <row r="225" ht="15.75" customHeight="1">
      <c r="A225" s="383">
        <v>4.0</v>
      </c>
      <c r="B225" s="526" t="s">
        <v>5042</v>
      </c>
      <c r="C225" s="529">
        <v>9.04903093E8</v>
      </c>
      <c r="D225" s="294" t="s">
        <v>111</v>
      </c>
      <c r="E225" s="512" t="s">
        <v>34</v>
      </c>
      <c r="F225" s="383" t="s">
        <v>4895</v>
      </c>
    </row>
    <row r="226" ht="15.75" customHeight="1">
      <c r="A226" s="383">
        <v>5.0</v>
      </c>
      <c r="B226" s="530" t="s">
        <v>5043</v>
      </c>
      <c r="C226" s="529">
        <v>9.05777393E8</v>
      </c>
      <c r="D226" s="294" t="s">
        <v>111</v>
      </c>
      <c r="E226" s="512" t="s">
        <v>34</v>
      </c>
      <c r="F226" s="383" t="s">
        <v>4898</v>
      </c>
    </row>
    <row r="227" ht="15.75" customHeight="1">
      <c r="A227" s="383">
        <v>6.0</v>
      </c>
      <c r="B227" s="530" t="s">
        <v>5043</v>
      </c>
      <c r="C227" s="529">
        <v>9.34755154E8</v>
      </c>
      <c r="D227" s="294" t="s">
        <v>111</v>
      </c>
      <c r="E227" s="512" t="s">
        <v>34</v>
      </c>
      <c r="F227" s="383" t="s">
        <v>4898</v>
      </c>
    </row>
    <row r="228" ht="15.75" customHeight="1">
      <c r="A228" s="383">
        <v>7.0</v>
      </c>
      <c r="B228" s="528" t="s">
        <v>5044</v>
      </c>
      <c r="C228" s="529">
        <v>9.65333209E8</v>
      </c>
      <c r="D228" s="294" t="s">
        <v>111</v>
      </c>
      <c r="E228" s="512" t="s">
        <v>216</v>
      </c>
      <c r="F228" s="383" t="s">
        <v>5045</v>
      </c>
    </row>
    <row r="229" ht="15.75" customHeight="1">
      <c r="A229" s="383">
        <v>8.0</v>
      </c>
      <c r="B229" s="530" t="s">
        <v>5046</v>
      </c>
      <c r="C229" s="529">
        <v>9.0517513E8</v>
      </c>
      <c r="D229" s="294" t="s">
        <v>111</v>
      </c>
      <c r="E229" s="512" t="s">
        <v>216</v>
      </c>
      <c r="F229" s="383" t="s">
        <v>5045</v>
      </c>
    </row>
    <row r="230" ht="15.75" customHeight="1">
      <c r="A230" s="383">
        <v>9.0</v>
      </c>
      <c r="B230" s="528" t="s">
        <v>4787</v>
      </c>
      <c r="C230" s="529">
        <v>9.37251526E8</v>
      </c>
      <c r="D230" s="294" t="s">
        <v>111</v>
      </c>
      <c r="E230" s="512" t="s">
        <v>34</v>
      </c>
      <c r="F230" s="383" t="s">
        <v>4898</v>
      </c>
    </row>
    <row r="231" ht="15.75" customHeight="1">
      <c r="A231" s="383">
        <v>10.0</v>
      </c>
      <c r="B231" s="526" t="s">
        <v>5047</v>
      </c>
      <c r="C231" s="529">
        <v>7.66755097E8</v>
      </c>
      <c r="D231" s="294" t="s">
        <v>111</v>
      </c>
      <c r="E231" s="512" t="s">
        <v>216</v>
      </c>
      <c r="F231" s="383" t="s">
        <v>5045</v>
      </c>
    </row>
    <row r="232" ht="15.75" customHeight="1">
      <c r="A232" s="383">
        <v>11.0</v>
      </c>
      <c r="B232" s="530" t="s">
        <v>4893</v>
      </c>
      <c r="C232" s="529">
        <v>7.7410932E8</v>
      </c>
      <c r="D232" s="294" t="s">
        <v>111</v>
      </c>
      <c r="E232" s="512" t="s">
        <v>216</v>
      </c>
      <c r="F232" s="383" t="s">
        <v>5045</v>
      </c>
    </row>
    <row r="233" ht="15.75" customHeight="1">
      <c r="A233" s="383">
        <v>12.0</v>
      </c>
      <c r="B233" s="530" t="s">
        <v>5048</v>
      </c>
      <c r="C233" s="529">
        <v>9.32558445E8</v>
      </c>
      <c r="D233" s="294" t="s">
        <v>111</v>
      </c>
      <c r="E233" s="512" t="s">
        <v>216</v>
      </c>
      <c r="F233" s="383" t="s">
        <v>5045</v>
      </c>
    </row>
    <row r="234" ht="15.75" customHeight="1">
      <c r="A234" s="383">
        <v>13.0</v>
      </c>
      <c r="B234" s="526" t="s">
        <v>5049</v>
      </c>
      <c r="C234" s="529">
        <v>9.05455264E8</v>
      </c>
      <c r="D234" s="294" t="s">
        <v>111</v>
      </c>
      <c r="E234" s="512" t="s">
        <v>34</v>
      </c>
      <c r="F234" s="383" t="s">
        <v>4853</v>
      </c>
    </row>
    <row r="235" ht="15.75" customHeight="1">
      <c r="A235" s="383">
        <v>14.0</v>
      </c>
      <c r="B235" s="528" t="s">
        <v>5050</v>
      </c>
      <c r="C235" s="529">
        <v>9.37951518E8</v>
      </c>
      <c r="D235" s="294" t="s">
        <v>111</v>
      </c>
      <c r="E235" s="512" t="s">
        <v>34</v>
      </c>
      <c r="F235" s="383" t="s">
        <v>5051</v>
      </c>
    </row>
    <row r="236" ht="15.75" customHeight="1">
      <c r="A236" s="383">
        <v>15.0</v>
      </c>
      <c r="B236" s="526" t="s">
        <v>5052</v>
      </c>
      <c r="C236" s="529">
        <v>9.05745164E8</v>
      </c>
      <c r="D236" s="294" t="s">
        <v>111</v>
      </c>
      <c r="E236" s="512" t="s">
        <v>216</v>
      </c>
      <c r="F236" s="383" t="s">
        <v>5045</v>
      </c>
    </row>
    <row r="237" ht="15.75" customHeight="1">
      <c r="A237" s="383">
        <v>16.0</v>
      </c>
      <c r="B237" s="526" t="s">
        <v>5053</v>
      </c>
      <c r="C237" s="529">
        <v>9.32512056E8</v>
      </c>
      <c r="D237" s="294" t="s">
        <v>111</v>
      </c>
      <c r="E237" s="512" t="s">
        <v>34</v>
      </c>
      <c r="F237" s="383" t="s">
        <v>5054</v>
      </c>
    </row>
    <row r="238" ht="15.75" customHeight="1">
      <c r="A238" s="383">
        <v>17.0</v>
      </c>
      <c r="B238" s="526" t="s">
        <v>5055</v>
      </c>
      <c r="C238" s="529">
        <v>9.05993096E8</v>
      </c>
      <c r="D238" s="294" t="s">
        <v>111</v>
      </c>
      <c r="E238" s="512" t="s">
        <v>216</v>
      </c>
      <c r="F238" s="383" t="s">
        <v>5045</v>
      </c>
    </row>
    <row r="239" ht="15.75" customHeight="1">
      <c r="A239" s="383">
        <v>18.0</v>
      </c>
      <c r="B239" s="528" t="s">
        <v>5056</v>
      </c>
      <c r="C239" s="529">
        <v>9.86262314E8</v>
      </c>
      <c r="D239" s="294" t="s">
        <v>111</v>
      </c>
      <c r="E239" s="512" t="s">
        <v>34</v>
      </c>
      <c r="F239" s="383" t="s">
        <v>5057</v>
      </c>
    </row>
    <row r="240" ht="15.75" customHeight="1">
      <c r="A240" s="383">
        <v>19.0</v>
      </c>
      <c r="B240" s="530" t="s">
        <v>5058</v>
      </c>
      <c r="C240" s="529">
        <v>9.05501248E8</v>
      </c>
      <c r="D240" s="294" t="s">
        <v>111</v>
      </c>
      <c r="E240" s="512" t="s">
        <v>34</v>
      </c>
      <c r="F240" s="383" t="s">
        <v>4898</v>
      </c>
    </row>
    <row r="241" ht="15.75" customHeight="1">
      <c r="A241" s="383">
        <v>20.0</v>
      </c>
      <c r="B241" s="531" t="s">
        <v>5058</v>
      </c>
      <c r="C241" s="529">
        <v>9.88067222E8</v>
      </c>
      <c r="D241" s="294" t="s">
        <v>111</v>
      </c>
      <c r="E241" s="512" t="s">
        <v>34</v>
      </c>
      <c r="F241" s="383" t="s">
        <v>4898</v>
      </c>
    </row>
    <row r="242" ht="15.75" customHeight="1">
      <c r="A242" s="383">
        <v>21.0</v>
      </c>
      <c r="B242" s="526" t="s">
        <v>5059</v>
      </c>
      <c r="C242" s="529">
        <v>9.05426616E8</v>
      </c>
      <c r="D242" s="294" t="s">
        <v>111</v>
      </c>
      <c r="E242" s="512" t="s">
        <v>216</v>
      </c>
      <c r="F242" s="383" t="s">
        <v>5045</v>
      </c>
    </row>
    <row r="243" ht="15.75" customHeight="1">
      <c r="A243" s="383">
        <v>22.0</v>
      </c>
      <c r="B243" s="526" t="s">
        <v>5060</v>
      </c>
      <c r="C243" s="529">
        <v>7.79785374E8</v>
      </c>
      <c r="D243" s="294" t="s">
        <v>111</v>
      </c>
      <c r="E243" s="512" t="s">
        <v>216</v>
      </c>
      <c r="F243" s="383" t="s">
        <v>5045</v>
      </c>
    </row>
    <row r="244" ht="15.75" customHeight="1">
      <c r="A244" s="383">
        <v>23.0</v>
      </c>
      <c r="B244" s="530" t="s">
        <v>5061</v>
      </c>
      <c r="C244" s="529">
        <v>9.33772507E8</v>
      </c>
      <c r="D244" s="294" t="s">
        <v>111</v>
      </c>
      <c r="E244" s="512" t="s">
        <v>34</v>
      </c>
      <c r="F244" s="383" t="s">
        <v>4853</v>
      </c>
    </row>
    <row r="245" ht="15.75" customHeight="1">
      <c r="A245" s="383">
        <v>24.0</v>
      </c>
      <c r="B245" s="526" t="s">
        <v>5062</v>
      </c>
      <c r="C245" s="529">
        <v>7.7903554E8</v>
      </c>
      <c r="D245" s="294" t="s">
        <v>111</v>
      </c>
      <c r="E245" s="512" t="s">
        <v>216</v>
      </c>
      <c r="F245" s="383" t="s">
        <v>5045</v>
      </c>
    </row>
    <row r="246" ht="15.75" customHeight="1">
      <c r="A246" s="383">
        <v>25.0</v>
      </c>
      <c r="B246" s="526" t="s">
        <v>5063</v>
      </c>
      <c r="C246" s="529">
        <v>7.63678988E8</v>
      </c>
      <c r="D246" s="294" t="s">
        <v>111</v>
      </c>
      <c r="E246" s="512" t="s">
        <v>34</v>
      </c>
      <c r="F246" s="383" t="s">
        <v>5054</v>
      </c>
    </row>
    <row r="247" ht="15.75" customHeight="1">
      <c r="A247" s="383">
        <v>26.0</v>
      </c>
      <c r="B247" s="530" t="s">
        <v>5064</v>
      </c>
      <c r="C247" s="529">
        <v>7.66293568E8</v>
      </c>
      <c r="D247" s="294" t="s">
        <v>111</v>
      </c>
      <c r="E247" s="512" t="s">
        <v>34</v>
      </c>
      <c r="F247" s="383" t="s">
        <v>5054</v>
      </c>
    </row>
    <row r="248" ht="15.75" customHeight="1">
      <c r="A248" s="383">
        <v>27.0</v>
      </c>
      <c r="B248" s="530" t="s">
        <v>5064</v>
      </c>
      <c r="C248" s="529">
        <v>9.05027048E8</v>
      </c>
      <c r="D248" s="294" t="s">
        <v>111</v>
      </c>
      <c r="E248" s="512" t="s">
        <v>216</v>
      </c>
      <c r="F248" s="383" t="s">
        <v>5045</v>
      </c>
    </row>
    <row r="249" ht="15.75" customHeight="1">
      <c r="A249" s="383">
        <v>28.0</v>
      </c>
      <c r="B249" s="526" t="s">
        <v>5065</v>
      </c>
      <c r="C249" s="529">
        <v>9.05766845E8</v>
      </c>
      <c r="D249" s="294" t="s">
        <v>111</v>
      </c>
      <c r="E249" s="512" t="s">
        <v>34</v>
      </c>
      <c r="F249" s="383" t="s">
        <v>5057</v>
      </c>
    </row>
    <row r="250" ht="15.75" customHeight="1">
      <c r="A250" s="383">
        <v>29.0</v>
      </c>
      <c r="B250" s="526" t="s">
        <v>5066</v>
      </c>
      <c r="C250" s="529">
        <v>9.82933044E8</v>
      </c>
      <c r="D250" s="294" t="s">
        <v>111</v>
      </c>
      <c r="E250" s="512" t="s">
        <v>34</v>
      </c>
      <c r="F250" s="383" t="s">
        <v>5057</v>
      </c>
    </row>
    <row r="251" ht="15.75" customHeight="1">
      <c r="A251" s="383">
        <v>30.0</v>
      </c>
      <c r="B251" s="526" t="s">
        <v>5067</v>
      </c>
      <c r="C251" s="529">
        <v>9.05540457E8</v>
      </c>
      <c r="D251" s="294" t="s">
        <v>111</v>
      </c>
      <c r="E251" s="512" t="s">
        <v>34</v>
      </c>
      <c r="F251" s="383" t="s">
        <v>5054</v>
      </c>
    </row>
    <row r="252" ht="15.75" customHeight="1">
      <c r="A252" s="383">
        <v>31.0</v>
      </c>
      <c r="B252" s="526" t="s">
        <v>5068</v>
      </c>
      <c r="C252" s="529">
        <v>9.13465711E8</v>
      </c>
      <c r="D252" s="294" t="s">
        <v>111</v>
      </c>
      <c r="E252" s="512" t="s">
        <v>34</v>
      </c>
      <c r="F252" s="383" t="s">
        <v>4853</v>
      </c>
    </row>
    <row r="253" ht="15.75" customHeight="1">
      <c r="A253" s="383">
        <v>32.0</v>
      </c>
      <c r="B253" s="526" t="s">
        <v>5069</v>
      </c>
      <c r="C253" s="529">
        <v>9.05549779E8</v>
      </c>
      <c r="D253" s="294" t="s">
        <v>111</v>
      </c>
      <c r="E253" s="512" t="s">
        <v>34</v>
      </c>
      <c r="F253" s="383" t="s">
        <v>5070</v>
      </c>
    </row>
    <row r="254" ht="15.75" customHeight="1">
      <c r="A254" s="383">
        <v>33.0</v>
      </c>
      <c r="B254" s="526" t="s">
        <v>5071</v>
      </c>
      <c r="C254" s="529">
        <v>9.35690426E8</v>
      </c>
      <c r="D254" s="294" t="s">
        <v>111</v>
      </c>
      <c r="E254" s="512" t="s">
        <v>216</v>
      </c>
      <c r="F254" s="383" t="s">
        <v>5045</v>
      </c>
    </row>
    <row r="255" ht="15.75" customHeight="1">
      <c r="A255" s="383">
        <v>34.0</v>
      </c>
      <c r="B255" s="528" t="s">
        <v>5072</v>
      </c>
      <c r="C255" s="529">
        <v>9.83453526E8</v>
      </c>
      <c r="D255" s="294" t="s">
        <v>111</v>
      </c>
      <c r="E255" s="512" t="s">
        <v>4785</v>
      </c>
      <c r="F255" s="383" t="s">
        <v>5057</v>
      </c>
    </row>
    <row r="256" ht="15.75" customHeight="1">
      <c r="A256" s="383">
        <v>35.0</v>
      </c>
      <c r="B256" s="528" t="s">
        <v>5073</v>
      </c>
      <c r="C256" s="529">
        <v>9.85414483E8</v>
      </c>
      <c r="D256" s="294" t="s">
        <v>111</v>
      </c>
      <c r="E256" s="512" t="s">
        <v>4785</v>
      </c>
      <c r="F256" s="383" t="s">
        <v>5054</v>
      </c>
    </row>
    <row r="257" ht="15.75" customHeight="1">
      <c r="A257" s="383">
        <v>36.0</v>
      </c>
      <c r="B257" s="526" t="s">
        <v>5074</v>
      </c>
      <c r="C257" s="529">
        <v>9.05541718E8</v>
      </c>
      <c r="D257" s="294" t="s">
        <v>111</v>
      </c>
      <c r="E257" s="512" t="s">
        <v>216</v>
      </c>
      <c r="F257" s="383" t="s">
        <v>5045</v>
      </c>
    </row>
    <row r="258" ht="15.75" customHeight="1">
      <c r="A258" s="383">
        <v>37.0</v>
      </c>
      <c r="B258" s="526" t="s">
        <v>5075</v>
      </c>
      <c r="C258" s="529">
        <v>9.050509E8</v>
      </c>
      <c r="D258" s="294" t="s">
        <v>111</v>
      </c>
      <c r="E258" s="512" t="s">
        <v>216</v>
      </c>
      <c r="F258" s="383" t="s">
        <v>5045</v>
      </c>
    </row>
    <row r="259" ht="15.75" customHeight="1">
      <c r="A259" s="383">
        <v>38.0</v>
      </c>
      <c r="B259" s="526" t="s">
        <v>5076</v>
      </c>
      <c r="C259" s="529">
        <v>9.32559363E8</v>
      </c>
      <c r="D259" s="294" t="s">
        <v>111</v>
      </c>
      <c r="E259" s="512" t="s">
        <v>34</v>
      </c>
      <c r="F259" s="383" t="s">
        <v>5077</v>
      </c>
    </row>
    <row r="260" ht="15.75" customHeight="1">
      <c r="A260" s="383">
        <v>39.0</v>
      </c>
      <c r="B260" s="526" t="s">
        <v>5078</v>
      </c>
      <c r="C260" s="529">
        <v>9.0519398E8</v>
      </c>
      <c r="D260" s="294" t="s">
        <v>111</v>
      </c>
      <c r="E260" s="512" t="s">
        <v>34</v>
      </c>
      <c r="F260" s="383" t="s">
        <v>5077</v>
      </c>
    </row>
    <row r="261" ht="15.75" customHeight="1">
      <c r="A261" s="383">
        <v>40.0</v>
      </c>
      <c r="B261" s="526" t="s">
        <v>5079</v>
      </c>
      <c r="C261" s="529">
        <v>9.05661669E8</v>
      </c>
      <c r="D261" s="294" t="s">
        <v>111</v>
      </c>
      <c r="E261" s="512" t="s">
        <v>4785</v>
      </c>
      <c r="F261" s="383" t="s">
        <v>4898</v>
      </c>
    </row>
    <row r="262" ht="15.75" customHeight="1">
      <c r="A262" s="383">
        <v>41.0</v>
      </c>
      <c r="B262" s="531" t="s">
        <v>5080</v>
      </c>
      <c r="C262" s="529">
        <v>9.8357887E8</v>
      </c>
      <c r="D262" s="294" t="s">
        <v>111</v>
      </c>
      <c r="E262" s="512" t="s">
        <v>4785</v>
      </c>
      <c r="F262" s="383" t="s">
        <v>4898</v>
      </c>
    </row>
    <row r="263" ht="15.75" customHeight="1">
      <c r="A263" s="383">
        <v>42.0</v>
      </c>
      <c r="B263" s="526" t="s">
        <v>5081</v>
      </c>
      <c r="C263" s="529">
        <v>9.31918025E8</v>
      </c>
      <c r="D263" s="294" t="s">
        <v>111</v>
      </c>
      <c r="E263" s="512" t="s">
        <v>216</v>
      </c>
      <c r="F263" s="383" t="s">
        <v>5045</v>
      </c>
    </row>
    <row r="264" ht="15.75" customHeight="1">
      <c r="A264" s="383">
        <v>43.0</v>
      </c>
      <c r="B264" s="526" t="s">
        <v>4789</v>
      </c>
      <c r="C264" s="529">
        <v>9.05257505E8</v>
      </c>
      <c r="D264" s="294" t="s">
        <v>111</v>
      </c>
      <c r="E264" s="512" t="s">
        <v>216</v>
      </c>
      <c r="F264" s="383" t="s">
        <v>5045</v>
      </c>
    </row>
    <row r="265" ht="15.75" customHeight="1">
      <c r="A265" s="383">
        <v>44.0</v>
      </c>
      <c r="B265" s="530" t="s">
        <v>5082</v>
      </c>
      <c r="C265" s="529">
        <v>9.05142793E8</v>
      </c>
      <c r="D265" s="294" t="s">
        <v>111</v>
      </c>
      <c r="E265" s="512" t="s">
        <v>34</v>
      </c>
      <c r="F265" s="383" t="s">
        <v>5083</v>
      </c>
    </row>
    <row r="266" ht="15.75" customHeight="1">
      <c r="A266" s="383">
        <v>45.0</v>
      </c>
      <c r="B266" s="530" t="s">
        <v>5082</v>
      </c>
      <c r="C266" s="529">
        <v>9.35583748E8</v>
      </c>
      <c r="D266" s="294" t="s">
        <v>111</v>
      </c>
      <c r="E266" s="512" t="s">
        <v>34</v>
      </c>
      <c r="F266" s="383" t="s">
        <v>5084</v>
      </c>
    </row>
    <row r="267" ht="15.75" customHeight="1">
      <c r="A267" s="383">
        <v>46.0</v>
      </c>
      <c r="B267" s="526" t="s">
        <v>5085</v>
      </c>
      <c r="C267" s="529">
        <v>9.06434219E8</v>
      </c>
      <c r="D267" s="294" t="s">
        <v>111</v>
      </c>
      <c r="E267" s="512" t="s">
        <v>4785</v>
      </c>
      <c r="F267" s="383" t="s">
        <v>5086</v>
      </c>
    </row>
    <row r="268" ht="15.75" customHeight="1">
      <c r="A268" s="383">
        <v>47.0</v>
      </c>
      <c r="B268" s="526" t="s">
        <v>5087</v>
      </c>
      <c r="C268" s="529">
        <v>8.98428796E8</v>
      </c>
      <c r="D268" s="294" t="s">
        <v>111</v>
      </c>
      <c r="E268" s="512" t="s">
        <v>34</v>
      </c>
      <c r="F268" s="383" t="s">
        <v>5054</v>
      </c>
    </row>
    <row r="269" ht="15.75" customHeight="1">
      <c r="A269" s="383">
        <v>48.0</v>
      </c>
      <c r="B269" s="526" t="s">
        <v>5088</v>
      </c>
      <c r="C269" s="529">
        <v>3.53251085E8</v>
      </c>
      <c r="D269" s="294" t="s">
        <v>111</v>
      </c>
      <c r="E269" s="512" t="s">
        <v>216</v>
      </c>
      <c r="F269" s="383" t="s">
        <v>5045</v>
      </c>
    </row>
    <row r="270" ht="15.75" customHeight="1">
      <c r="A270" s="383">
        <v>49.0</v>
      </c>
      <c r="B270" s="526" t="s">
        <v>5089</v>
      </c>
      <c r="C270" s="529">
        <v>9.05584641E8</v>
      </c>
      <c r="D270" s="294" t="s">
        <v>111</v>
      </c>
      <c r="E270" s="512" t="s">
        <v>4785</v>
      </c>
      <c r="F270" s="383" t="s">
        <v>5090</v>
      </c>
    </row>
    <row r="271" ht="15.75" customHeight="1">
      <c r="A271" s="383">
        <v>50.0</v>
      </c>
      <c r="B271" s="530" t="s">
        <v>5091</v>
      </c>
      <c r="C271" s="529">
        <v>9.05438687E8</v>
      </c>
      <c r="D271" s="294" t="s">
        <v>111</v>
      </c>
      <c r="E271" s="512" t="s">
        <v>34</v>
      </c>
      <c r="F271" s="383" t="s">
        <v>5092</v>
      </c>
    </row>
    <row r="272" ht="15.75" customHeight="1">
      <c r="A272" s="383">
        <v>51.0</v>
      </c>
      <c r="B272" s="530" t="s">
        <v>5091</v>
      </c>
      <c r="C272" s="529">
        <v>9.05905003E8</v>
      </c>
      <c r="D272" s="294" t="s">
        <v>111</v>
      </c>
      <c r="E272" s="512" t="s">
        <v>34</v>
      </c>
      <c r="F272" s="383" t="s">
        <v>5092</v>
      </c>
    </row>
    <row r="273" ht="15.75" customHeight="1">
      <c r="A273" s="383">
        <v>52.0</v>
      </c>
      <c r="B273" s="526" t="s">
        <v>5093</v>
      </c>
      <c r="C273" s="529">
        <v>9.11296465E8</v>
      </c>
      <c r="D273" s="294" t="s">
        <v>111</v>
      </c>
      <c r="E273" s="512" t="s">
        <v>34</v>
      </c>
      <c r="F273" s="383" t="s">
        <v>5092</v>
      </c>
    </row>
    <row r="274" ht="15.75" customHeight="1">
      <c r="A274" s="383">
        <v>53.0</v>
      </c>
      <c r="B274" s="526" t="s">
        <v>5094</v>
      </c>
      <c r="C274" s="529">
        <v>7.63578401E8</v>
      </c>
      <c r="D274" s="294" t="s">
        <v>111</v>
      </c>
      <c r="E274" s="512" t="s">
        <v>34</v>
      </c>
      <c r="F274" s="383" t="s">
        <v>5095</v>
      </c>
    </row>
    <row r="275" ht="15.75" customHeight="1">
      <c r="A275" s="383">
        <v>54.0</v>
      </c>
      <c r="B275" s="526" t="s">
        <v>5096</v>
      </c>
      <c r="C275" s="529">
        <v>9.3198243E8</v>
      </c>
      <c r="D275" s="294" t="s">
        <v>111</v>
      </c>
      <c r="E275" s="512" t="s">
        <v>34</v>
      </c>
      <c r="F275" s="383" t="s">
        <v>5092</v>
      </c>
    </row>
    <row r="276" ht="15.75" customHeight="1">
      <c r="A276" s="383">
        <v>55.0</v>
      </c>
      <c r="B276" s="528" t="s">
        <v>5097</v>
      </c>
      <c r="C276" s="529">
        <v>9.74994285E8</v>
      </c>
      <c r="D276" s="294" t="s">
        <v>111</v>
      </c>
      <c r="E276" s="512" t="s">
        <v>34</v>
      </c>
      <c r="F276" s="383" t="s">
        <v>5054</v>
      </c>
    </row>
    <row r="277" ht="15.75" customHeight="1">
      <c r="A277" s="383">
        <v>56.0</v>
      </c>
      <c r="B277" s="526" t="s">
        <v>5098</v>
      </c>
      <c r="C277" s="529">
        <v>9.05503122E8</v>
      </c>
      <c r="D277" s="294" t="s">
        <v>111</v>
      </c>
      <c r="E277" s="512" t="s">
        <v>34</v>
      </c>
      <c r="F277" s="383" t="s">
        <v>5099</v>
      </c>
    </row>
    <row r="278" ht="15.75" customHeight="1">
      <c r="A278" s="383">
        <v>57.0</v>
      </c>
      <c r="B278" s="528" t="s">
        <v>5100</v>
      </c>
      <c r="C278" s="529">
        <v>9.87553581E8</v>
      </c>
      <c r="D278" s="294" t="s">
        <v>111</v>
      </c>
      <c r="E278" s="512" t="s">
        <v>216</v>
      </c>
      <c r="F278" s="383" t="s">
        <v>5045</v>
      </c>
    </row>
    <row r="279" ht="15.75" customHeight="1">
      <c r="A279" s="383">
        <v>58.0</v>
      </c>
      <c r="B279" s="530" t="s">
        <v>4791</v>
      </c>
      <c r="C279" s="529">
        <v>9.05602402E8</v>
      </c>
      <c r="D279" s="294" t="s">
        <v>111</v>
      </c>
      <c r="E279" s="512" t="s">
        <v>34</v>
      </c>
      <c r="F279" s="383" t="s">
        <v>4853</v>
      </c>
    </row>
    <row r="280" ht="15.75" customHeight="1">
      <c r="A280" s="383">
        <v>59.0</v>
      </c>
      <c r="B280" s="530" t="s">
        <v>4791</v>
      </c>
      <c r="C280" s="529">
        <v>9.05977985E8</v>
      </c>
      <c r="D280" s="294" t="s">
        <v>111</v>
      </c>
      <c r="E280" s="512" t="s">
        <v>34</v>
      </c>
      <c r="F280" s="383" t="s">
        <v>4853</v>
      </c>
    </row>
    <row r="281" ht="15.75" customHeight="1">
      <c r="A281" s="383">
        <v>60.0</v>
      </c>
      <c r="B281" s="526" t="s">
        <v>5101</v>
      </c>
      <c r="C281" s="529">
        <v>3.63959646E8</v>
      </c>
      <c r="D281" s="294" t="s">
        <v>111</v>
      </c>
      <c r="E281" s="512" t="s">
        <v>4785</v>
      </c>
      <c r="F281" s="383" t="s">
        <v>5102</v>
      </c>
    </row>
    <row r="282" ht="15.75" customHeight="1">
      <c r="A282" s="383">
        <v>61.0</v>
      </c>
      <c r="B282" s="526" t="s">
        <v>4794</v>
      </c>
      <c r="C282" s="529">
        <v>9.05144161E8</v>
      </c>
      <c r="D282" s="294" t="s">
        <v>48</v>
      </c>
      <c r="E282" s="512" t="s">
        <v>216</v>
      </c>
      <c r="F282" s="383" t="s">
        <v>4942</v>
      </c>
    </row>
    <row r="283" ht="15.75" customHeight="1">
      <c r="A283" s="383">
        <v>62.0</v>
      </c>
      <c r="B283" s="526" t="s">
        <v>4796</v>
      </c>
      <c r="C283" s="529">
        <v>9.05814594E8</v>
      </c>
      <c r="D283" s="294" t="s">
        <v>48</v>
      </c>
      <c r="E283" s="512" t="s">
        <v>4785</v>
      </c>
      <c r="F283" s="383" t="s">
        <v>5103</v>
      </c>
    </row>
    <row r="284" ht="15.75" customHeight="1">
      <c r="A284" s="383">
        <v>63.0</v>
      </c>
      <c r="B284" s="526" t="s">
        <v>5104</v>
      </c>
      <c r="C284" s="529">
        <v>9.3552569E7</v>
      </c>
      <c r="D284" s="294" t="s">
        <v>48</v>
      </c>
      <c r="E284" s="512" t="s">
        <v>216</v>
      </c>
      <c r="F284" s="383" t="s">
        <v>5105</v>
      </c>
    </row>
    <row r="285" ht="15.75" customHeight="1">
      <c r="A285" s="383">
        <v>64.0</v>
      </c>
      <c r="B285" s="526" t="s">
        <v>5106</v>
      </c>
      <c r="C285" s="529">
        <v>9.35525428E8</v>
      </c>
      <c r="D285" s="294" t="s">
        <v>48</v>
      </c>
      <c r="E285" s="512" t="s">
        <v>34</v>
      </c>
      <c r="F285" s="383" t="s">
        <v>5107</v>
      </c>
    </row>
    <row r="286" ht="15.75" customHeight="1">
      <c r="A286" s="383">
        <v>65.0</v>
      </c>
      <c r="B286" s="526" t="s">
        <v>5108</v>
      </c>
      <c r="C286" s="529">
        <v>9.05622717E8</v>
      </c>
      <c r="D286" s="294" t="s">
        <v>48</v>
      </c>
      <c r="E286" s="512" t="s">
        <v>216</v>
      </c>
      <c r="F286" s="383" t="s">
        <v>4942</v>
      </c>
    </row>
    <row r="287" ht="15.75" customHeight="1">
      <c r="A287" s="383">
        <v>66.0</v>
      </c>
      <c r="B287" s="530" t="s">
        <v>5109</v>
      </c>
      <c r="C287" s="529">
        <v>9.82936575E8</v>
      </c>
      <c r="D287" s="294" t="s">
        <v>48</v>
      </c>
      <c r="E287" s="512" t="s">
        <v>34</v>
      </c>
      <c r="F287" s="383" t="s">
        <v>5107</v>
      </c>
    </row>
    <row r="288" ht="15.75" customHeight="1">
      <c r="A288" s="383">
        <v>67.0</v>
      </c>
      <c r="B288" s="526" t="s">
        <v>4906</v>
      </c>
      <c r="C288" s="529">
        <v>3.69506599E8</v>
      </c>
      <c r="D288" s="294" t="s">
        <v>48</v>
      </c>
      <c r="E288" s="512" t="s">
        <v>34</v>
      </c>
      <c r="F288" s="383" t="s">
        <v>5107</v>
      </c>
    </row>
    <row r="289" ht="15.75" customHeight="1">
      <c r="A289" s="383">
        <v>68.0</v>
      </c>
      <c r="B289" s="526" t="s">
        <v>5110</v>
      </c>
      <c r="C289" s="529">
        <v>3.58268221E8</v>
      </c>
      <c r="D289" s="294" t="s">
        <v>48</v>
      </c>
      <c r="E289" s="512" t="s">
        <v>34</v>
      </c>
      <c r="F289" s="383" t="s">
        <v>5107</v>
      </c>
    </row>
    <row r="290" ht="15.75" customHeight="1">
      <c r="A290" s="383">
        <v>69.0</v>
      </c>
      <c r="B290" s="526" t="s">
        <v>5111</v>
      </c>
      <c r="C290" s="529">
        <v>9.35185556E8</v>
      </c>
      <c r="D290" s="294" t="s">
        <v>48</v>
      </c>
      <c r="E290" s="512" t="s">
        <v>34</v>
      </c>
      <c r="F290" s="383" t="s">
        <v>5112</v>
      </c>
    </row>
    <row r="291" ht="15.75" customHeight="1">
      <c r="A291" s="383">
        <v>70.0</v>
      </c>
      <c r="B291" s="526" t="s">
        <v>5113</v>
      </c>
      <c r="C291" s="529">
        <v>9.05106241E8</v>
      </c>
      <c r="D291" s="294" t="s">
        <v>48</v>
      </c>
      <c r="E291" s="512" t="s">
        <v>216</v>
      </c>
      <c r="F291" s="383" t="s">
        <v>4942</v>
      </c>
    </row>
    <row r="292" ht="15.75" customHeight="1">
      <c r="A292" s="383">
        <v>71.0</v>
      </c>
      <c r="B292" s="526" t="s">
        <v>5114</v>
      </c>
      <c r="C292" s="529">
        <v>7.68238329E8</v>
      </c>
      <c r="D292" s="294" t="s">
        <v>48</v>
      </c>
      <c r="E292" s="512" t="s">
        <v>34</v>
      </c>
    </row>
    <row r="293" ht="15.75" customHeight="1">
      <c r="A293" s="383">
        <v>72.0</v>
      </c>
      <c r="B293" s="531" t="s">
        <v>5115</v>
      </c>
      <c r="C293" s="529">
        <v>9.84646993E8</v>
      </c>
      <c r="D293" s="294" t="s">
        <v>48</v>
      </c>
      <c r="E293" s="512" t="s">
        <v>34</v>
      </c>
      <c r="F293" s="383" t="s">
        <v>5116</v>
      </c>
    </row>
    <row r="294" ht="15.75" customHeight="1">
      <c r="A294" s="383">
        <v>73.0</v>
      </c>
      <c r="B294" s="526" t="s">
        <v>1617</v>
      </c>
      <c r="C294" s="529">
        <v>9.05358019E8</v>
      </c>
      <c r="D294" s="294" t="s">
        <v>48</v>
      </c>
      <c r="E294" s="512" t="s">
        <v>4782</v>
      </c>
      <c r="F294" s="532" t="s">
        <v>5117</v>
      </c>
    </row>
    <row r="295" ht="15.75" customHeight="1">
      <c r="A295" s="383">
        <v>74.0</v>
      </c>
      <c r="B295" s="526" t="s">
        <v>5118</v>
      </c>
      <c r="C295" s="529">
        <v>7.93121517E8</v>
      </c>
      <c r="D295" s="294" t="s">
        <v>48</v>
      </c>
      <c r="E295" s="512" t="s">
        <v>216</v>
      </c>
      <c r="F295" s="383" t="s">
        <v>4942</v>
      </c>
    </row>
    <row r="296" ht="15.75" customHeight="1">
      <c r="A296" s="383">
        <v>75.0</v>
      </c>
      <c r="B296" s="526" t="s">
        <v>5119</v>
      </c>
      <c r="C296" s="529">
        <v>9.32455847E8</v>
      </c>
      <c r="D296" s="294" t="s">
        <v>48</v>
      </c>
      <c r="E296" s="512" t="s">
        <v>34</v>
      </c>
      <c r="F296" s="383" t="s">
        <v>4777</v>
      </c>
    </row>
    <row r="297" ht="15.75" customHeight="1">
      <c r="A297" s="383">
        <v>76.0</v>
      </c>
      <c r="B297" s="528" t="s">
        <v>5120</v>
      </c>
      <c r="C297" s="529">
        <v>9.89657379E8</v>
      </c>
      <c r="D297" s="294" t="s">
        <v>48</v>
      </c>
      <c r="E297" s="512" t="s">
        <v>4785</v>
      </c>
      <c r="F297" s="383" t="s">
        <v>5121</v>
      </c>
    </row>
    <row r="298" ht="15.75" customHeight="1">
      <c r="A298" s="383">
        <v>77.0</v>
      </c>
      <c r="B298" s="526" t="s">
        <v>5122</v>
      </c>
      <c r="C298" s="529">
        <v>9.12221513E8</v>
      </c>
      <c r="D298" s="294" t="s">
        <v>48</v>
      </c>
      <c r="E298" s="512" t="s">
        <v>216</v>
      </c>
      <c r="F298" s="383" t="s">
        <v>4942</v>
      </c>
    </row>
    <row r="299" ht="15.75" customHeight="1">
      <c r="A299" s="383">
        <v>78.0</v>
      </c>
      <c r="B299" s="526" t="s">
        <v>5123</v>
      </c>
      <c r="C299" s="529">
        <v>9.13404926E8</v>
      </c>
      <c r="D299" s="294" t="s">
        <v>48</v>
      </c>
      <c r="E299" s="512" t="s">
        <v>34</v>
      </c>
      <c r="F299" s="383" t="s">
        <v>5116</v>
      </c>
    </row>
    <row r="300" ht="15.75" customHeight="1">
      <c r="A300" s="383">
        <v>79.0</v>
      </c>
      <c r="B300" s="526" t="s">
        <v>5124</v>
      </c>
      <c r="C300" s="529">
        <v>9.05157012E8</v>
      </c>
      <c r="D300" s="294" t="s">
        <v>48</v>
      </c>
      <c r="E300" s="512" t="s">
        <v>34</v>
      </c>
      <c r="F300" s="383" t="s">
        <v>5107</v>
      </c>
    </row>
    <row r="301" ht="15.75" customHeight="1">
      <c r="A301" s="383">
        <v>80.0</v>
      </c>
      <c r="B301" s="526" t="s">
        <v>5125</v>
      </c>
      <c r="C301" s="529">
        <v>3.59633187E8</v>
      </c>
      <c r="D301" s="294" t="s">
        <v>48</v>
      </c>
      <c r="E301" s="512" t="s">
        <v>216</v>
      </c>
    </row>
    <row r="302" ht="15.75" customHeight="1">
      <c r="A302" s="383">
        <v>81.0</v>
      </c>
      <c r="B302" s="528" t="s">
        <v>5126</v>
      </c>
      <c r="C302" s="529">
        <v>9.87873336E8</v>
      </c>
      <c r="D302" s="294" t="s">
        <v>48</v>
      </c>
      <c r="E302" s="512" t="s">
        <v>34</v>
      </c>
      <c r="F302" s="383" t="s">
        <v>5127</v>
      </c>
    </row>
    <row r="303" ht="15.75" customHeight="1">
      <c r="A303" s="383">
        <v>82.0</v>
      </c>
      <c r="B303" s="526" t="s">
        <v>5128</v>
      </c>
      <c r="C303" s="527">
        <v>9.06516518E8</v>
      </c>
      <c r="D303" s="294" t="s">
        <v>48</v>
      </c>
      <c r="E303" s="512" t="s">
        <v>34</v>
      </c>
      <c r="F303" s="383" t="s">
        <v>5129</v>
      </c>
    </row>
    <row r="304" ht="15.75" customHeight="1">
      <c r="A304" s="383">
        <v>83.0</v>
      </c>
      <c r="B304" s="526" t="s">
        <v>5130</v>
      </c>
      <c r="C304" s="529">
        <v>9.0521584E8</v>
      </c>
      <c r="D304" s="294" t="s">
        <v>48</v>
      </c>
      <c r="E304" s="512" t="s">
        <v>216</v>
      </c>
      <c r="F304" s="383" t="s">
        <v>5131</v>
      </c>
    </row>
    <row r="305" ht="15.75" customHeight="1">
      <c r="A305" s="383">
        <v>84.0</v>
      </c>
      <c r="B305" s="530" t="s">
        <v>4797</v>
      </c>
      <c r="C305" s="529">
        <v>7.79332534E8</v>
      </c>
      <c r="D305" s="294" t="s">
        <v>48</v>
      </c>
      <c r="E305" s="512" t="s">
        <v>4785</v>
      </c>
      <c r="F305" s="383" t="s">
        <v>4983</v>
      </c>
    </row>
    <row r="306" ht="15.75" customHeight="1">
      <c r="A306" s="383">
        <v>85.0</v>
      </c>
      <c r="B306" s="530" t="s">
        <v>4797</v>
      </c>
      <c r="C306" s="529">
        <v>9.05755452E8</v>
      </c>
      <c r="D306" s="294" t="s">
        <v>48</v>
      </c>
      <c r="E306" s="512" t="s">
        <v>34</v>
      </c>
      <c r="F306" s="383" t="s">
        <v>5132</v>
      </c>
    </row>
    <row r="307" ht="15.75" customHeight="1">
      <c r="A307" s="383">
        <v>86.0</v>
      </c>
      <c r="B307" s="526" t="s">
        <v>5133</v>
      </c>
      <c r="C307" s="529">
        <v>9.05909827E8</v>
      </c>
      <c r="D307" s="294" t="s">
        <v>48</v>
      </c>
      <c r="E307" s="512" t="s">
        <v>216</v>
      </c>
    </row>
    <row r="308" ht="15.75" customHeight="1">
      <c r="A308" s="383">
        <v>87.0</v>
      </c>
      <c r="B308" s="530" t="s">
        <v>5134</v>
      </c>
      <c r="C308" s="529">
        <v>9.34090242E8</v>
      </c>
      <c r="D308" s="294" t="s">
        <v>48</v>
      </c>
      <c r="E308" s="512" t="s">
        <v>34</v>
      </c>
    </row>
    <row r="309" ht="15.75" customHeight="1">
      <c r="A309" s="383">
        <v>88.0</v>
      </c>
      <c r="B309" s="526" t="s">
        <v>5135</v>
      </c>
      <c r="C309" s="529">
        <v>7.0609904E8</v>
      </c>
      <c r="D309" s="294" t="s">
        <v>48</v>
      </c>
      <c r="E309" s="512" t="s">
        <v>216</v>
      </c>
      <c r="F309" s="383" t="s">
        <v>5136</v>
      </c>
    </row>
    <row r="310" ht="15.75" customHeight="1">
      <c r="A310" s="383">
        <v>89.0</v>
      </c>
      <c r="B310" s="526" t="s">
        <v>5137</v>
      </c>
      <c r="C310" s="529">
        <v>9.83025768E8</v>
      </c>
      <c r="D310" s="294" t="s">
        <v>48</v>
      </c>
      <c r="E310" s="512" t="s">
        <v>34</v>
      </c>
      <c r="F310" s="383" t="s">
        <v>5138</v>
      </c>
    </row>
    <row r="311" ht="15.75" customHeight="1">
      <c r="A311" s="383">
        <v>90.0</v>
      </c>
      <c r="B311" s="526" t="s">
        <v>5139</v>
      </c>
      <c r="C311" s="529">
        <v>3.39643129E8</v>
      </c>
      <c r="D311" s="294" t="s">
        <v>48</v>
      </c>
      <c r="E311" s="512" t="s">
        <v>216</v>
      </c>
      <c r="F311" s="383" t="s">
        <v>4942</v>
      </c>
    </row>
    <row r="312" ht="15.75" customHeight="1">
      <c r="A312" s="383">
        <v>91.0</v>
      </c>
      <c r="B312" s="526" t="s">
        <v>5140</v>
      </c>
      <c r="C312" s="529">
        <v>9.05906942E8</v>
      </c>
      <c r="D312" s="294" t="s">
        <v>48</v>
      </c>
      <c r="E312" s="512" t="s">
        <v>34</v>
      </c>
      <c r="F312" s="383" t="s">
        <v>5138</v>
      </c>
    </row>
    <row r="313" ht="15.75" customHeight="1">
      <c r="A313" s="383">
        <v>92.0</v>
      </c>
      <c r="B313" s="526" t="s">
        <v>5141</v>
      </c>
      <c r="C313" s="529">
        <v>9.02662836E8</v>
      </c>
      <c r="D313" s="294" t="s">
        <v>48</v>
      </c>
      <c r="E313" s="512" t="s">
        <v>4785</v>
      </c>
      <c r="F313" s="533" t="s">
        <v>5142</v>
      </c>
    </row>
    <row r="314" ht="15.75" customHeight="1">
      <c r="A314" s="383">
        <v>93.0</v>
      </c>
      <c r="B314" s="526" t="s">
        <v>5143</v>
      </c>
      <c r="C314" s="529">
        <v>9.06097825E8</v>
      </c>
      <c r="D314" s="294" t="s">
        <v>48</v>
      </c>
      <c r="E314" s="512" t="s">
        <v>216</v>
      </c>
      <c r="F314" s="383" t="s">
        <v>4942</v>
      </c>
    </row>
    <row r="315" ht="15.75" customHeight="1">
      <c r="A315" s="383">
        <v>94.0</v>
      </c>
      <c r="B315" s="526" t="s">
        <v>5144</v>
      </c>
      <c r="C315" s="529">
        <v>9.052259E8</v>
      </c>
      <c r="D315" s="294" t="s">
        <v>48</v>
      </c>
      <c r="E315" s="512" t="s">
        <v>4785</v>
      </c>
      <c r="F315" s="534" t="s">
        <v>5145</v>
      </c>
    </row>
    <row r="316" ht="15.75" customHeight="1">
      <c r="A316" s="383">
        <v>95.0</v>
      </c>
      <c r="B316" s="526" t="s">
        <v>5146</v>
      </c>
      <c r="C316" s="529">
        <v>9.32483007E8</v>
      </c>
      <c r="D316" s="294" t="s">
        <v>48</v>
      </c>
      <c r="E316" s="512" t="s">
        <v>34</v>
      </c>
      <c r="F316" s="383" t="s">
        <v>4973</v>
      </c>
    </row>
    <row r="317" ht="15.75" customHeight="1">
      <c r="A317" s="383">
        <v>96.0</v>
      </c>
      <c r="B317" s="526" t="s">
        <v>5147</v>
      </c>
      <c r="C317" s="529">
        <v>9.05836213E8</v>
      </c>
      <c r="D317" s="294" t="s">
        <v>48</v>
      </c>
      <c r="E317" s="512" t="s">
        <v>34</v>
      </c>
      <c r="F317" s="383" t="s">
        <v>5136</v>
      </c>
    </row>
    <row r="318" ht="15.75" customHeight="1">
      <c r="A318" s="383">
        <v>97.0</v>
      </c>
      <c r="B318" s="528" t="s">
        <v>5148</v>
      </c>
      <c r="C318" s="529">
        <v>9.83190378E8</v>
      </c>
      <c r="D318" s="294" t="s">
        <v>48</v>
      </c>
      <c r="E318" s="512" t="s">
        <v>34</v>
      </c>
      <c r="F318" s="383" t="s">
        <v>5129</v>
      </c>
    </row>
    <row r="319" ht="15.75" customHeight="1">
      <c r="A319" s="383">
        <v>98.0</v>
      </c>
      <c r="B319" s="526" t="s">
        <v>5149</v>
      </c>
      <c r="C319" s="529">
        <v>9.05231056E8</v>
      </c>
      <c r="D319" s="294" t="s">
        <v>48</v>
      </c>
      <c r="E319" s="512" t="s">
        <v>216</v>
      </c>
    </row>
    <row r="320" ht="15.75" customHeight="1">
      <c r="A320" s="383">
        <v>99.0</v>
      </c>
      <c r="B320" s="526" t="s">
        <v>5150</v>
      </c>
      <c r="C320" s="529">
        <v>9.34818033E8</v>
      </c>
      <c r="D320" s="294" t="s">
        <v>48</v>
      </c>
      <c r="E320" s="512" t="s">
        <v>34</v>
      </c>
      <c r="F320" s="383" t="s">
        <v>5151</v>
      </c>
    </row>
    <row r="321" ht="15.75" customHeight="1">
      <c r="A321" s="383">
        <v>100.0</v>
      </c>
      <c r="B321" s="526" t="s">
        <v>5152</v>
      </c>
      <c r="C321" s="529">
        <v>9.05196011E8</v>
      </c>
      <c r="D321" s="294" t="s">
        <v>48</v>
      </c>
      <c r="E321" s="512" t="s">
        <v>4785</v>
      </c>
      <c r="F321" s="383" t="s">
        <v>5153</v>
      </c>
    </row>
    <row r="322" ht="15.75" customHeight="1">
      <c r="A322" s="383">
        <v>101.0</v>
      </c>
      <c r="B322" s="526" t="s">
        <v>5154</v>
      </c>
      <c r="C322" s="529">
        <v>3.66365058E8</v>
      </c>
      <c r="D322" s="294" t="s">
        <v>48</v>
      </c>
      <c r="E322" s="512" t="s">
        <v>4785</v>
      </c>
      <c r="F322" s="518" t="s">
        <v>5155</v>
      </c>
    </row>
    <row r="323" ht="15.75" customHeight="1">
      <c r="A323" s="383">
        <v>102.0</v>
      </c>
      <c r="B323" s="526" t="s">
        <v>5156</v>
      </c>
      <c r="C323" s="529">
        <v>9.79733031E8</v>
      </c>
      <c r="D323" s="294" t="s">
        <v>48</v>
      </c>
      <c r="E323" s="512" t="s">
        <v>216</v>
      </c>
      <c r="F323" s="383" t="s">
        <v>4942</v>
      </c>
    </row>
    <row r="324" ht="15.75" customHeight="1">
      <c r="A324" s="383">
        <v>103.0</v>
      </c>
      <c r="B324" s="526" t="s">
        <v>5157</v>
      </c>
      <c r="C324" s="529">
        <v>9.34800708E8</v>
      </c>
      <c r="D324" s="294" t="s">
        <v>48</v>
      </c>
      <c r="E324" s="512" t="s">
        <v>216</v>
      </c>
      <c r="F324" s="383" t="s">
        <v>4942</v>
      </c>
    </row>
    <row r="325" ht="15.75" customHeight="1">
      <c r="A325" s="383">
        <v>104.0</v>
      </c>
      <c r="B325" s="526" t="s">
        <v>5158</v>
      </c>
      <c r="C325" s="527">
        <v>7.63789965E8</v>
      </c>
      <c r="D325" s="294" t="s">
        <v>48</v>
      </c>
      <c r="E325" s="512" t="s">
        <v>34</v>
      </c>
      <c r="F325" s="383" t="s">
        <v>5159</v>
      </c>
    </row>
    <row r="326" ht="15.75" customHeight="1">
      <c r="A326" s="383">
        <v>105.0</v>
      </c>
      <c r="B326" s="530" t="s">
        <v>5160</v>
      </c>
      <c r="C326" s="529">
        <v>9.35652601E8</v>
      </c>
      <c r="D326" s="294" t="s">
        <v>48</v>
      </c>
      <c r="E326" s="512" t="s">
        <v>34</v>
      </c>
      <c r="F326" s="383" t="s">
        <v>5129</v>
      </c>
    </row>
    <row r="327" ht="15.75" customHeight="1">
      <c r="A327" s="383">
        <v>106.0</v>
      </c>
      <c r="B327" s="526" t="s">
        <v>5161</v>
      </c>
      <c r="C327" s="529">
        <v>9.05528485E8</v>
      </c>
      <c r="D327" s="294" t="s">
        <v>48</v>
      </c>
      <c r="E327" s="512" t="s">
        <v>216</v>
      </c>
      <c r="F327" s="383" t="s">
        <v>4942</v>
      </c>
    </row>
    <row r="328" ht="15.75" customHeight="1">
      <c r="A328" s="383">
        <v>107.0</v>
      </c>
      <c r="B328" s="526" t="s">
        <v>5162</v>
      </c>
      <c r="C328" s="529">
        <v>9.06488189E8</v>
      </c>
      <c r="D328" s="294" t="s">
        <v>48</v>
      </c>
      <c r="E328" s="512" t="s">
        <v>216</v>
      </c>
      <c r="F328" s="383" t="s">
        <v>4942</v>
      </c>
    </row>
    <row r="329" ht="15.75" customHeight="1">
      <c r="A329" s="383">
        <v>108.0</v>
      </c>
      <c r="B329" s="526" t="s">
        <v>5163</v>
      </c>
      <c r="C329" s="529">
        <v>9.32550127E8</v>
      </c>
      <c r="D329" s="294" t="s">
        <v>48</v>
      </c>
      <c r="E329" s="512" t="s">
        <v>216</v>
      </c>
      <c r="F329" s="383" t="s">
        <v>4942</v>
      </c>
    </row>
    <row r="330" ht="15.75" customHeight="1">
      <c r="A330" s="383">
        <v>109.0</v>
      </c>
      <c r="B330" s="530" t="s">
        <v>5164</v>
      </c>
      <c r="C330" s="529">
        <v>9.06391605E8</v>
      </c>
      <c r="D330" s="294" t="s">
        <v>48</v>
      </c>
      <c r="E330" s="512" t="s">
        <v>216</v>
      </c>
      <c r="F330" s="383" t="s">
        <v>5165</v>
      </c>
    </row>
    <row r="331" ht="15.75" customHeight="1">
      <c r="A331" s="383">
        <v>110.0</v>
      </c>
      <c r="B331" s="530" t="s">
        <v>5164</v>
      </c>
      <c r="C331" s="529">
        <v>9.66203377E8</v>
      </c>
      <c r="D331" s="294" t="s">
        <v>48</v>
      </c>
      <c r="E331" s="512" t="s">
        <v>34</v>
      </c>
      <c r="F331" s="383" t="s">
        <v>5166</v>
      </c>
    </row>
    <row r="332" ht="15.75" customHeight="1">
      <c r="A332" s="383">
        <v>111.0</v>
      </c>
      <c r="B332" s="526" t="s">
        <v>5167</v>
      </c>
      <c r="C332" s="529">
        <v>9.05855306E8</v>
      </c>
      <c r="D332" s="294" t="s">
        <v>48</v>
      </c>
      <c r="E332" s="512" t="s">
        <v>4785</v>
      </c>
      <c r="F332" s="383" t="s">
        <v>5168</v>
      </c>
    </row>
    <row r="333" ht="15.75" customHeight="1">
      <c r="A333" s="383">
        <v>112.0</v>
      </c>
      <c r="B333" s="526" t="s">
        <v>5169</v>
      </c>
      <c r="C333" s="529">
        <v>9.05012315E8</v>
      </c>
      <c r="D333" s="294" t="s">
        <v>48</v>
      </c>
      <c r="E333" s="512" t="s">
        <v>4785</v>
      </c>
      <c r="F333" s="518" t="s">
        <v>4983</v>
      </c>
    </row>
    <row r="334" ht="15.75" customHeight="1">
      <c r="A334" s="383">
        <v>113.0</v>
      </c>
      <c r="B334" s="526" t="s">
        <v>5170</v>
      </c>
      <c r="C334" s="529">
        <v>9.05935436E8</v>
      </c>
      <c r="D334" s="294" t="s">
        <v>48</v>
      </c>
      <c r="E334" s="512" t="s">
        <v>34</v>
      </c>
      <c r="F334" s="383" t="s">
        <v>5129</v>
      </c>
    </row>
    <row r="335" ht="15.75" customHeight="1">
      <c r="A335" s="383">
        <v>114.0</v>
      </c>
      <c r="B335" s="526" t="s">
        <v>5171</v>
      </c>
      <c r="C335" s="529">
        <v>9.06554066E8</v>
      </c>
      <c r="D335" s="294" t="s">
        <v>48</v>
      </c>
      <c r="E335" s="512" t="s">
        <v>4785</v>
      </c>
      <c r="F335" s="535" t="s">
        <v>5172</v>
      </c>
    </row>
    <row r="336" ht="15.75" customHeight="1">
      <c r="A336" s="383">
        <v>115.0</v>
      </c>
      <c r="B336" s="526" t="s">
        <v>5173</v>
      </c>
      <c r="C336" s="529">
        <v>7.62705652E8</v>
      </c>
      <c r="D336" s="294" t="s">
        <v>48</v>
      </c>
      <c r="E336" s="512" t="s">
        <v>216</v>
      </c>
      <c r="F336" s="383" t="s">
        <v>4942</v>
      </c>
    </row>
    <row r="337" ht="15.75" customHeight="1">
      <c r="A337" s="383">
        <v>116.0</v>
      </c>
      <c r="B337" s="526" t="s">
        <v>5174</v>
      </c>
      <c r="C337" s="529">
        <v>9.1402049E8</v>
      </c>
      <c r="D337" s="294" t="s">
        <v>48</v>
      </c>
      <c r="E337" s="512" t="s">
        <v>34</v>
      </c>
      <c r="F337" s="383" t="s">
        <v>5175</v>
      </c>
    </row>
    <row r="338" ht="15.75" customHeight="1">
      <c r="A338" s="383">
        <v>117.0</v>
      </c>
      <c r="B338" s="526" t="s">
        <v>4800</v>
      </c>
      <c r="C338" s="529">
        <v>9.05405155E8</v>
      </c>
      <c r="D338" s="294" t="s">
        <v>48</v>
      </c>
      <c r="E338" s="512" t="s">
        <v>216</v>
      </c>
      <c r="F338" s="383" t="s">
        <v>4942</v>
      </c>
    </row>
    <row r="339" ht="15.75" customHeight="1">
      <c r="A339" s="383">
        <v>118.0</v>
      </c>
      <c r="B339" s="526" t="s">
        <v>5176</v>
      </c>
      <c r="C339" s="529">
        <v>9.05250266E8</v>
      </c>
      <c r="D339" s="294" t="s">
        <v>48</v>
      </c>
      <c r="E339" s="512" t="s">
        <v>4785</v>
      </c>
      <c r="F339" s="383" t="s">
        <v>5177</v>
      </c>
    </row>
    <row r="340" ht="15.75" customHeight="1">
      <c r="A340" s="383">
        <v>119.0</v>
      </c>
      <c r="B340" s="526" t="s">
        <v>5178</v>
      </c>
      <c r="C340" s="529">
        <v>9.14304468E8</v>
      </c>
      <c r="D340" s="294" t="s">
        <v>48</v>
      </c>
      <c r="E340" s="512" t="s">
        <v>34</v>
      </c>
      <c r="F340" s="383" t="s">
        <v>5179</v>
      </c>
    </row>
    <row r="341" ht="15.75" customHeight="1">
      <c r="A341" s="383">
        <v>120.0</v>
      </c>
      <c r="B341" s="526" t="s">
        <v>1252</v>
      </c>
      <c r="C341" s="529">
        <v>9.05123373E8</v>
      </c>
      <c r="D341" s="294" t="s">
        <v>48</v>
      </c>
      <c r="E341" s="512" t="s">
        <v>34</v>
      </c>
      <c r="F341" s="383" t="s">
        <v>5159</v>
      </c>
    </row>
    <row r="342" ht="15.75" customHeight="1"/>
    <row r="343" ht="15.75" customHeight="1">
      <c r="A343" s="536">
        <v>45108.0</v>
      </c>
    </row>
    <row r="344" ht="15.75" customHeight="1">
      <c r="A344" s="383">
        <v>1.0</v>
      </c>
      <c r="B344" s="537" t="s">
        <v>5180</v>
      </c>
      <c r="C344" s="538">
        <v>9.89077753E8</v>
      </c>
      <c r="D344" s="294" t="s">
        <v>48</v>
      </c>
      <c r="E344" s="512" t="s">
        <v>216</v>
      </c>
    </row>
    <row r="345" ht="15.75" customHeight="1">
      <c r="A345" s="383">
        <v>2.0</v>
      </c>
      <c r="B345" s="537" t="s">
        <v>1313</v>
      </c>
      <c r="C345" s="538">
        <v>9.05776323E8</v>
      </c>
      <c r="D345" s="294" t="s">
        <v>48</v>
      </c>
      <c r="E345" s="512" t="s">
        <v>34</v>
      </c>
      <c r="F345" s="383" t="s">
        <v>5181</v>
      </c>
    </row>
    <row r="346" ht="15.75" customHeight="1">
      <c r="A346" s="383">
        <v>3.0</v>
      </c>
      <c r="B346" s="537" t="s">
        <v>5182</v>
      </c>
      <c r="C346" s="538">
        <v>9.05305111E8</v>
      </c>
      <c r="D346" s="294" t="s">
        <v>48</v>
      </c>
      <c r="E346" s="512" t="s">
        <v>216</v>
      </c>
    </row>
    <row r="347" ht="15.75" customHeight="1">
      <c r="A347" s="383">
        <v>4.0</v>
      </c>
      <c r="B347" s="537" t="s">
        <v>5183</v>
      </c>
      <c r="C347" s="537" t="s">
        <v>5184</v>
      </c>
      <c r="D347" s="294" t="s">
        <v>48</v>
      </c>
      <c r="E347" s="512" t="s">
        <v>34</v>
      </c>
      <c r="F347" s="383" t="s">
        <v>5166</v>
      </c>
    </row>
    <row r="348" ht="15.75" customHeight="1">
      <c r="A348" s="383">
        <v>5.0</v>
      </c>
      <c r="B348" s="537" t="s">
        <v>5185</v>
      </c>
      <c r="C348" s="537" t="s">
        <v>5186</v>
      </c>
      <c r="D348" s="294" t="s">
        <v>48</v>
      </c>
      <c r="E348" s="512" t="s">
        <v>34</v>
      </c>
    </row>
    <row r="349" ht="15.75" customHeight="1">
      <c r="A349" s="383">
        <v>6.0</v>
      </c>
      <c r="B349" s="537" t="s">
        <v>5187</v>
      </c>
      <c r="C349" s="537" t="s">
        <v>5188</v>
      </c>
      <c r="D349" s="294" t="s">
        <v>48</v>
      </c>
      <c r="E349" s="512" t="s">
        <v>34</v>
      </c>
    </row>
    <row r="350" ht="15.75" customHeight="1">
      <c r="A350" s="383">
        <v>7.0</v>
      </c>
      <c r="B350" s="537" t="s">
        <v>5189</v>
      </c>
      <c r="C350" s="537" t="s">
        <v>5190</v>
      </c>
      <c r="D350" s="294" t="s">
        <v>48</v>
      </c>
      <c r="E350" s="512" t="s">
        <v>34</v>
      </c>
      <c r="F350" s="383" t="s">
        <v>5191</v>
      </c>
    </row>
    <row r="351" ht="15.75" customHeight="1">
      <c r="A351" s="383">
        <v>8.0</v>
      </c>
      <c r="B351" s="537" t="s">
        <v>5192</v>
      </c>
      <c r="C351" s="537" t="s">
        <v>5193</v>
      </c>
      <c r="D351" s="294" t="s">
        <v>48</v>
      </c>
      <c r="E351" s="512" t="s">
        <v>216</v>
      </c>
      <c r="F351" s="383" t="s">
        <v>5194</v>
      </c>
    </row>
    <row r="352" ht="15.75" customHeight="1">
      <c r="A352" s="383">
        <v>9.0</v>
      </c>
      <c r="B352" s="537" t="s">
        <v>5195</v>
      </c>
      <c r="C352" s="537" t="s">
        <v>5196</v>
      </c>
      <c r="D352" s="294" t="s">
        <v>48</v>
      </c>
      <c r="E352" s="512" t="s">
        <v>34</v>
      </c>
      <c r="F352" s="383" t="s">
        <v>5194</v>
      </c>
    </row>
    <row r="353" ht="15.75" customHeight="1">
      <c r="A353" s="383">
        <v>10.0</v>
      </c>
      <c r="B353" s="537" t="s">
        <v>5197</v>
      </c>
      <c r="C353" s="537" t="s">
        <v>5198</v>
      </c>
      <c r="D353" s="294" t="s">
        <v>48</v>
      </c>
      <c r="E353" s="512" t="s">
        <v>216</v>
      </c>
      <c r="F353" s="383" t="s">
        <v>5131</v>
      </c>
    </row>
    <row r="354" ht="15.75" customHeight="1">
      <c r="A354" s="383">
        <v>11.0</v>
      </c>
      <c r="B354" s="537" t="s">
        <v>5199</v>
      </c>
      <c r="C354" s="537" t="s">
        <v>5200</v>
      </c>
      <c r="D354" s="294" t="s">
        <v>48</v>
      </c>
      <c r="E354" s="512" t="s">
        <v>34</v>
      </c>
    </row>
    <row r="355" ht="15.75" customHeight="1">
      <c r="A355" s="383">
        <v>12.0</v>
      </c>
      <c r="B355" s="537" t="s">
        <v>5201</v>
      </c>
      <c r="C355" s="537" t="s">
        <v>5202</v>
      </c>
      <c r="D355" s="294" t="s">
        <v>48</v>
      </c>
      <c r="E355" s="512" t="s">
        <v>216</v>
      </c>
      <c r="F355" s="383" t="s">
        <v>4942</v>
      </c>
    </row>
    <row r="356" ht="15.75" customHeight="1">
      <c r="A356" s="383">
        <v>13.0</v>
      </c>
      <c r="B356" s="537" t="s">
        <v>5203</v>
      </c>
      <c r="C356" s="537" t="s">
        <v>5204</v>
      </c>
      <c r="D356" s="294" t="s">
        <v>48</v>
      </c>
      <c r="E356" s="512" t="s">
        <v>216</v>
      </c>
      <c r="F356" s="383" t="s">
        <v>4792</v>
      </c>
    </row>
    <row r="357" ht="15.75" customHeight="1">
      <c r="A357" s="383">
        <v>14.0</v>
      </c>
      <c r="B357" s="537" t="s">
        <v>5203</v>
      </c>
      <c r="C357" s="537" t="s">
        <v>5205</v>
      </c>
      <c r="D357" s="294" t="s">
        <v>48</v>
      </c>
      <c r="E357" s="512" t="s">
        <v>34</v>
      </c>
      <c r="F357" s="383" t="s">
        <v>5206</v>
      </c>
    </row>
    <row r="358" ht="15.75" customHeight="1">
      <c r="A358" s="383">
        <v>15.0</v>
      </c>
      <c r="B358" s="537" t="s">
        <v>5207</v>
      </c>
      <c r="C358" s="537" t="s">
        <v>5208</v>
      </c>
      <c r="D358" s="294" t="s">
        <v>48</v>
      </c>
      <c r="E358" s="512" t="s">
        <v>34</v>
      </c>
      <c r="F358" s="383" t="s">
        <v>5209</v>
      </c>
    </row>
    <row r="359" ht="15.75" customHeight="1">
      <c r="A359" s="383">
        <v>16.0</v>
      </c>
      <c r="B359" s="537" t="s">
        <v>5210</v>
      </c>
      <c r="C359" s="537" t="s">
        <v>5211</v>
      </c>
      <c r="D359" s="294" t="s">
        <v>48</v>
      </c>
      <c r="E359" s="512" t="s">
        <v>34</v>
      </c>
      <c r="F359" s="383" t="s">
        <v>5166</v>
      </c>
    </row>
    <row r="360" ht="15.75" customHeight="1">
      <c r="A360" s="383">
        <v>17.0</v>
      </c>
      <c r="B360" s="537" t="s">
        <v>5212</v>
      </c>
      <c r="C360" s="537" t="s">
        <v>5213</v>
      </c>
      <c r="D360" s="294" t="s">
        <v>48</v>
      </c>
      <c r="E360" s="512" t="s">
        <v>34</v>
      </c>
      <c r="F360" s="383" t="s">
        <v>4898</v>
      </c>
    </row>
    <row r="361" ht="15.75" customHeight="1">
      <c r="A361" s="383">
        <v>18.0</v>
      </c>
      <c r="B361" s="537" t="s">
        <v>5214</v>
      </c>
      <c r="C361" s="537" t="s">
        <v>5215</v>
      </c>
      <c r="D361" s="294" t="s">
        <v>48</v>
      </c>
      <c r="E361" s="512" t="s">
        <v>34</v>
      </c>
      <c r="F361" s="383" t="s">
        <v>4898</v>
      </c>
    </row>
    <row r="362" ht="15.75" customHeight="1">
      <c r="A362" s="383">
        <v>19.0</v>
      </c>
      <c r="B362" s="537" t="s">
        <v>5216</v>
      </c>
      <c r="C362" s="537" t="s">
        <v>5217</v>
      </c>
      <c r="D362" s="294" t="s">
        <v>48</v>
      </c>
      <c r="E362" s="512" t="s">
        <v>216</v>
      </c>
      <c r="F362" s="383" t="s">
        <v>4997</v>
      </c>
    </row>
    <row r="363" ht="15.75" customHeight="1">
      <c r="A363" s="383">
        <v>20.0</v>
      </c>
      <c r="B363" s="537" t="s">
        <v>5218</v>
      </c>
      <c r="C363" s="537" t="s">
        <v>5219</v>
      </c>
      <c r="D363" s="294" t="s">
        <v>48</v>
      </c>
      <c r="E363" s="512" t="s">
        <v>34</v>
      </c>
      <c r="F363" s="383" t="s">
        <v>4898</v>
      </c>
    </row>
    <row r="364" ht="15.75" customHeight="1">
      <c r="A364" s="383">
        <v>21.0</v>
      </c>
      <c r="B364" s="537" t="s">
        <v>5220</v>
      </c>
      <c r="C364" s="537" t="s">
        <v>5221</v>
      </c>
      <c r="D364" s="294" t="s">
        <v>48</v>
      </c>
      <c r="E364" s="512" t="s">
        <v>34</v>
      </c>
      <c r="F364" s="383" t="s">
        <v>5222</v>
      </c>
    </row>
    <row r="365" ht="15.75" customHeight="1">
      <c r="A365" s="383">
        <v>22.0</v>
      </c>
      <c r="B365" s="537" t="s">
        <v>5223</v>
      </c>
      <c r="C365" s="537" t="s">
        <v>5224</v>
      </c>
      <c r="D365" s="294" t="s">
        <v>48</v>
      </c>
      <c r="E365" s="512" t="s">
        <v>34</v>
      </c>
      <c r="F365" s="383" t="s">
        <v>4898</v>
      </c>
    </row>
    <row r="366" ht="15.75" customHeight="1">
      <c r="A366" s="383">
        <v>23.0</v>
      </c>
      <c r="B366" s="537" t="s">
        <v>5225</v>
      </c>
      <c r="C366" s="537" t="s">
        <v>5226</v>
      </c>
      <c r="D366" s="294" t="s">
        <v>48</v>
      </c>
      <c r="E366" s="512" t="s">
        <v>216</v>
      </c>
    </row>
    <row r="367" ht="15.75" customHeight="1">
      <c r="A367" s="383">
        <v>24.0</v>
      </c>
      <c r="B367" s="537" t="s">
        <v>5227</v>
      </c>
      <c r="C367" s="537" t="s">
        <v>5228</v>
      </c>
      <c r="D367" s="294" t="s">
        <v>48</v>
      </c>
      <c r="E367" s="512" t="s">
        <v>34</v>
      </c>
      <c r="F367" s="383" t="s">
        <v>5175</v>
      </c>
    </row>
    <row r="368" ht="15.75" customHeight="1">
      <c r="A368" s="383">
        <v>25.0</v>
      </c>
      <c r="B368" s="537" t="s">
        <v>5229</v>
      </c>
      <c r="C368" s="537" t="s">
        <v>5230</v>
      </c>
      <c r="D368" s="294" t="s">
        <v>48</v>
      </c>
      <c r="E368" s="512" t="s">
        <v>216</v>
      </c>
      <c r="F368" s="383" t="s">
        <v>4997</v>
      </c>
    </row>
    <row r="369" ht="15.75" customHeight="1">
      <c r="A369" s="383">
        <v>26.0</v>
      </c>
      <c r="B369" s="537" t="s">
        <v>5231</v>
      </c>
      <c r="C369" s="537" t="s">
        <v>5232</v>
      </c>
      <c r="D369" s="294" t="s">
        <v>48</v>
      </c>
      <c r="E369" s="512" t="s">
        <v>216</v>
      </c>
      <c r="F369" s="383" t="s">
        <v>4853</v>
      </c>
    </row>
    <row r="370" ht="15.75" customHeight="1">
      <c r="A370" s="383">
        <v>27.0</v>
      </c>
      <c r="B370" s="537" t="s">
        <v>5233</v>
      </c>
      <c r="C370" s="537" t="s">
        <v>5234</v>
      </c>
      <c r="D370" s="294" t="s">
        <v>48</v>
      </c>
      <c r="E370" s="512" t="s">
        <v>216</v>
      </c>
      <c r="F370" s="383" t="s">
        <v>4997</v>
      </c>
    </row>
    <row r="371" ht="15.75" customHeight="1">
      <c r="A371" s="383">
        <v>28.0</v>
      </c>
      <c r="B371" s="537" t="s">
        <v>5235</v>
      </c>
      <c r="C371" s="537" t="s">
        <v>5236</v>
      </c>
      <c r="D371" s="294" t="s">
        <v>48</v>
      </c>
      <c r="E371" s="512" t="s">
        <v>34</v>
      </c>
      <c r="F371" s="383" t="s">
        <v>5129</v>
      </c>
    </row>
    <row r="372" ht="15.75" customHeight="1">
      <c r="A372" s="383">
        <v>29.0</v>
      </c>
      <c r="B372" s="537" t="s">
        <v>3594</v>
      </c>
      <c r="C372" s="537" t="s">
        <v>5237</v>
      </c>
      <c r="D372" s="294" t="s">
        <v>48</v>
      </c>
      <c r="E372" s="512"/>
    </row>
    <row r="373" ht="15.75" customHeight="1">
      <c r="A373" s="383">
        <v>30.0</v>
      </c>
      <c r="B373" s="537" t="s">
        <v>5238</v>
      </c>
      <c r="C373" s="537" t="s">
        <v>5239</v>
      </c>
      <c r="D373" s="294" t="s">
        <v>48</v>
      </c>
      <c r="E373" s="512"/>
    </row>
    <row r="374" ht="15.75" customHeight="1">
      <c r="A374" s="383">
        <v>31.0</v>
      </c>
      <c r="B374" s="537" t="s">
        <v>5240</v>
      </c>
      <c r="C374" s="537" t="s">
        <v>5241</v>
      </c>
      <c r="D374" s="294" t="s">
        <v>48</v>
      </c>
      <c r="E374" s="512"/>
    </row>
    <row r="375" ht="15.75" customHeight="1">
      <c r="A375" s="383">
        <v>32.0</v>
      </c>
      <c r="B375" s="537" t="s">
        <v>5242</v>
      </c>
      <c r="C375" s="537" t="s">
        <v>5243</v>
      </c>
      <c r="D375" s="294" t="s">
        <v>48</v>
      </c>
      <c r="E375" s="512"/>
    </row>
    <row r="376" ht="15.75" customHeight="1">
      <c r="A376" s="383">
        <v>33.0</v>
      </c>
      <c r="B376" s="537" t="s">
        <v>5244</v>
      </c>
      <c r="C376" s="537" t="s">
        <v>5245</v>
      </c>
      <c r="D376" s="294" t="s">
        <v>48</v>
      </c>
      <c r="E376" s="512"/>
    </row>
    <row r="377" ht="15.75" customHeight="1">
      <c r="A377" s="383">
        <v>34.0</v>
      </c>
      <c r="B377" s="537" t="s">
        <v>5246</v>
      </c>
      <c r="C377" s="537" t="s">
        <v>5247</v>
      </c>
      <c r="D377" s="294" t="s">
        <v>48</v>
      </c>
      <c r="E377" s="512"/>
    </row>
    <row r="378" ht="15.75" customHeight="1">
      <c r="A378" s="383">
        <v>35.0</v>
      </c>
      <c r="B378" s="537" t="s">
        <v>5248</v>
      </c>
      <c r="C378" s="537" t="s">
        <v>5249</v>
      </c>
      <c r="D378" s="294" t="s">
        <v>48</v>
      </c>
      <c r="E378" s="512"/>
    </row>
    <row r="379" ht="15.75" customHeight="1">
      <c r="A379" s="383">
        <v>36.0</v>
      </c>
      <c r="B379" s="537" t="s">
        <v>5250</v>
      </c>
      <c r="C379" s="537" t="s">
        <v>5251</v>
      </c>
      <c r="D379" s="294" t="s">
        <v>48</v>
      </c>
      <c r="E379" s="512"/>
    </row>
    <row r="380" ht="15.75" customHeight="1">
      <c r="A380" s="383">
        <v>37.0</v>
      </c>
      <c r="B380" s="537" t="s">
        <v>5252</v>
      </c>
      <c r="C380" s="537" t="s">
        <v>5253</v>
      </c>
      <c r="D380" s="294" t="s">
        <v>48</v>
      </c>
      <c r="E380" s="512"/>
    </row>
    <row r="381" ht="15.75" customHeight="1">
      <c r="A381" s="383">
        <v>38.0</v>
      </c>
      <c r="B381" s="537" t="s">
        <v>5254</v>
      </c>
      <c r="C381" s="537" t="s">
        <v>5255</v>
      </c>
      <c r="D381" s="294" t="s">
        <v>48</v>
      </c>
      <c r="E381" s="512"/>
    </row>
    <row r="382" ht="15.75" customHeight="1">
      <c r="A382" s="383">
        <v>39.0</v>
      </c>
      <c r="B382" s="537" t="s">
        <v>5256</v>
      </c>
      <c r="C382" s="537" t="s">
        <v>5257</v>
      </c>
      <c r="D382" s="294" t="s">
        <v>48</v>
      </c>
      <c r="E382" s="512"/>
    </row>
    <row r="383" ht="15.75" customHeight="1">
      <c r="A383" s="383">
        <v>40.0</v>
      </c>
      <c r="B383" s="537" t="s">
        <v>5258</v>
      </c>
      <c r="C383" s="537" t="s">
        <v>5259</v>
      </c>
      <c r="D383" s="294" t="s">
        <v>48</v>
      </c>
      <c r="E383" s="512"/>
    </row>
    <row r="384" ht="15.75" customHeight="1">
      <c r="A384" s="383">
        <v>41.0</v>
      </c>
      <c r="B384" s="537" t="s">
        <v>5260</v>
      </c>
      <c r="C384" s="537" t="s">
        <v>5261</v>
      </c>
      <c r="D384" s="294" t="s">
        <v>48</v>
      </c>
      <c r="E384" s="512"/>
    </row>
    <row r="385" ht="15.75" customHeight="1">
      <c r="A385" s="383">
        <v>42.0</v>
      </c>
      <c r="B385" s="537" t="s">
        <v>5262</v>
      </c>
      <c r="C385" s="537" t="s">
        <v>5263</v>
      </c>
      <c r="D385" s="294" t="s">
        <v>48</v>
      </c>
      <c r="E385" s="512"/>
    </row>
    <row r="386" ht="15.75" customHeight="1">
      <c r="A386" s="383">
        <v>43.0</v>
      </c>
      <c r="B386" s="537" t="s">
        <v>5264</v>
      </c>
      <c r="C386" s="537" t="s">
        <v>5265</v>
      </c>
      <c r="D386" s="294" t="s">
        <v>48</v>
      </c>
      <c r="E386" s="512"/>
    </row>
    <row r="387" ht="15.75" customHeight="1">
      <c r="A387" s="383">
        <v>44.0</v>
      </c>
      <c r="B387" s="537" t="s">
        <v>5266</v>
      </c>
      <c r="C387" s="537" t="s">
        <v>5267</v>
      </c>
      <c r="D387" s="294" t="s">
        <v>48</v>
      </c>
      <c r="E387" s="512"/>
    </row>
    <row r="388" ht="15.75" customHeight="1">
      <c r="A388" s="383">
        <v>45.0</v>
      </c>
      <c r="B388" s="537" t="s">
        <v>5268</v>
      </c>
      <c r="C388" s="537" t="s">
        <v>5269</v>
      </c>
      <c r="D388" s="294" t="s">
        <v>48</v>
      </c>
      <c r="E388" s="512"/>
    </row>
    <row r="389" ht="15.75" customHeight="1">
      <c r="A389" s="383">
        <v>46.0</v>
      </c>
      <c r="B389" s="537" t="s">
        <v>5270</v>
      </c>
      <c r="C389" s="537" t="s">
        <v>5271</v>
      </c>
      <c r="D389" s="294" t="s">
        <v>48</v>
      </c>
      <c r="E389" s="512"/>
    </row>
    <row r="390" ht="15.75" customHeight="1">
      <c r="A390" s="383">
        <v>47.0</v>
      </c>
      <c r="B390" s="537" t="s">
        <v>5272</v>
      </c>
      <c r="C390" s="537" t="s">
        <v>5273</v>
      </c>
      <c r="D390" s="294" t="s">
        <v>48</v>
      </c>
      <c r="E390" s="512"/>
    </row>
    <row r="391" ht="15.75" customHeight="1">
      <c r="A391" s="383">
        <v>48.0</v>
      </c>
      <c r="B391" s="537" t="s">
        <v>5274</v>
      </c>
      <c r="C391" s="537" t="s">
        <v>5275</v>
      </c>
      <c r="D391" s="294" t="s">
        <v>48</v>
      </c>
      <c r="E391" s="512"/>
    </row>
    <row r="392" ht="15.75" customHeight="1">
      <c r="A392" s="383">
        <v>49.0</v>
      </c>
      <c r="B392" s="537" t="s">
        <v>5276</v>
      </c>
      <c r="C392" s="537" t="s">
        <v>5277</v>
      </c>
      <c r="D392" s="294" t="s">
        <v>48</v>
      </c>
      <c r="E392" s="512"/>
    </row>
    <row r="393" ht="15.75" customHeight="1">
      <c r="A393" s="383">
        <v>50.0</v>
      </c>
      <c r="B393" s="537" t="s">
        <v>5278</v>
      </c>
      <c r="C393" s="537" t="s">
        <v>5279</v>
      </c>
      <c r="D393" s="294" t="s">
        <v>48</v>
      </c>
      <c r="E393" s="512"/>
    </row>
    <row r="394" ht="15.75" customHeight="1">
      <c r="A394" s="383">
        <v>51.0</v>
      </c>
      <c r="B394" s="537" t="s">
        <v>5280</v>
      </c>
      <c r="C394" s="537" t="s">
        <v>5281</v>
      </c>
      <c r="D394" s="294" t="s">
        <v>111</v>
      </c>
      <c r="E394" s="512" t="s">
        <v>34</v>
      </c>
      <c r="F394" s="383" t="s">
        <v>4895</v>
      </c>
    </row>
    <row r="395" ht="15.75" customHeight="1">
      <c r="A395" s="383">
        <v>52.0</v>
      </c>
      <c r="B395" s="537" t="s">
        <v>5282</v>
      </c>
      <c r="C395" s="539">
        <v>9.69970029E8</v>
      </c>
      <c r="D395" s="294" t="s">
        <v>111</v>
      </c>
      <c r="E395" s="512" t="s">
        <v>4785</v>
      </c>
      <c r="F395" s="383" t="s">
        <v>4096</v>
      </c>
    </row>
    <row r="396" ht="15.75" customHeight="1">
      <c r="A396" s="383">
        <v>53.0</v>
      </c>
      <c r="B396" s="537" t="s">
        <v>5283</v>
      </c>
      <c r="C396" s="537" t="s">
        <v>5284</v>
      </c>
      <c r="D396" s="294" t="s">
        <v>111</v>
      </c>
      <c r="E396" s="512" t="s">
        <v>34</v>
      </c>
      <c r="F396" s="383" t="s">
        <v>4853</v>
      </c>
    </row>
    <row r="397" ht="15.75" customHeight="1">
      <c r="A397" s="383">
        <v>54.0</v>
      </c>
      <c r="B397" s="537" t="s">
        <v>5285</v>
      </c>
      <c r="C397" s="537" t="s">
        <v>5265</v>
      </c>
      <c r="D397" s="294" t="s">
        <v>111</v>
      </c>
      <c r="E397" s="512" t="s">
        <v>34</v>
      </c>
      <c r="F397" s="383" t="s">
        <v>4898</v>
      </c>
    </row>
    <row r="398" ht="15.75" customHeight="1">
      <c r="A398" s="383">
        <v>55.0</v>
      </c>
      <c r="B398" s="537" t="s">
        <v>5286</v>
      </c>
      <c r="C398" s="537" t="s">
        <v>5287</v>
      </c>
      <c r="D398" s="294" t="s">
        <v>111</v>
      </c>
      <c r="E398" s="512" t="s">
        <v>34</v>
      </c>
      <c r="F398" s="383" t="s">
        <v>5054</v>
      </c>
    </row>
    <row r="399" ht="15.75" customHeight="1">
      <c r="A399" s="383">
        <v>56.0</v>
      </c>
      <c r="B399" s="537" t="s">
        <v>5288</v>
      </c>
      <c r="C399" s="537" t="s">
        <v>5289</v>
      </c>
      <c r="D399" s="294" t="s">
        <v>111</v>
      </c>
      <c r="E399" s="512" t="s">
        <v>34</v>
      </c>
      <c r="F399" s="383" t="s">
        <v>5054</v>
      </c>
    </row>
    <row r="400" ht="15.75" customHeight="1">
      <c r="A400" s="383">
        <v>57.0</v>
      </c>
      <c r="B400" s="537" t="s">
        <v>5290</v>
      </c>
      <c r="C400" s="537" t="s">
        <v>5291</v>
      </c>
      <c r="D400" s="294" t="s">
        <v>111</v>
      </c>
      <c r="E400" s="512" t="s">
        <v>34</v>
      </c>
      <c r="F400" s="383" t="s">
        <v>5292</v>
      </c>
    </row>
    <row r="401" ht="15.75" customHeight="1">
      <c r="A401" s="383">
        <v>58.0</v>
      </c>
      <c r="B401" s="537" t="s">
        <v>5293</v>
      </c>
      <c r="C401" s="537" t="s">
        <v>5294</v>
      </c>
      <c r="D401" s="294" t="s">
        <v>111</v>
      </c>
      <c r="E401" s="512" t="s">
        <v>34</v>
      </c>
      <c r="F401" s="383" t="s">
        <v>5295</v>
      </c>
    </row>
    <row r="402" ht="15.75" customHeight="1">
      <c r="A402" s="383">
        <v>59.0</v>
      </c>
      <c r="B402" s="537" t="s">
        <v>5296</v>
      </c>
      <c r="C402" s="537" t="s">
        <v>5297</v>
      </c>
      <c r="D402" s="294" t="s">
        <v>111</v>
      </c>
      <c r="E402" s="512" t="s">
        <v>34</v>
      </c>
      <c r="F402" s="383" t="s">
        <v>5298</v>
      </c>
    </row>
    <row r="403" ht="15.75" customHeight="1">
      <c r="A403" s="383">
        <v>60.0</v>
      </c>
      <c r="B403" s="537" t="s">
        <v>5299</v>
      </c>
      <c r="C403" s="537" t="s">
        <v>5300</v>
      </c>
      <c r="D403" s="294" t="s">
        <v>111</v>
      </c>
      <c r="E403" s="512" t="s">
        <v>216</v>
      </c>
      <c r="F403" s="383" t="s">
        <v>5045</v>
      </c>
    </row>
    <row r="404" ht="15.75" customHeight="1">
      <c r="A404" s="383">
        <v>61.0</v>
      </c>
      <c r="B404" s="537" t="s">
        <v>5301</v>
      </c>
      <c r="C404" s="537" t="s">
        <v>5302</v>
      </c>
      <c r="D404" s="294" t="s">
        <v>111</v>
      </c>
      <c r="E404" s="512" t="s">
        <v>34</v>
      </c>
      <c r="F404" s="383" t="s">
        <v>5054</v>
      </c>
    </row>
    <row r="405" ht="15.75" customHeight="1">
      <c r="A405" s="383">
        <v>62.0</v>
      </c>
      <c r="B405" s="537" t="s">
        <v>5303</v>
      </c>
      <c r="C405" s="537" t="s">
        <v>5304</v>
      </c>
      <c r="D405" s="294" t="s">
        <v>111</v>
      </c>
      <c r="E405" s="512" t="s">
        <v>34</v>
      </c>
      <c r="F405" s="383" t="s">
        <v>5054</v>
      </c>
    </row>
    <row r="406" ht="15.75" customHeight="1">
      <c r="A406" s="383">
        <v>63.0</v>
      </c>
      <c r="B406" s="537" t="s">
        <v>5305</v>
      </c>
      <c r="C406" s="537" t="s">
        <v>5306</v>
      </c>
      <c r="D406" s="294" t="s">
        <v>111</v>
      </c>
      <c r="E406" s="512" t="s">
        <v>216</v>
      </c>
    </row>
    <row r="407" ht="15.75" customHeight="1">
      <c r="A407" s="383">
        <v>64.0</v>
      </c>
      <c r="B407" s="537" t="s">
        <v>5307</v>
      </c>
      <c r="C407" s="537" t="s">
        <v>5308</v>
      </c>
      <c r="D407" s="294" t="s">
        <v>111</v>
      </c>
      <c r="E407" s="512" t="s">
        <v>216</v>
      </c>
    </row>
    <row r="408" ht="15.75" customHeight="1">
      <c r="A408" s="383">
        <v>65.0</v>
      </c>
      <c r="B408" s="537" t="s">
        <v>5309</v>
      </c>
      <c r="C408" s="537" t="s">
        <v>5310</v>
      </c>
      <c r="D408" s="294" t="s">
        <v>111</v>
      </c>
      <c r="E408" s="512"/>
    </row>
    <row r="409" ht="15.75" customHeight="1">
      <c r="A409" s="383">
        <v>66.0</v>
      </c>
      <c r="B409" s="537" t="s">
        <v>5311</v>
      </c>
      <c r="C409" s="537" t="s">
        <v>5312</v>
      </c>
      <c r="D409" s="294" t="s">
        <v>111</v>
      </c>
      <c r="E409" s="512"/>
    </row>
    <row r="410" ht="15.75" customHeight="1">
      <c r="A410" s="383">
        <v>67.0</v>
      </c>
      <c r="B410" s="537" t="s">
        <v>5311</v>
      </c>
      <c r="C410" s="537" t="s">
        <v>5313</v>
      </c>
      <c r="D410" s="294" t="s">
        <v>111</v>
      </c>
      <c r="E410" s="512"/>
    </row>
    <row r="411" ht="15.75" customHeight="1">
      <c r="A411" s="383">
        <v>68.0</v>
      </c>
      <c r="B411" s="537" t="s">
        <v>5314</v>
      </c>
      <c r="C411" s="537" t="s">
        <v>5315</v>
      </c>
      <c r="D411" s="294" t="s">
        <v>111</v>
      </c>
      <c r="E411" s="512"/>
    </row>
    <row r="412" ht="15.75" customHeight="1">
      <c r="A412" s="383">
        <v>69.0</v>
      </c>
      <c r="B412" s="537" t="s">
        <v>5316</v>
      </c>
      <c r="C412" s="537" t="s">
        <v>5317</v>
      </c>
      <c r="D412" s="294" t="s">
        <v>111</v>
      </c>
      <c r="E412" s="512"/>
    </row>
    <row r="413" ht="15.75" customHeight="1">
      <c r="A413" s="383">
        <v>70.0</v>
      </c>
      <c r="B413" s="537" t="s">
        <v>5316</v>
      </c>
      <c r="C413" s="537" t="s">
        <v>5318</v>
      </c>
      <c r="D413" s="294" t="s">
        <v>111</v>
      </c>
      <c r="E413" s="512"/>
    </row>
    <row r="414" ht="15.75" customHeight="1">
      <c r="A414" s="383">
        <v>71.0</v>
      </c>
      <c r="B414" s="537" t="s">
        <v>5319</v>
      </c>
      <c r="C414" s="537" t="s">
        <v>5320</v>
      </c>
      <c r="D414" s="294" t="s">
        <v>111</v>
      </c>
      <c r="E414" s="512"/>
    </row>
    <row r="415" ht="15.75" customHeight="1">
      <c r="A415" s="383">
        <v>72.0</v>
      </c>
      <c r="B415" s="537" t="s">
        <v>5321</v>
      </c>
      <c r="C415" s="537" t="s">
        <v>5322</v>
      </c>
      <c r="D415" s="294" t="s">
        <v>111</v>
      </c>
      <c r="E415" s="512"/>
    </row>
    <row r="416" ht="15.75" customHeight="1">
      <c r="A416" s="383">
        <v>73.0</v>
      </c>
      <c r="B416" s="537" t="s">
        <v>5323</v>
      </c>
      <c r="C416" s="537" t="s">
        <v>5324</v>
      </c>
      <c r="D416" s="294" t="s">
        <v>111</v>
      </c>
      <c r="E416" s="512"/>
    </row>
    <row r="417" ht="15.75" customHeight="1">
      <c r="A417" s="383">
        <v>74.0</v>
      </c>
      <c r="B417" s="537" t="s">
        <v>5216</v>
      </c>
      <c r="C417" s="537" t="s">
        <v>5325</v>
      </c>
      <c r="D417" s="294" t="s">
        <v>111</v>
      </c>
      <c r="E417" s="512"/>
    </row>
    <row r="418" ht="15.75" customHeight="1">
      <c r="A418" s="383">
        <v>75.0</v>
      </c>
      <c r="B418" s="537" t="s">
        <v>5326</v>
      </c>
      <c r="C418" s="537" t="s">
        <v>5327</v>
      </c>
      <c r="D418" s="294" t="s">
        <v>111</v>
      </c>
      <c r="E418" s="512"/>
    </row>
    <row r="419" ht="15.75" customHeight="1">
      <c r="A419" s="383">
        <v>76.0</v>
      </c>
      <c r="B419" s="537" t="s">
        <v>5328</v>
      </c>
      <c r="C419" s="537" t="s">
        <v>5329</v>
      </c>
      <c r="D419" s="294" t="s">
        <v>111</v>
      </c>
      <c r="E419" s="512"/>
    </row>
    <row r="420" ht="15.75" customHeight="1">
      <c r="A420" s="383">
        <v>77.0</v>
      </c>
      <c r="B420" s="537" t="s">
        <v>5330</v>
      </c>
      <c r="C420" s="537" t="s">
        <v>5331</v>
      </c>
      <c r="D420" s="294" t="s">
        <v>111</v>
      </c>
      <c r="E420" s="512"/>
    </row>
    <row r="421" ht="15.75" customHeight="1">
      <c r="A421" s="383">
        <v>78.0</v>
      </c>
      <c r="B421" s="537" t="s">
        <v>5332</v>
      </c>
      <c r="C421" s="537" t="s">
        <v>5333</v>
      </c>
      <c r="D421" s="294" t="s">
        <v>111</v>
      </c>
      <c r="E421" s="512"/>
    </row>
    <row r="422" ht="15.75" customHeight="1">
      <c r="A422" s="383">
        <v>79.0</v>
      </c>
      <c r="B422" s="537" t="s">
        <v>5058</v>
      </c>
      <c r="C422" s="537" t="s">
        <v>5334</v>
      </c>
      <c r="D422" s="294" t="s">
        <v>111</v>
      </c>
      <c r="E422" s="512"/>
    </row>
    <row r="423" ht="15.75" customHeight="1">
      <c r="A423" s="383">
        <v>80.0</v>
      </c>
      <c r="B423" s="537" t="s">
        <v>5335</v>
      </c>
      <c r="C423" s="537" t="s">
        <v>5336</v>
      </c>
      <c r="D423" s="294" t="s">
        <v>111</v>
      </c>
      <c r="E423" s="512"/>
    </row>
    <row r="424" ht="15.75" customHeight="1">
      <c r="A424" s="383">
        <v>81.0</v>
      </c>
      <c r="B424" s="537" t="s">
        <v>5337</v>
      </c>
      <c r="C424" s="537" t="s">
        <v>5338</v>
      </c>
      <c r="D424" s="294" t="s">
        <v>111</v>
      </c>
      <c r="E424" s="512"/>
    </row>
    <row r="425" ht="15.75" customHeight="1">
      <c r="A425" s="383">
        <v>82.0</v>
      </c>
      <c r="B425" s="537" t="s">
        <v>5339</v>
      </c>
      <c r="C425" s="537" t="s">
        <v>5340</v>
      </c>
      <c r="D425" s="294" t="s">
        <v>111</v>
      </c>
      <c r="E425" s="512"/>
    </row>
    <row r="426" ht="15.75" customHeight="1">
      <c r="A426" s="383">
        <v>83.0</v>
      </c>
      <c r="B426" s="537" t="s">
        <v>5341</v>
      </c>
      <c r="C426" s="537" t="s">
        <v>5342</v>
      </c>
      <c r="D426" s="294" t="s">
        <v>111</v>
      </c>
      <c r="E426" s="512"/>
    </row>
    <row r="427" ht="15.75" customHeight="1">
      <c r="A427" s="383">
        <v>84.0</v>
      </c>
      <c r="B427" s="537" t="s">
        <v>1270</v>
      </c>
      <c r="C427" s="537" t="s">
        <v>5343</v>
      </c>
      <c r="D427" s="294" t="s">
        <v>111</v>
      </c>
      <c r="E427" s="512"/>
    </row>
    <row r="428" ht="15.75" customHeight="1">
      <c r="A428" s="383">
        <v>85.0</v>
      </c>
      <c r="B428" s="537" t="s">
        <v>5344</v>
      </c>
      <c r="C428" s="537" t="s">
        <v>5345</v>
      </c>
      <c r="D428" s="294" t="s">
        <v>111</v>
      </c>
      <c r="E428" s="512"/>
    </row>
    <row r="429" ht="15.75" customHeight="1">
      <c r="A429" s="383">
        <v>86.0</v>
      </c>
      <c r="B429" s="537" t="s">
        <v>5346</v>
      </c>
      <c r="C429" s="537" t="s">
        <v>5347</v>
      </c>
      <c r="D429" s="294" t="s">
        <v>111</v>
      </c>
      <c r="E429" s="512"/>
    </row>
    <row r="430" ht="15.75" customHeight="1">
      <c r="A430" s="383">
        <v>87.0</v>
      </c>
      <c r="B430" s="537" t="s">
        <v>5348</v>
      </c>
      <c r="C430" s="537" t="s">
        <v>5349</v>
      </c>
      <c r="D430" s="294" t="s">
        <v>111</v>
      </c>
      <c r="E430" s="512"/>
    </row>
    <row r="431" ht="15.75" customHeight="1">
      <c r="A431" s="383">
        <v>88.0</v>
      </c>
      <c r="B431" s="537" t="s">
        <v>5350</v>
      </c>
      <c r="C431" s="537" t="s">
        <v>5351</v>
      </c>
      <c r="D431" s="294" t="s">
        <v>111</v>
      </c>
      <c r="E431" s="512"/>
    </row>
    <row r="432" ht="15.75" customHeight="1">
      <c r="A432" s="383">
        <v>89.0</v>
      </c>
      <c r="B432" s="537" t="s">
        <v>5352</v>
      </c>
      <c r="C432" s="537" t="s">
        <v>5353</v>
      </c>
      <c r="D432" s="294" t="s">
        <v>111</v>
      </c>
      <c r="E432" s="512"/>
    </row>
    <row r="433" ht="15.75" customHeight="1">
      <c r="A433" s="383">
        <v>90.0</v>
      </c>
      <c r="B433" s="537" t="s">
        <v>5354</v>
      </c>
      <c r="C433" s="537" t="s">
        <v>5355</v>
      </c>
      <c r="D433" s="294" t="s">
        <v>111</v>
      </c>
      <c r="E433" s="512"/>
    </row>
    <row r="434" ht="15.75" customHeight="1">
      <c r="A434" s="383">
        <v>91.0</v>
      </c>
      <c r="B434" s="537" t="s">
        <v>5356</v>
      </c>
      <c r="C434" s="537" t="s">
        <v>5357</v>
      </c>
      <c r="D434" s="294" t="s">
        <v>111</v>
      </c>
      <c r="E434" s="512"/>
    </row>
    <row r="435" ht="15.75" customHeight="1">
      <c r="A435" s="383">
        <v>92.0</v>
      </c>
      <c r="B435" s="537" t="s">
        <v>5358</v>
      </c>
      <c r="C435" s="537" t="s">
        <v>5359</v>
      </c>
      <c r="D435" s="294" t="s">
        <v>111</v>
      </c>
      <c r="E435" s="512"/>
    </row>
    <row r="436" ht="15.75" customHeight="1">
      <c r="A436" s="383">
        <v>93.0</v>
      </c>
      <c r="B436" s="537" t="s">
        <v>5360</v>
      </c>
      <c r="C436" s="537" t="s">
        <v>5361</v>
      </c>
      <c r="D436" s="294" t="s">
        <v>111</v>
      </c>
      <c r="E436" s="512"/>
    </row>
    <row r="437" ht="15.75" customHeight="1">
      <c r="A437" s="383">
        <v>94.0</v>
      </c>
      <c r="B437" s="537" t="s">
        <v>5362</v>
      </c>
      <c r="C437" s="537" t="s">
        <v>5363</v>
      </c>
      <c r="D437" s="294" t="s">
        <v>111</v>
      </c>
      <c r="E437" s="512"/>
    </row>
    <row r="438" ht="15.75" customHeight="1">
      <c r="A438" s="383">
        <v>95.0</v>
      </c>
      <c r="B438" s="537" t="s">
        <v>5362</v>
      </c>
      <c r="C438" s="537" t="s">
        <v>5364</v>
      </c>
      <c r="D438" s="294" t="s">
        <v>111</v>
      </c>
      <c r="E438" s="512"/>
    </row>
    <row r="439" ht="15.75" customHeight="1">
      <c r="A439" s="383">
        <v>96.0</v>
      </c>
      <c r="B439" s="537" t="s">
        <v>5365</v>
      </c>
      <c r="C439" s="537" t="s">
        <v>5366</v>
      </c>
      <c r="D439" s="294" t="s">
        <v>111</v>
      </c>
      <c r="E439" s="512"/>
    </row>
    <row r="440" ht="15.75" customHeight="1">
      <c r="A440" s="383">
        <v>97.0</v>
      </c>
      <c r="B440" s="537" t="s">
        <v>5367</v>
      </c>
      <c r="C440" s="538">
        <v>9.35295952E8</v>
      </c>
      <c r="D440" s="294" t="s">
        <v>111</v>
      </c>
      <c r="E440" s="512"/>
    </row>
    <row r="441" ht="15.75" customHeight="1">
      <c r="A441" s="383">
        <v>98.0</v>
      </c>
      <c r="B441" s="537" t="s">
        <v>5367</v>
      </c>
      <c r="C441" s="537" t="s">
        <v>5368</v>
      </c>
      <c r="D441" s="294" t="s">
        <v>111</v>
      </c>
      <c r="E441" s="512"/>
    </row>
    <row r="442" ht="15.75" customHeight="1">
      <c r="A442" s="383">
        <v>99.0</v>
      </c>
      <c r="B442" s="537" t="s">
        <v>5369</v>
      </c>
      <c r="C442" s="537" t="s">
        <v>5370</v>
      </c>
      <c r="D442" s="294" t="s">
        <v>111</v>
      </c>
      <c r="E442" s="512"/>
    </row>
    <row r="443" ht="15.75" customHeight="1">
      <c r="A443" s="383">
        <v>100.0</v>
      </c>
      <c r="B443" s="537" t="s">
        <v>5371</v>
      </c>
      <c r="C443" s="537" t="s">
        <v>5372</v>
      </c>
      <c r="D443" s="294" t="s">
        <v>111</v>
      </c>
      <c r="E443" s="512"/>
    </row>
    <row r="444" ht="15.75" customHeight="1">
      <c r="A444" s="540">
        <v>45126.0</v>
      </c>
    </row>
    <row r="445" ht="15.75" customHeight="1">
      <c r="A445" s="376">
        <v>1.0</v>
      </c>
      <c r="B445" s="376" t="s">
        <v>5373</v>
      </c>
      <c r="C445" s="376">
        <v>9.88809747E8</v>
      </c>
      <c r="D445" s="294" t="s">
        <v>48</v>
      </c>
      <c r="E445" s="512" t="s">
        <v>34</v>
      </c>
      <c r="F445" s="383" t="s">
        <v>5374</v>
      </c>
    </row>
    <row r="446" ht="15.75" customHeight="1">
      <c r="A446" s="376">
        <v>2.0</v>
      </c>
      <c r="B446" s="376" t="s">
        <v>5375</v>
      </c>
      <c r="C446" s="376">
        <v>9.35691909E8</v>
      </c>
      <c r="D446" s="294" t="s">
        <v>48</v>
      </c>
      <c r="E446" s="512" t="s">
        <v>34</v>
      </c>
      <c r="F446" s="383" t="s">
        <v>5376</v>
      </c>
    </row>
    <row r="447" ht="15.75" customHeight="1">
      <c r="A447" s="376">
        <v>3.0</v>
      </c>
      <c r="B447" s="376" t="s">
        <v>5377</v>
      </c>
      <c r="C447" s="376">
        <v>9.05385705E8</v>
      </c>
      <c r="D447" s="294" t="s">
        <v>48</v>
      </c>
      <c r="E447" s="512" t="s">
        <v>34</v>
      </c>
      <c r="F447" s="383" t="s">
        <v>5378</v>
      </c>
    </row>
    <row r="448" ht="15.75" customHeight="1">
      <c r="A448" s="376">
        <v>4.0</v>
      </c>
      <c r="B448" s="376" t="s">
        <v>5379</v>
      </c>
      <c r="C448" s="376">
        <v>9.05931004E8</v>
      </c>
      <c r="D448" s="294" t="s">
        <v>48</v>
      </c>
      <c r="E448" s="512" t="s">
        <v>4785</v>
      </c>
      <c r="F448" s="383" t="s">
        <v>5380</v>
      </c>
    </row>
    <row r="449" ht="15.75" customHeight="1">
      <c r="A449" s="376">
        <v>5.0</v>
      </c>
      <c r="B449" s="376" t="s">
        <v>5381</v>
      </c>
      <c r="C449" s="376">
        <v>9.15737557E8</v>
      </c>
      <c r="D449" s="294" t="s">
        <v>48</v>
      </c>
      <c r="E449" s="512" t="s">
        <v>216</v>
      </c>
      <c r="F449" s="383" t="s">
        <v>4942</v>
      </c>
    </row>
    <row r="450" ht="15.75" customHeight="1">
      <c r="A450" s="376">
        <v>6.0</v>
      </c>
      <c r="B450" s="376" t="s">
        <v>5382</v>
      </c>
      <c r="C450" s="376" t="s">
        <v>5383</v>
      </c>
      <c r="D450" s="294" t="s">
        <v>48</v>
      </c>
      <c r="E450" s="512" t="s">
        <v>34</v>
      </c>
      <c r="F450" s="383" t="s">
        <v>5384</v>
      </c>
    </row>
    <row r="451" ht="15.75" customHeight="1">
      <c r="A451" s="376">
        <v>7.0</v>
      </c>
      <c r="B451" s="376" t="s">
        <v>5385</v>
      </c>
      <c r="C451" s="376">
        <v>9.34850219E8</v>
      </c>
      <c r="D451" s="294" t="s">
        <v>48</v>
      </c>
      <c r="E451" s="512" t="s">
        <v>34</v>
      </c>
      <c r="F451" s="383" t="s">
        <v>5384</v>
      </c>
    </row>
    <row r="452" ht="15.75" customHeight="1">
      <c r="A452" s="376">
        <v>8.0</v>
      </c>
      <c r="B452" s="376" t="s">
        <v>5386</v>
      </c>
      <c r="C452" s="376">
        <v>9.05629849E8</v>
      </c>
      <c r="D452" s="294" t="s">
        <v>48</v>
      </c>
      <c r="E452" s="512" t="s">
        <v>216</v>
      </c>
      <c r="F452" s="383" t="s">
        <v>5131</v>
      </c>
    </row>
    <row r="453" ht="15.75" customHeight="1">
      <c r="A453" s="376">
        <v>9.0</v>
      </c>
      <c r="B453" s="376" t="s">
        <v>4941</v>
      </c>
      <c r="C453" s="376">
        <v>9.05200203E8</v>
      </c>
      <c r="D453" s="294" t="s">
        <v>48</v>
      </c>
      <c r="E453" s="512" t="s">
        <v>34</v>
      </c>
      <c r="F453" s="383" t="s">
        <v>5374</v>
      </c>
    </row>
    <row r="454" ht="15.75" customHeight="1">
      <c r="A454" s="376">
        <v>10.0</v>
      </c>
      <c r="B454" s="376" t="s">
        <v>5052</v>
      </c>
      <c r="C454" s="376">
        <v>9.05745164E8</v>
      </c>
      <c r="D454" s="294" t="s">
        <v>48</v>
      </c>
      <c r="E454" s="512" t="s">
        <v>216</v>
      </c>
      <c r="F454" s="383" t="s">
        <v>4942</v>
      </c>
    </row>
    <row r="455" ht="15.75" customHeight="1">
      <c r="A455" s="376">
        <v>11.0</v>
      </c>
      <c r="B455" s="376" t="s">
        <v>5087</v>
      </c>
      <c r="C455" s="376">
        <v>8.98428796E8</v>
      </c>
      <c r="D455" s="294" t="s">
        <v>48</v>
      </c>
      <c r="E455" s="512" t="s">
        <v>34</v>
      </c>
      <c r="F455" s="383" t="s">
        <v>5387</v>
      </c>
    </row>
    <row r="456" ht="15.75" customHeight="1">
      <c r="A456" s="376">
        <v>12.0</v>
      </c>
      <c r="B456" s="376" t="s">
        <v>5098</v>
      </c>
      <c r="C456" s="376">
        <v>9.05503122E8</v>
      </c>
      <c r="D456" s="294" t="s">
        <v>48</v>
      </c>
      <c r="E456" s="512" t="s">
        <v>216</v>
      </c>
      <c r="F456" s="383" t="s">
        <v>4942</v>
      </c>
    </row>
    <row r="457" ht="15.75" customHeight="1">
      <c r="A457" s="376">
        <v>13.0</v>
      </c>
      <c r="B457" s="376" t="s">
        <v>5104</v>
      </c>
      <c r="C457" s="376">
        <v>9.3552569E7</v>
      </c>
      <c r="D457" s="294" t="s">
        <v>48</v>
      </c>
      <c r="E457" s="512" t="s">
        <v>216</v>
      </c>
      <c r="F457" s="383" t="s">
        <v>5388</v>
      </c>
    </row>
    <row r="458" ht="15.75" customHeight="1">
      <c r="A458" s="376">
        <v>14.0</v>
      </c>
      <c r="B458" s="376" t="s">
        <v>5150</v>
      </c>
      <c r="C458" s="376">
        <v>9.34818033E8</v>
      </c>
      <c r="D458" s="294" t="s">
        <v>48</v>
      </c>
      <c r="E458" s="512" t="s">
        <v>34</v>
      </c>
      <c r="F458" s="383" t="s">
        <v>5387</v>
      </c>
    </row>
    <row r="459" ht="15.75" customHeight="1">
      <c r="A459" s="376">
        <v>15.0</v>
      </c>
      <c r="B459" s="376" t="s">
        <v>5389</v>
      </c>
      <c r="C459" s="376">
        <v>9.89485147E8</v>
      </c>
      <c r="D459" s="294" t="s">
        <v>48</v>
      </c>
      <c r="E459" s="512" t="s">
        <v>34</v>
      </c>
      <c r="F459" s="383" t="s">
        <v>5387</v>
      </c>
    </row>
    <row r="460" ht="15.75" customHeight="1">
      <c r="A460" s="376">
        <v>16.0</v>
      </c>
      <c r="B460" s="376" t="s">
        <v>5390</v>
      </c>
      <c r="C460" s="376">
        <v>9.34217889E8</v>
      </c>
      <c r="D460" s="294" t="s">
        <v>48</v>
      </c>
      <c r="E460" s="512" t="s">
        <v>34</v>
      </c>
      <c r="F460" s="383" t="s">
        <v>5387</v>
      </c>
    </row>
    <row r="461" ht="15.75" customHeight="1">
      <c r="A461" s="376">
        <v>17.0</v>
      </c>
      <c r="B461" s="376" t="s">
        <v>5391</v>
      </c>
      <c r="C461" s="376">
        <v>9.05330388E8</v>
      </c>
      <c r="D461" s="294" t="s">
        <v>48</v>
      </c>
      <c r="E461" s="512" t="s">
        <v>34</v>
      </c>
      <c r="F461" s="383" t="s">
        <v>5387</v>
      </c>
    </row>
    <row r="462" ht="15.75" customHeight="1">
      <c r="A462" s="376">
        <v>18.0</v>
      </c>
      <c r="B462" s="376" t="s">
        <v>5392</v>
      </c>
      <c r="C462" s="376">
        <v>9.05159414E8</v>
      </c>
      <c r="D462" s="294" t="s">
        <v>48</v>
      </c>
      <c r="E462" s="512" t="s">
        <v>34</v>
      </c>
      <c r="F462" s="383" t="s">
        <v>5393</v>
      </c>
    </row>
    <row r="463" ht="15.75" customHeight="1">
      <c r="A463" s="376">
        <v>19.0</v>
      </c>
      <c r="B463" s="376" t="s">
        <v>5344</v>
      </c>
      <c r="C463" s="376">
        <v>9.35101511E8</v>
      </c>
      <c r="D463" s="294" t="s">
        <v>48</v>
      </c>
      <c r="E463" s="512" t="s">
        <v>34</v>
      </c>
      <c r="F463" s="383" t="s">
        <v>5393</v>
      </c>
    </row>
    <row r="464" ht="15.75" customHeight="1">
      <c r="A464" s="376">
        <v>20.0</v>
      </c>
      <c r="B464" s="376" t="s">
        <v>5394</v>
      </c>
      <c r="C464" s="376">
        <v>8.6200695E8</v>
      </c>
      <c r="D464" s="294" t="s">
        <v>48</v>
      </c>
      <c r="E464" s="512" t="s">
        <v>34</v>
      </c>
      <c r="F464" s="383" t="s">
        <v>5393</v>
      </c>
    </row>
    <row r="465" ht="15.75" customHeight="1">
      <c r="A465" s="376">
        <v>21.0</v>
      </c>
      <c r="B465" s="376" t="s">
        <v>5395</v>
      </c>
      <c r="C465" s="376">
        <v>9.34713395E8</v>
      </c>
      <c r="D465" s="294" t="s">
        <v>48</v>
      </c>
      <c r="E465" s="512" t="s">
        <v>34</v>
      </c>
      <c r="F465" s="383" t="s">
        <v>5393</v>
      </c>
    </row>
    <row r="466" ht="15.75" customHeight="1">
      <c r="A466" s="376">
        <v>22.0</v>
      </c>
      <c r="B466" s="376" t="s">
        <v>5396</v>
      </c>
      <c r="C466" s="376">
        <v>9.05005135E8</v>
      </c>
      <c r="D466" s="294" t="s">
        <v>48</v>
      </c>
      <c r="E466" s="512" t="s">
        <v>216</v>
      </c>
      <c r="F466" s="383" t="s">
        <v>4942</v>
      </c>
    </row>
    <row r="467" ht="15.75" customHeight="1">
      <c r="A467" s="376">
        <v>23.0</v>
      </c>
      <c r="B467" s="376" t="s">
        <v>5397</v>
      </c>
      <c r="C467" s="376">
        <v>9.05606188E8</v>
      </c>
      <c r="D467" s="294" t="s">
        <v>48</v>
      </c>
      <c r="E467" s="512" t="s">
        <v>34</v>
      </c>
      <c r="F467" s="383" t="s">
        <v>5398</v>
      </c>
    </row>
    <row r="468" ht="15.75" customHeight="1">
      <c r="A468" s="376">
        <v>24.0</v>
      </c>
      <c r="B468" s="376" t="s">
        <v>5399</v>
      </c>
      <c r="C468" s="376" t="s">
        <v>5400</v>
      </c>
      <c r="D468" s="294" t="s">
        <v>48</v>
      </c>
      <c r="E468" s="512" t="s">
        <v>34</v>
      </c>
      <c r="F468" s="383" t="s">
        <v>5401</v>
      </c>
    </row>
    <row r="469" ht="15.75" customHeight="1">
      <c r="A469" s="376">
        <v>25.0</v>
      </c>
      <c r="B469" s="376" t="s">
        <v>5402</v>
      </c>
      <c r="C469" s="376">
        <v>9.0512595E8</v>
      </c>
      <c r="D469" s="294" t="s">
        <v>48</v>
      </c>
      <c r="E469" s="512" t="s">
        <v>34</v>
      </c>
    </row>
    <row r="470" ht="15.75" customHeight="1">
      <c r="A470" s="376">
        <v>26.0</v>
      </c>
      <c r="B470" s="376" t="s">
        <v>5403</v>
      </c>
      <c r="C470" s="376">
        <v>9.35454354E8</v>
      </c>
      <c r="D470" s="294" t="s">
        <v>48</v>
      </c>
      <c r="E470" s="512" t="s">
        <v>4785</v>
      </c>
      <c r="F470" s="383" t="s">
        <v>5404</v>
      </c>
    </row>
    <row r="471" ht="15.75" customHeight="1">
      <c r="A471" s="376">
        <v>27.0</v>
      </c>
      <c r="B471" s="376" t="s">
        <v>5405</v>
      </c>
      <c r="C471" s="376">
        <v>9.83854921E8</v>
      </c>
      <c r="D471" s="294" t="s">
        <v>48</v>
      </c>
      <c r="E471" s="512" t="s">
        <v>4785</v>
      </c>
      <c r="F471" s="383" t="s">
        <v>5406</v>
      </c>
    </row>
    <row r="472" ht="15.75" customHeight="1">
      <c r="A472" s="376">
        <v>28.0</v>
      </c>
      <c r="B472" s="376" t="s">
        <v>5407</v>
      </c>
      <c r="C472" s="376">
        <v>9.05716697E8</v>
      </c>
      <c r="D472" s="294" t="s">
        <v>48</v>
      </c>
      <c r="E472" s="512" t="s">
        <v>34</v>
      </c>
      <c r="F472" s="383" t="s">
        <v>5129</v>
      </c>
    </row>
    <row r="473" ht="15.75" customHeight="1">
      <c r="A473" s="376">
        <v>29.0</v>
      </c>
      <c r="B473" s="376" t="s">
        <v>5408</v>
      </c>
      <c r="C473" s="376">
        <v>9.35525366E8</v>
      </c>
      <c r="D473" s="294" t="s">
        <v>48</v>
      </c>
      <c r="E473" s="512" t="s">
        <v>4785</v>
      </c>
      <c r="F473" s="383" t="s">
        <v>5406</v>
      </c>
    </row>
    <row r="474" ht="15.75" customHeight="1">
      <c r="A474" s="376">
        <v>30.0</v>
      </c>
      <c r="B474" s="376" t="s">
        <v>5409</v>
      </c>
      <c r="C474" s="376">
        <v>9.0749006E8</v>
      </c>
      <c r="D474" s="294" t="s">
        <v>48</v>
      </c>
      <c r="E474" s="512" t="s">
        <v>216</v>
      </c>
      <c r="F474" s="383" t="s">
        <v>4942</v>
      </c>
    </row>
    <row r="475" ht="15.75" customHeight="1">
      <c r="A475" s="376">
        <v>31.0</v>
      </c>
      <c r="B475" s="376" t="s">
        <v>5410</v>
      </c>
      <c r="C475" s="376">
        <v>9.03530546E8</v>
      </c>
      <c r="D475" s="294" t="s">
        <v>48</v>
      </c>
      <c r="E475" s="512" t="s">
        <v>4785</v>
      </c>
      <c r="F475" s="383" t="s">
        <v>5411</v>
      </c>
    </row>
    <row r="476" ht="15.75" customHeight="1">
      <c r="A476" s="376">
        <v>32.0</v>
      </c>
      <c r="B476" s="376" t="s">
        <v>5412</v>
      </c>
      <c r="C476" s="376">
        <v>3.88077519E8</v>
      </c>
      <c r="D476" s="294" t="s">
        <v>48</v>
      </c>
      <c r="E476" s="512" t="s">
        <v>216</v>
      </c>
      <c r="F476" s="383" t="s">
        <v>4942</v>
      </c>
    </row>
    <row r="477" ht="15.75" customHeight="1">
      <c r="A477" s="376">
        <v>33.0</v>
      </c>
      <c r="B477" s="376" t="s">
        <v>5413</v>
      </c>
      <c r="C477" s="376">
        <v>9.06466887E8</v>
      </c>
      <c r="D477" s="294" t="s">
        <v>48</v>
      </c>
      <c r="E477" s="512" t="s">
        <v>216</v>
      </c>
      <c r="F477" s="383" t="s">
        <v>4942</v>
      </c>
    </row>
    <row r="478" ht="15.75" customHeight="1">
      <c r="A478" s="376">
        <v>34.0</v>
      </c>
      <c r="B478" s="376" t="s">
        <v>5414</v>
      </c>
      <c r="C478" s="376">
        <v>9.88395204E8</v>
      </c>
      <c r="D478" s="294" t="s">
        <v>48</v>
      </c>
      <c r="E478" s="512" t="s">
        <v>216</v>
      </c>
      <c r="F478" s="383" t="s">
        <v>4942</v>
      </c>
    </row>
    <row r="479" ht="15.75" customHeight="1">
      <c r="A479" s="376">
        <v>35.0</v>
      </c>
      <c r="B479" s="376" t="s">
        <v>5415</v>
      </c>
      <c r="C479" s="376">
        <v>8.3430038E8</v>
      </c>
      <c r="D479" s="294" t="s">
        <v>48</v>
      </c>
      <c r="E479" s="512" t="s">
        <v>34</v>
      </c>
      <c r="F479" s="383" t="s">
        <v>5129</v>
      </c>
    </row>
    <row r="480" ht="15.75" customHeight="1">
      <c r="A480" s="376">
        <v>36.0</v>
      </c>
      <c r="B480" s="376" t="s">
        <v>5416</v>
      </c>
      <c r="C480" s="376">
        <v>9.83122378E8</v>
      </c>
      <c r="D480" s="294" t="s">
        <v>48</v>
      </c>
      <c r="E480" s="512" t="s">
        <v>34</v>
      </c>
      <c r="F480" s="383" t="s">
        <v>5129</v>
      </c>
    </row>
    <row r="481" ht="15.75" customHeight="1">
      <c r="A481" s="376">
        <v>37.0</v>
      </c>
      <c r="B481" s="376" t="s">
        <v>5417</v>
      </c>
      <c r="C481" s="376">
        <v>1.227482105E9</v>
      </c>
      <c r="D481" s="294" t="s">
        <v>48</v>
      </c>
      <c r="E481" s="512" t="s">
        <v>216</v>
      </c>
      <c r="F481" s="383" t="s">
        <v>5418</v>
      </c>
    </row>
    <row r="482" ht="15.75" customHeight="1">
      <c r="A482" s="376">
        <v>38.0</v>
      </c>
      <c r="B482" s="376" t="s">
        <v>5419</v>
      </c>
      <c r="C482" s="376">
        <v>9.12020077E8</v>
      </c>
      <c r="D482" s="294" t="s">
        <v>48</v>
      </c>
      <c r="E482" s="512" t="s">
        <v>34</v>
      </c>
      <c r="F482" s="383" t="s">
        <v>5129</v>
      </c>
    </row>
    <row r="483" ht="15.75" customHeight="1">
      <c r="A483" s="376">
        <v>39.0</v>
      </c>
      <c r="B483" s="376" t="s">
        <v>5420</v>
      </c>
      <c r="C483" s="376">
        <v>7.6651918E8</v>
      </c>
      <c r="D483" s="294" t="s">
        <v>48</v>
      </c>
      <c r="E483" s="512" t="s">
        <v>216</v>
      </c>
      <c r="F483" s="383" t="s">
        <v>4942</v>
      </c>
    </row>
    <row r="484" ht="15.75" customHeight="1">
      <c r="A484" s="376">
        <v>40.0</v>
      </c>
      <c r="B484" s="376" t="s">
        <v>5421</v>
      </c>
      <c r="C484" s="376">
        <v>7.77412067E8</v>
      </c>
      <c r="D484" s="294" t="s">
        <v>48</v>
      </c>
      <c r="E484" s="512" t="s">
        <v>216</v>
      </c>
      <c r="F484" s="383" t="s">
        <v>5422</v>
      </c>
    </row>
    <row r="485" ht="15.75" customHeight="1">
      <c r="A485" s="376">
        <v>41.0</v>
      </c>
      <c r="B485" s="376" t="s">
        <v>5423</v>
      </c>
      <c r="C485" s="376">
        <v>7.96752317E8</v>
      </c>
      <c r="D485" s="294" t="s">
        <v>48</v>
      </c>
      <c r="E485" s="512" t="s">
        <v>34</v>
      </c>
      <c r="F485" s="383" t="s">
        <v>5424</v>
      </c>
    </row>
    <row r="486" ht="15.75" customHeight="1">
      <c r="A486" s="376">
        <v>42.0</v>
      </c>
      <c r="B486" s="376" t="s">
        <v>5425</v>
      </c>
      <c r="C486" s="376">
        <v>7.02510068E8</v>
      </c>
      <c r="D486" s="294" t="s">
        <v>48</v>
      </c>
      <c r="E486" s="512" t="s">
        <v>34</v>
      </c>
      <c r="F486" s="383" t="s">
        <v>5129</v>
      </c>
    </row>
    <row r="487" ht="15.75" customHeight="1">
      <c r="A487" s="376">
        <v>43.0</v>
      </c>
      <c r="B487" s="376" t="s">
        <v>5426</v>
      </c>
      <c r="C487" s="376">
        <v>9.03593717E8</v>
      </c>
      <c r="D487" s="294" t="s">
        <v>48</v>
      </c>
      <c r="E487" s="512" t="s">
        <v>216</v>
      </c>
      <c r="F487" s="383" t="s">
        <v>4942</v>
      </c>
    </row>
    <row r="488" ht="15.75" customHeight="1">
      <c r="A488" s="376">
        <v>44.0</v>
      </c>
      <c r="B488" s="376" t="s">
        <v>5427</v>
      </c>
      <c r="C488" s="376">
        <v>9.02388434E8</v>
      </c>
      <c r="D488" s="294" t="s">
        <v>48</v>
      </c>
      <c r="E488" s="512" t="s">
        <v>34</v>
      </c>
      <c r="F488" s="383" t="s">
        <v>5129</v>
      </c>
    </row>
    <row r="489" ht="15.75" customHeight="1">
      <c r="A489" s="376">
        <v>45.0</v>
      </c>
      <c r="B489" s="376" t="s">
        <v>5428</v>
      </c>
      <c r="C489" s="376">
        <v>3.46980716E8</v>
      </c>
      <c r="D489" s="294" t="s">
        <v>48</v>
      </c>
      <c r="E489" s="512" t="s">
        <v>216</v>
      </c>
      <c r="F489" s="383" t="s">
        <v>4942</v>
      </c>
    </row>
    <row r="490" ht="15.75" customHeight="1">
      <c r="A490" s="376">
        <v>46.0</v>
      </c>
      <c r="B490" s="376" t="s">
        <v>5429</v>
      </c>
      <c r="C490" s="376">
        <v>9.83945325E8</v>
      </c>
      <c r="D490" s="294" t="s">
        <v>48</v>
      </c>
      <c r="E490" s="512" t="s">
        <v>34</v>
      </c>
      <c r="F490" s="383" t="s">
        <v>5378</v>
      </c>
    </row>
    <row r="491" ht="15.75" customHeight="1">
      <c r="A491" s="376">
        <v>47.0</v>
      </c>
      <c r="B491" s="376" t="s">
        <v>5430</v>
      </c>
      <c r="C491" s="376">
        <v>9.05709083E8</v>
      </c>
      <c r="D491" s="294" t="s">
        <v>48</v>
      </c>
      <c r="E491" s="512"/>
    </row>
    <row r="492" ht="15.75" customHeight="1">
      <c r="A492" s="376">
        <v>48.0</v>
      </c>
      <c r="B492" s="376" t="s">
        <v>5431</v>
      </c>
      <c r="C492" s="376">
        <v>9.05029997E8</v>
      </c>
      <c r="D492" s="294" t="s">
        <v>48</v>
      </c>
      <c r="E492" s="512"/>
    </row>
    <row r="493" ht="15.75" customHeight="1">
      <c r="A493" s="376">
        <v>49.0</v>
      </c>
      <c r="B493" s="376" t="s">
        <v>5432</v>
      </c>
      <c r="C493" s="376">
        <v>9.17828321E8</v>
      </c>
      <c r="D493" s="294" t="s">
        <v>48</v>
      </c>
      <c r="E493" s="512"/>
    </row>
    <row r="494" ht="15.75" customHeight="1">
      <c r="A494" s="376">
        <v>50.0</v>
      </c>
      <c r="B494" s="376" t="s">
        <v>5433</v>
      </c>
      <c r="C494" s="376">
        <v>8.66560473E8</v>
      </c>
      <c r="D494" s="294" t="s">
        <v>48</v>
      </c>
      <c r="E494" s="512"/>
    </row>
    <row r="495" ht="15.75" customHeight="1">
      <c r="A495" s="376">
        <v>51.0</v>
      </c>
      <c r="B495" s="376" t="s">
        <v>5434</v>
      </c>
      <c r="C495" s="376">
        <v>9.05305111E8</v>
      </c>
      <c r="D495" s="294" t="s">
        <v>48</v>
      </c>
      <c r="E495" s="512"/>
    </row>
    <row r="496" ht="15.75" customHeight="1">
      <c r="A496" s="376">
        <v>52.0</v>
      </c>
      <c r="B496" s="376" t="s">
        <v>5435</v>
      </c>
      <c r="C496" s="376">
        <v>7.08129721E8</v>
      </c>
      <c r="D496" s="294" t="s">
        <v>48</v>
      </c>
      <c r="E496" s="512"/>
    </row>
    <row r="497" ht="15.75" customHeight="1">
      <c r="A497" s="376">
        <v>53.0</v>
      </c>
      <c r="B497" s="376" t="s">
        <v>5436</v>
      </c>
      <c r="C497" s="376">
        <v>9.32583076E8</v>
      </c>
      <c r="D497" s="294" t="s">
        <v>48</v>
      </c>
      <c r="E497" s="512"/>
    </row>
    <row r="498" ht="15.75" customHeight="1">
      <c r="A498" s="376">
        <v>54.0</v>
      </c>
      <c r="B498" s="376" t="s">
        <v>5437</v>
      </c>
      <c r="C498" s="376">
        <v>9.35410717E8</v>
      </c>
      <c r="D498" s="294" t="s">
        <v>48</v>
      </c>
      <c r="E498" s="512"/>
    </row>
    <row r="499" ht="15.75" customHeight="1">
      <c r="A499" s="376">
        <v>55.0</v>
      </c>
      <c r="B499" s="376" t="s">
        <v>5438</v>
      </c>
      <c r="C499" s="376">
        <v>9.69424777E8</v>
      </c>
      <c r="D499" s="294" t="s">
        <v>48</v>
      </c>
      <c r="E499" s="512"/>
    </row>
    <row r="500" ht="15.75" customHeight="1">
      <c r="A500" s="376">
        <v>56.0</v>
      </c>
      <c r="B500" s="376" t="s">
        <v>5439</v>
      </c>
      <c r="C500" s="376">
        <v>9.02435267E8</v>
      </c>
      <c r="D500" s="294" t="s">
        <v>48</v>
      </c>
      <c r="E500" s="512"/>
    </row>
    <row r="501" ht="15.75" customHeight="1">
      <c r="A501" s="376">
        <v>57.0</v>
      </c>
      <c r="B501" s="376" t="s">
        <v>5440</v>
      </c>
      <c r="C501" s="376">
        <v>7.74438983E8</v>
      </c>
      <c r="D501" s="294" t="s">
        <v>48</v>
      </c>
      <c r="E501" s="512"/>
    </row>
    <row r="502" ht="15.75" customHeight="1">
      <c r="A502" s="376">
        <v>58.0</v>
      </c>
      <c r="B502" s="376" t="s">
        <v>5441</v>
      </c>
      <c r="C502" s="376">
        <v>7.78676857E8</v>
      </c>
      <c r="D502" s="294" t="s">
        <v>48</v>
      </c>
      <c r="E502" s="512"/>
    </row>
    <row r="503" ht="15.75" customHeight="1">
      <c r="A503" s="376">
        <v>59.0</v>
      </c>
      <c r="B503" s="376" t="s">
        <v>5442</v>
      </c>
      <c r="C503" s="376">
        <v>9.35524143E8</v>
      </c>
      <c r="D503" s="294" t="s">
        <v>48</v>
      </c>
      <c r="E503" s="512"/>
    </row>
    <row r="504" ht="15.75" customHeight="1">
      <c r="A504" s="376">
        <v>60.0</v>
      </c>
      <c r="B504" s="376" t="s">
        <v>5443</v>
      </c>
      <c r="C504" s="376">
        <v>9.14038862E8</v>
      </c>
      <c r="D504" s="294" t="s">
        <v>48</v>
      </c>
      <c r="E504" s="512"/>
    </row>
    <row r="505" ht="15.75" customHeight="1">
      <c r="A505" s="376">
        <v>61.0</v>
      </c>
      <c r="B505" s="376" t="s">
        <v>5444</v>
      </c>
      <c r="C505" s="376">
        <v>9.05502306E8</v>
      </c>
      <c r="D505" s="294" t="s">
        <v>48</v>
      </c>
      <c r="E505" s="512"/>
    </row>
    <row r="506" ht="15.75" customHeight="1">
      <c r="A506" s="376">
        <v>62.0</v>
      </c>
      <c r="B506" s="376" t="s">
        <v>5445</v>
      </c>
      <c r="C506" s="376">
        <v>9.05859604E8</v>
      </c>
      <c r="D506" s="294" t="s">
        <v>48</v>
      </c>
      <c r="E506" s="512"/>
    </row>
    <row r="507" ht="15.75" customHeight="1">
      <c r="A507" s="376">
        <v>63.0</v>
      </c>
      <c r="B507" s="376" t="s">
        <v>5446</v>
      </c>
      <c r="C507" s="376">
        <v>7.03019901E8</v>
      </c>
      <c r="D507" s="294" t="s">
        <v>48</v>
      </c>
      <c r="E507" s="512"/>
    </row>
    <row r="508" ht="15.75" customHeight="1">
      <c r="A508" s="376">
        <v>64.0</v>
      </c>
      <c r="B508" s="376" t="s">
        <v>5447</v>
      </c>
      <c r="C508" s="376">
        <v>3.99175966E8</v>
      </c>
      <c r="D508" s="294" t="s">
        <v>48</v>
      </c>
      <c r="E508" s="512"/>
    </row>
    <row r="509" ht="15.75" customHeight="1">
      <c r="A509" s="376">
        <v>65.0</v>
      </c>
      <c r="B509" s="376" t="s">
        <v>5448</v>
      </c>
      <c r="C509" s="376">
        <v>3.63248172E8</v>
      </c>
      <c r="D509" s="294" t="s">
        <v>48</v>
      </c>
      <c r="E509" s="512"/>
    </row>
    <row r="510" ht="15.75" customHeight="1">
      <c r="A510" s="376">
        <v>66.0</v>
      </c>
      <c r="B510" s="376" t="s">
        <v>5449</v>
      </c>
      <c r="C510" s="376">
        <v>8.98262955E8</v>
      </c>
      <c r="D510" s="294" t="s">
        <v>48</v>
      </c>
      <c r="E510" s="512"/>
    </row>
    <row r="511" ht="15.75" customHeight="1">
      <c r="A511" s="376">
        <v>67.0</v>
      </c>
      <c r="B511" s="376" t="s">
        <v>5450</v>
      </c>
      <c r="C511" s="376">
        <v>9.3562913E8</v>
      </c>
      <c r="D511" s="294" t="s">
        <v>48</v>
      </c>
      <c r="E511" s="512"/>
    </row>
    <row r="512" ht="15.75" customHeight="1">
      <c r="A512" s="376">
        <v>68.0</v>
      </c>
      <c r="B512" s="376" t="s">
        <v>5451</v>
      </c>
      <c r="C512" s="376">
        <v>9.3499814E8</v>
      </c>
      <c r="D512" s="294" t="s">
        <v>48</v>
      </c>
      <c r="E512" s="512"/>
    </row>
    <row r="513" ht="15.75" customHeight="1">
      <c r="A513" s="376">
        <v>69.0</v>
      </c>
      <c r="B513" s="376" t="s">
        <v>5452</v>
      </c>
      <c r="C513" s="376">
        <v>3.69152427E8</v>
      </c>
      <c r="D513" s="294" t="s">
        <v>48</v>
      </c>
      <c r="E513" s="512"/>
    </row>
    <row r="514" ht="15.75" customHeight="1">
      <c r="A514" s="376">
        <v>70.0</v>
      </c>
      <c r="B514" s="376" t="s">
        <v>5453</v>
      </c>
      <c r="C514" s="376">
        <v>8.25711032E8</v>
      </c>
      <c r="D514" s="294" t="s">
        <v>48</v>
      </c>
      <c r="E514" s="512"/>
    </row>
    <row r="515" ht="15.75" customHeight="1">
      <c r="A515" s="376">
        <v>71.0</v>
      </c>
      <c r="B515" s="376" t="s">
        <v>5454</v>
      </c>
      <c r="C515" s="376">
        <v>9.73130496E8</v>
      </c>
      <c r="D515" s="294" t="s">
        <v>48</v>
      </c>
      <c r="E515" s="512"/>
    </row>
    <row r="516" ht="15.75" customHeight="1">
      <c r="A516" s="376">
        <v>72.0</v>
      </c>
      <c r="B516" s="376" t="s">
        <v>5455</v>
      </c>
      <c r="C516" s="376">
        <v>9.05962817E8</v>
      </c>
      <c r="D516" s="294" t="s">
        <v>48</v>
      </c>
      <c r="E516" s="512"/>
    </row>
    <row r="517" ht="15.75" customHeight="1">
      <c r="A517" s="376">
        <v>73.0</v>
      </c>
      <c r="B517" s="376" t="s">
        <v>5456</v>
      </c>
      <c r="C517" s="376">
        <v>9.35462984E8</v>
      </c>
      <c r="D517" s="294" t="s">
        <v>48</v>
      </c>
      <c r="E517" s="512"/>
    </row>
    <row r="518" ht="15.75" customHeight="1">
      <c r="A518" s="376">
        <v>74.0</v>
      </c>
      <c r="B518" s="376" t="s">
        <v>5457</v>
      </c>
      <c r="C518" s="376">
        <v>9.35226818E8</v>
      </c>
      <c r="D518" s="294" t="s">
        <v>48</v>
      </c>
      <c r="E518" s="512"/>
    </row>
    <row r="519" ht="15.75" customHeight="1">
      <c r="A519" s="376">
        <v>75.0</v>
      </c>
      <c r="B519" s="376" t="s">
        <v>5458</v>
      </c>
      <c r="C519" s="376">
        <v>7.62517676E8</v>
      </c>
      <c r="D519" s="294" t="s">
        <v>48</v>
      </c>
      <c r="E519" s="512"/>
    </row>
    <row r="520" ht="15.75" customHeight="1">
      <c r="A520" s="376">
        <v>76.0</v>
      </c>
      <c r="B520" s="376" t="s">
        <v>5459</v>
      </c>
      <c r="C520" s="376">
        <v>9.05455563E8</v>
      </c>
      <c r="D520" s="294" t="s">
        <v>48</v>
      </c>
      <c r="E520" s="512"/>
    </row>
    <row r="521" ht="15.75" customHeight="1">
      <c r="A521" s="376">
        <v>77.0</v>
      </c>
      <c r="B521" s="376" t="s">
        <v>4926</v>
      </c>
      <c r="C521" s="376">
        <v>9.05670243E8</v>
      </c>
      <c r="D521" s="294" t="s">
        <v>48</v>
      </c>
      <c r="E521" s="512"/>
    </row>
    <row r="522" ht="15.75" customHeight="1">
      <c r="A522" s="376">
        <v>78.0</v>
      </c>
      <c r="B522" s="376" t="s">
        <v>5460</v>
      </c>
      <c r="C522" s="376">
        <v>9.16981663E8</v>
      </c>
      <c r="D522" s="294" t="s">
        <v>48</v>
      </c>
      <c r="E522" s="512"/>
    </row>
    <row r="523" ht="15.75" customHeight="1">
      <c r="A523" s="376">
        <v>79.0</v>
      </c>
      <c r="B523" s="376" t="s">
        <v>4972</v>
      </c>
      <c r="C523" s="376">
        <v>7.75418432E8</v>
      </c>
      <c r="D523" s="294" t="s">
        <v>48</v>
      </c>
      <c r="E523" s="512"/>
    </row>
    <row r="524" ht="15.75" customHeight="1">
      <c r="A524" s="376">
        <v>80.0</v>
      </c>
      <c r="B524" s="376" t="s">
        <v>4972</v>
      </c>
      <c r="C524" s="376" t="s">
        <v>4974</v>
      </c>
      <c r="D524" s="294" t="s">
        <v>48</v>
      </c>
      <c r="E524" s="512"/>
    </row>
    <row r="525" ht="15.75" customHeight="1">
      <c r="A525" s="376">
        <v>81.0</v>
      </c>
      <c r="B525" s="376" t="s">
        <v>5049</v>
      </c>
      <c r="C525" s="376">
        <v>9.05455264E8</v>
      </c>
      <c r="D525" s="294" t="s">
        <v>48</v>
      </c>
      <c r="E525" s="512"/>
    </row>
    <row r="526" ht="15.75" customHeight="1">
      <c r="A526" s="376">
        <v>82.0</v>
      </c>
      <c r="B526" s="376" t="s">
        <v>5055</v>
      </c>
      <c r="C526" s="376">
        <v>9.05993096E8</v>
      </c>
      <c r="D526" s="294" t="s">
        <v>48</v>
      </c>
      <c r="E526" s="512"/>
    </row>
    <row r="527" ht="15.75" customHeight="1">
      <c r="A527" s="376">
        <v>83.0</v>
      </c>
      <c r="B527" s="376" t="s">
        <v>5075</v>
      </c>
      <c r="C527" s="376">
        <v>9.050509E8</v>
      </c>
      <c r="D527" s="294" t="s">
        <v>48</v>
      </c>
      <c r="E527" s="512"/>
    </row>
    <row r="528" ht="15.75" customHeight="1">
      <c r="A528" s="376">
        <v>84.0</v>
      </c>
      <c r="B528" s="376" t="s">
        <v>5461</v>
      </c>
      <c r="C528" s="376">
        <v>7.75304078E8</v>
      </c>
      <c r="D528" s="294" t="s">
        <v>48</v>
      </c>
      <c r="E528" s="512"/>
    </row>
    <row r="529" ht="15.75" customHeight="1">
      <c r="A529" s="376">
        <v>85.0</v>
      </c>
      <c r="B529" s="376" t="s">
        <v>5462</v>
      </c>
      <c r="C529" s="376">
        <v>9.32491706E8</v>
      </c>
      <c r="D529" s="294" t="s">
        <v>48</v>
      </c>
      <c r="E529" s="512"/>
    </row>
    <row r="530" ht="15.75" customHeight="1">
      <c r="A530" s="376">
        <v>86.0</v>
      </c>
      <c r="B530" s="376" t="s">
        <v>5463</v>
      </c>
      <c r="C530" s="376">
        <v>9.35292264E8</v>
      </c>
      <c r="D530" s="294" t="s">
        <v>48</v>
      </c>
      <c r="E530" s="512"/>
    </row>
    <row r="531" ht="15.75" customHeight="1">
      <c r="A531" s="376">
        <v>87.0</v>
      </c>
      <c r="B531" s="376" t="s">
        <v>5464</v>
      </c>
      <c r="C531" s="376">
        <v>7.62796692E8</v>
      </c>
      <c r="D531" s="294" t="s">
        <v>48</v>
      </c>
      <c r="E531" s="512"/>
    </row>
    <row r="532" ht="15.75" customHeight="1">
      <c r="A532" s="376">
        <v>88.0</v>
      </c>
      <c r="B532" s="376" t="s">
        <v>5465</v>
      </c>
      <c r="C532" s="376">
        <v>9.35616101E8</v>
      </c>
      <c r="D532" s="294" t="s">
        <v>48</v>
      </c>
      <c r="E532" s="512"/>
    </row>
    <row r="533" ht="15.75" customHeight="1">
      <c r="A533" s="376">
        <v>89.0</v>
      </c>
      <c r="B533" s="376" t="s">
        <v>5466</v>
      </c>
      <c r="C533" s="376">
        <v>3.56951424E8</v>
      </c>
      <c r="D533" s="294" t="s">
        <v>48</v>
      </c>
      <c r="E533" s="512"/>
    </row>
    <row r="534" ht="15.75" customHeight="1">
      <c r="A534" s="376">
        <v>90.0</v>
      </c>
      <c r="B534" s="376" t="s">
        <v>5467</v>
      </c>
      <c r="C534" s="376">
        <v>9.35075981E8</v>
      </c>
      <c r="D534" s="294" t="s">
        <v>48</v>
      </c>
      <c r="E534" s="512"/>
    </row>
    <row r="535" ht="15.75" customHeight="1">
      <c r="A535" s="376">
        <v>91.0</v>
      </c>
      <c r="B535" s="376" t="s">
        <v>5468</v>
      </c>
      <c r="C535" s="376">
        <v>9.34943034E8</v>
      </c>
      <c r="D535" s="294" t="s">
        <v>48</v>
      </c>
      <c r="E535" s="512"/>
    </row>
    <row r="536" ht="15.75" customHeight="1">
      <c r="A536" s="376">
        <v>92.0</v>
      </c>
      <c r="B536" s="376" t="s">
        <v>5469</v>
      </c>
      <c r="C536" s="376">
        <v>9.15920302E8</v>
      </c>
      <c r="D536" s="294" t="s">
        <v>48</v>
      </c>
      <c r="E536" s="512"/>
    </row>
    <row r="537" ht="15.75" customHeight="1">
      <c r="A537" s="376">
        <v>93.0</v>
      </c>
      <c r="B537" s="376" t="s">
        <v>5470</v>
      </c>
      <c r="C537" s="376">
        <v>7.94107062E8</v>
      </c>
      <c r="D537" s="294" t="s">
        <v>48</v>
      </c>
      <c r="E537" s="512"/>
    </row>
    <row r="538" ht="15.75" customHeight="1">
      <c r="A538" s="376">
        <v>94.0</v>
      </c>
      <c r="B538" s="376" t="s">
        <v>5471</v>
      </c>
      <c r="C538" s="376"/>
      <c r="D538" s="294" t="s">
        <v>48</v>
      </c>
      <c r="E538" s="512"/>
    </row>
    <row r="539" ht="15.75" customHeight="1">
      <c r="A539" s="376">
        <v>95.0</v>
      </c>
      <c r="B539" s="376" t="s">
        <v>5472</v>
      </c>
      <c r="C539" s="376">
        <v>9.14513014E8</v>
      </c>
      <c r="D539" s="294" t="s">
        <v>48</v>
      </c>
      <c r="E539" s="512"/>
    </row>
    <row r="540" ht="15.75" customHeight="1">
      <c r="A540" s="376">
        <v>96.0</v>
      </c>
      <c r="B540" s="376" t="s">
        <v>5473</v>
      </c>
      <c r="C540" s="376">
        <v>9.05199177E8</v>
      </c>
      <c r="D540" s="294" t="s">
        <v>111</v>
      </c>
      <c r="E540" s="512" t="s">
        <v>34</v>
      </c>
      <c r="F540" s="383" t="s">
        <v>5054</v>
      </c>
    </row>
    <row r="541" ht="15.75" customHeight="1">
      <c r="A541" s="376">
        <v>97.0</v>
      </c>
      <c r="B541" s="376" t="s">
        <v>5474</v>
      </c>
      <c r="C541" s="376">
        <v>9.05902245E8</v>
      </c>
      <c r="D541" s="294" t="s">
        <v>111</v>
      </c>
      <c r="E541" s="512" t="s">
        <v>4785</v>
      </c>
      <c r="F541" s="383" t="s">
        <v>5054</v>
      </c>
    </row>
    <row r="542" ht="15.75" customHeight="1">
      <c r="A542" s="376">
        <v>98.0</v>
      </c>
      <c r="B542" s="376" t="s">
        <v>5475</v>
      </c>
      <c r="C542" s="376" t="s">
        <v>5476</v>
      </c>
      <c r="D542" s="294" t="s">
        <v>111</v>
      </c>
      <c r="E542" s="512" t="s">
        <v>34</v>
      </c>
      <c r="F542" s="383" t="s">
        <v>4853</v>
      </c>
    </row>
    <row r="543" ht="15.75" customHeight="1">
      <c r="A543" s="376">
        <v>99.0</v>
      </c>
      <c r="B543" s="376" t="s">
        <v>5477</v>
      </c>
      <c r="C543" s="376">
        <v>3.66125109E8</v>
      </c>
      <c r="D543" s="294" t="s">
        <v>111</v>
      </c>
      <c r="E543" s="512" t="s">
        <v>216</v>
      </c>
      <c r="F543" s="383" t="s">
        <v>5045</v>
      </c>
    </row>
    <row r="544" ht="15.75" customHeight="1">
      <c r="A544" s="376">
        <v>100.0</v>
      </c>
      <c r="B544" s="376" t="s">
        <v>5478</v>
      </c>
      <c r="C544" s="376">
        <v>7.79952548E8</v>
      </c>
      <c r="D544" s="294" t="s">
        <v>111</v>
      </c>
      <c r="E544" s="512" t="s">
        <v>34</v>
      </c>
      <c r="F544" s="383" t="s">
        <v>5479</v>
      </c>
    </row>
    <row r="545" ht="15.75" customHeight="1">
      <c r="A545" s="376">
        <v>101.0</v>
      </c>
      <c r="B545" s="376" t="s">
        <v>5480</v>
      </c>
      <c r="C545" s="376">
        <v>9.05926847E8</v>
      </c>
      <c r="D545" s="294" t="s">
        <v>111</v>
      </c>
      <c r="E545" s="512" t="s">
        <v>34</v>
      </c>
      <c r="F545" s="383" t="s">
        <v>5479</v>
      </c>
    </row>
    <row r="546" ht="15.75" customHeight="1">
      <c r="A546" s="376">
        <v>102.0</v>
      </c>
      <c r="B546" s="376" t="s">
        <v>5481</v>
      </c>
      <c r="C546" s="376">
        <v>9.05635881E8</v>
      </c>
      <c r="D546" s="294" t="s">
        <v>111</v>
      </c>
      <c r="E546" s="512" t="s">
        <v>34</v>
      </c>
      <c r="F546" s="383" t="s">
        <v>5479</v>
      </c>
    </row>
    <row r="547" ht="15.75" customHeight="1">
      <c r="A547" s="376">
        <v>103.0</v>
      </c>
      <c r="B547" s="376" t="s">
        <v>5482</v>
      </c>
      <c r="C547" s="376">
        <v>9.83820105E8</v>
      </c>
      <c r="D547" s="294" t="s">
        <v>111</v>
      </c>
      <c r="E547" s="512" t="s">
        <v>34</v>
      </c>
      <c r="F547" s="383" t="s">
        <v>5054</v>
      </c>
    </row>
    <row r="548" ht="15.75" customHeight="1">
      <c r="A548" s="376">
        <v>104.0</v>
      </c>
      <c r="B548" s="376" t="s">
        <v>5483</v>
      </c>
      <c r="C548" s="376">
        <v>9.05727372E8</v>
      </c>
      <c r="D548" s="294" t="s">
        <v>111</v>
      </c>
      <c r="E548" s="512" t="s">
        <v>216</v>
      </c>
      <c r="F548" s="383" t="s">
        <v>5045</v>
      </c>
    </row>
    <row r="549" ht="15.75" customHeight="1">
      <c r="A549" s="376">
        <v>105.0</v>
      </c>
      <c r="B549" s="376" t="s">
        <v>5218</v>
      </c>
      <c r="C549" s="376">
        <v>9.32534551E8</v>
      </c>
      <c r="D549" s="294" t="s">
        <v>111</v>
      </c>
      <c r="E549" s="512" t="s">
        <v>34</v>
      </c>
      <c r="F549" s="383" t="s">
        <v>5054</v>
      </c>
    </row>
    <row r="550" ht="15.75" customHeight="1">
      <c r="A550" s="376">
        <v>106.0</v>
      </c>
      <c r="B550" s="376" t="s">
        <v>5484</v>
      </c>
      <c r="C550" s="376">
        <v>9.05533235E8</v>
      </c>
      <c r="D550" s="294" t="s">
        <v>111</v>
      </c>
      <c r="E550" s="512" t="s">
        <v>34</v>
      </c>
      <c r="F550" s="383" t="s">
        <v>5479</v>
      </c>
    </row>
    <row r="551" ht="15.75" customHeight="1">
      <c r="A551" s="376">
        <v>107.0</v>
      </c>
      <c r="B551" s="376" t="s">
        <v>5485</v>
      </c>
      <c r="C551" s="376">
        <v>9.16520854E8</v>
      </c>
      <c r="D551" s="294" t="s">
        <v>111</v>
      </c>
      <c r="E551" s="512" t="s">
        <v>34</v>
      </c>
      <c r="F551" s="383" t="s">
        <v>5479</v>
      </c>
    </row>
    <row r="552" ht="15.75" customHeight="1">
      <c r="A552" s="376">
        <v>108.0</v>
      </c>
      <c r="B552" s="376" t="s">
        <v>5485</v>
      </c>
      <c r="C552" s="376" t="s">
        <v>5486</v>
      </c>
      <c r="D552" s="294" t="s">
        <v>111</v>
      </c>
      <c r="E552" s="512" t="s">
        <v>34</v>
      </c>
      <c r="F552" s="383" t="s">
        <v>5479</v>
      </c>
    </row>
    <row r="553" ht="15.75" customHeight="1">
      <c r="A553" s="376">
        <v>109.0</v>
      </c>
      <c r="B553" s="376" t="s">
        <v>5487</v>
      </c>
      <c r="C553" s="376">
        <v>9.35835765E8</v>
      </c>
      <c r="D553" s="294" t="s">
        <v>111</v>
      </c>
      <c r="E553" s="512" t="s">
        <v>34</v>
      </c>
      <c r="F553" s="383" t="s">
        <v>5479</v>
      </c>
    </row>
    <row r="554" ht="15.75" customHeight="1">
      <c r="A554" s="376">
        <v>110.0</v>
      </c>
      <c r="B554" s="376" t="s">
        <v>5488</v>
      </c>
      <c r="C554" s="376">
        <v>7.04491422E8</v>
      </c>
      <c r="D554" s="294" t="s">
        <v>111</v>
      </c>
      <c r="E554" s="512" t="s">
        <v>4785</v>
      </c>
      <c r="F554" s="383" t="s">
        <v>5489</v>
      </c>
    </row>
    <row r="555" ht="15.75" customHeight="1">
      <c r="A555" s="376">
        <v>111.0</v>
      </c>
      <c r="B555" s="376" t="s">
        <v>5490</v>
      </c>
      <c r="C555" s="376">
        <v>9.3500905E8</v>
      </c>
      <c r="D555" s="294" t="s">
        <v>111</v>
      </c>
      <c r="E555" s="512" t="s">
        <v>216</v>
      </c>
      <c r="F555" s="383" t="s">
        <v>5045</v>
      </c>
    </row>
    <row r="556" ht="15.75" customHeight="1">
      <c r="A556" s="376">
        <v>112.0</v>
      </c>
      <c r="B556" s="376" t="s">
        <v>5491</v>
      </c>
      <c r="C556" s="376">
        <v>9.88353675E8</v>
      </c>
      <c r="D556" s="294" t="s">
        <v>111</v>
      </c>
      <c r="E556" s="512" t="s">
        <v>34</v>
      </c>
      <c r="F556" s="383" t="s">
        <v>5054</v>
      </c>
    </row>
    <row r="557" ht="15.75" customHeight="1">
      <c r="A557" s="376">
        <v>113.0</v>
      </c>
      <c r="B557" s="376" t="s">
        <v>4900</v>
      </c>
      <c r="C557" s="376">
        <v>9.35656322E8</v>
      </c>
      <c r="D557" s="294" t="s">
        <v>111</v>
      </c>
      <c r="E557" s="512" t="s">
        <v>34</v>
      </c>
      <c r="F557" s="383" t="s">
        <v>5054</v>
      </c>
    </row>
    <row r="558" ht="15.75" customHeight="1">
      <c r="A558" s="376">
        <v>114.0</v>
      </c>
      <c r="B558" s="376" t="s">
        <v>5492</v>
      </c>
      <c r="C558" s="376">
        <v>9.85081977E8</v>
      </c>
      <c r="D558" s="294" t="s">
        <v>111</v>
      </c>
      <c r="E558" s="512" t="s">
        <v>34</v>
      </c>
      <c r="F558" s="383" t="s">
        <v>5493</v>
      </c>
    </row>
    <row r="559" ht="15.75" customHeight="1">
      <c r="A559" s="376">
        <v>115.0</v>
      </c>
      <c r="B559" s="376" t="s">
        <v>5494</v>
      </c>
      <c r="C559" s="376">
        <v>9.88600679E8</v>
      </c>
      <c r="D559" s="294" t="s">
        <v>111</v>
      </c>
      <c r="E559" s="512" t="s">
        <v>34</v>
      </c>
      <c r="F559" s="383" t="s">
        <v>5054</v>
      </c>
    </row>
    <row r="560" ht="15.75" customHeight="1">
      <c r="A560" s="376">
        <v>116.0</v>
      </c>
      <c r="B560" s="376" t="s">
        <v>5495</v>
      </c>
      <c r="C560" s="376">
        <v>7.88379975E8</v>
      </c>
      <c r="D560" s="294" t="s">
        <v>111</v>
      </c>
      <c r="E560" s="512" t="s">
        <v>34</v>
      </c>
      <c r="F560" s="383" t="s">
        <v>5054</v>
      </c>
    </row>
    <row r="561" ht="15.75" customHeight="1">
      <c r="A561" s="376">
        <v>117.0</v>
      </c>
      <c r="B561" s="376" t="s">
        <v>5496</v>
      </c>
      <c r="C561" s="376">
        <v>9.05745656E8</v>
      </c>
      <c r="D561" s="294" t="s">
        <v>111</v>
      </c>
      <c r="E561" s="512"/>
    </row>
    <row r="562" ht="15.75" customHeight="1">
      <c r="A562" s="376">
        <v>118.0</v>
      </c>
      <c r="B562" s="376" t="s">
        <v>5497</v>
      </c>
      <c r="C562" s="376">
        <v>9.35055322E8</v>
      </c>
      <c r="D562" s="294" t="s">
        <v>111</v>
      </c>
      <c r="E562" s="512"/>
    </row>
    <row r="563" ht="15.75" customHeight="1">
      <c r="A563" s="376">
        <v>119.0</v>
      </c>
      <c r="B563" s="376" t="s">
        <v>5332</v>
      </c>
      <c r="C563" s="376">
        <v>7.93570128E8</v>
      </c>
      <c r="D563" s="294" t="s">
        <v>111</v>
      </c>
      <c r="E563" s="512"/>
    </row>
    <row r="564" ht="15.75" customHeight="1">
      <c r="A564" s="376">
        <v>120.0</v>
      </c>
      <c r="B564" s="376" t="s">
        <v>4994</v>
      </c>
      <c r="C564" s="376">
        <v>9.87255809E8</v>
      </c>
      <c r="D564" s="294" t="s">
        <v>111</v>
      </c>
      <c r="E564" s="512"/>
    </row>
    <row r="565" ht="15.75" customHeight="1">
      <c r="A565" s="376">
        <v>121.0</v>
      </c>
      <c r="B565" s="376" t="s">
        <v>4903</v>
      </c>
      <c r="C565" s="376">
        <v>9.05053073E8</v>
      </c>
      <c r="D565" s="294" t="s">
        <v>111</v>
      </c>
      <c r="E565" s="512"/>
    </row>
    <row r="566" ht="15.75" customHeight="1">
      <c r="A566" s="376">
        <v>122.0</v>
      </c>
      <c r="B566" s="376" t="s">
        <v>5029</v>
      </c>
      <c r="C566" s="376">
        <v>9.05545656E8</v>
      </c>
      <c r="D566" s="294" t="s">
        <v>111</v>
      </c>
      <c r="E566" s="512"/>
    </row>
    <row r="567" ht="15.75" customHeight="1">
      <c r="A567" s="376">
        <v>123.0</v>
      </c>
      <c r="B567" s="376" t="s">
        <v>5058</v>
      </c>
      <c r="C567" s="376">
        <v>9.05501248E8</v>
      </c>
      <c r="D567" s="294" t="s">
        <v>111</v>
      </c>
      <c r="E567" s="512"/>
    </row>
    <row r="568" ht="15.75" customHeight="1">
      <c r="A568" s="376">
        <v>124.0</v>
      </c>
      <c r="B568" s="376" t="s">
        <v>5058</v>
      </c>
      <c r="C568" s="376">
        <v>9.88067222E8</v>
      </c>
      <c r="D568" s="294" t="s">
        <v>111</v>
      </c>
      <c r="E568" s="512"/>
    </row>
    <row r="569" ht="15.75" customHeight="1">
      <c r="A569" s="376">
        <v>125.0</v>
      </c>
      <c r="B569" s="376" t="s">
        <v>5089</v>
      </c>
      <c r="C569" s="376">
        <v>9.05584641E8</v>
      </c>
      <c r="D569" s="294" t="s">
        <v>111</v>
      </c>
      <c r="E569" s="512"/>
    </row>
    <row r="570" ht="15.75" customHeight="1">
      <c r="A570" s="376">
        <v>126.0</v>
      </c>
      <c r="B570" s="376" t="s">
        <v>5093</v>
      </c>
      <c r="C570" s="376">
        <v>9.11296465E8</v>
      </c>
      <c r="D570" s="294" t="s">
        <v>111</v>
      </c>
      <c r="E570" s="512"/>
    </row>
    <row r="571" ht="15.75" customHeight="1">
      <c r="A571" s="376">
        <v>127.0</v>
      </c>
      <c r="B571" s="376" t="s">
        <v>5152</v>
      </c>
      <c r="C571" s="376">
        <v>9.05196011E8</v>
      </c>
      <c r="D571" s="294" t="s">
        <v>111</v>
      </c>
      <c r="E571" s="512"/>
    </row>
    <row r="572" ht="15.75" customHeight="1">
      <c r="A572" s="376">
        <v>128.0</v>
      </c>
      <c r="B572" s="376" t="s">
        <v>5156</v>
      </c>
      <c r="C572" s="376">
        <v>9.79733031E8</v>
      </c>
      <c r="D572" s="294" t="s">
        <v>111</v>
      </c>
      <c r="E572" s="512"/>
    </row>
    <row r="573" ht="15.75" customHeight="1">
      <c r="A573" s="376">
        <v>129.0</v>
      </c>
      <c r="B573" s="376" t="s">
        <v>5337</v>
      </c>
      <c r="C573" s="376">
        <v>9.05163366E8</v>
      </c>
      <c r="D573" s="294" t="s">
        <v>111</v>
      </c>
      <c r="E573" s="512"/>
    </row>
    <row r="574" ht="15.75" customHeight="1">
      <c r="A574" s="376">
        <v>130.0</v>
      </c>
      <c r="B574" s="376" t="s">
        <v>5339</v>
      </c>
      <c r="C574" s="376">
        <v>3.52445523E8</v>
      </c>
      <c r="D574" s="294" t="s">
        <v>111</v>
      </c>
      <c r="E574" s="512"/>
    </row>
    <row r="575" ht="15.75" customHeight="1">
      <c r="A575" s="376">
        <v>131.0</v>
      </c>
      <c r="B575" s="376" t="s">
        <v>4912</v>
      </c>
      <c r="C575" s="376">
        <v>9.05889211E8</v>
      </c>
      <c r="D575" s="294" t="s">
        <v>111</v>
      </c>
      <c r="E575" s="512"/>
    </row>
    <row r="576" ht="15.75" customHeight="1">
      <c r="A576" s="376">
        <v>132.0</v>
      </c>
      <c r="B576" s="376" t="s">
        <v>5341</v>
      </c>
      <c r="C576" s="376">
        <v>8.66633886E8</v>
      </c>
      <c r="D576" s="294" t="s">
        <v>111</v>
      </c>
      <c r="E576" s="512"/>
    </row>
    <row r="577" ht="15.75" customHeight="1">
      <c r="A577" s="376">
        <v>133.0</v>
      </c>
      <c r="B577" s="376" t="s">
        <v>1270</v>
      </c>
      <c r="C577" s="376">
        <v>9.06515999E8</v>
      </c>
      <c r="D577" s="294" t="s">
        <v>111</v>
      </c>
      <c r="E577" s="512"/>
    </row>
    <row r="578" ht="15.75" customHeight="1">
      <c r="A578" s="376">
        <v>134.0</v>
      </c>
      <c r="B578" s="376" t="s">
        <v>5344</v>
      </c>
      <c r="C578" s="376">
        <v>9.05811767E8</v>
      </c>
      <c r="D578" s="294" t="s">
        <v>111</v>
      </c>
      <c r="E578" s="512"/>
    </row>
    <row r="579" ht="15.75" customHeight="1">
      <c r="A579" s="376">
        <v>135.0</v>
      </c>
      <c r="B579" s="376" t="s">
        <v>4913</v>
      </c>
      <c r="C579" s="376">
        <v>3.89789352E8</v>
      </c>
      <c r="D579" s="294" t="s">
        <v>111</v>
      </c>
      <c r="E579" s="512"/>
    </row>
    <row r="580" ht="15.75" customHeight="1">
      <c r="A580" s="376">
        <v>136.0</v>
      </c>
      <c r="B580" s="376" t="s">
        <v>5346</v>
      </c>
      <c r="C580" s="376">
        <v>9.3557058E8</v>
      </c>
      <c r="D580" s="294" t="s">
        <v>111</v>
      </c>
      <c r="E580" s="512"/>
    </row>
    <row r="581" ht="15.75" customHeight="1">
      <c r="A581" s="376">
        <v>137.0</v>
      </c>
      <c r="B581" s="376" t="s">
        <v>5348</v>
      </c>
      <c r="C581" s="376">
        <v>9.05806987E8</v>
      </c>
      <c r="D581" s="294" t="s">
        <v>111</v>
      </c>
      <c r="E581" s="512"/>
    </row>
    <row r="582" ht="15.75" customHeight="1">
      <c r="A582" s="376">
        <v>138.0</v>
      </c>
      <c r="B582" s="376" t="s">
        <v>4914</v>
      </c>
      <c r="C582" s="376">
        <v>3.47296864E8</v>
      </c>
      <c r="D582" s="294" t="s">
        <v>111</v>
      </c>
      <c r="E582" s="512"/>
    </row>
    <row r="583" ht="15.75" customHeight="1">
      <c r="A583" s="376">
        <v>139.0</v>
      </c>
      <c r="B583" s="376" t="s">
        <v>5498</v>
      </c>
      <c r="C583" s="376">
        <v>9.43102911E8</v>
      </c>
      <c r="D583" s="294" t="s">
        <v>111</v>
      </c>
      <c r="E583" s="512"/>
    </row>
    <row r="584" ht="15.75" customHeight="1">
      <c r="A584" s="376">
        <v>140.0</v>
      </c>
      <c r="B584" s="376" t="s">
        <v>4915</v>
      </c>
      <c r="C584" s="376">
        <v>9.05719359E8</v>
      </c>
      <c r="D584" s="294" t="s">
        <v>111</v>
      </c>
      <c r="E584" s="512"/>
    </row>
    <row r="585" ht="15.75" customHeight="1">
      <c r="A585" s="376">
        <v>141.0</v>
      </c>
      <c r="B585" s="376" t="s">
        <v>5350</v>
      </c>
      <c r="C585" s="376">
        <v>9.71688046E8</v>
      </c>
      <c r="D585" s="294" t="s">
        <v>111</v>
      </c>
      <c r="E585" s="512"/>
    </row>
    <row r="586" ht="15.75" customHeight="1">
      <c r="A586" s="376">
        <v>142.0</v>
      </c>
      <c r="B586" s="376" t="s">
        <v>5354</v>
      </c>
      <c r="C586" s="376">
        <v>9.49447984E8</v>
      </c>
      <c r="D586" s="294" t="s">
        <v>111</v>
      </c>
      <c r="E586" s="512"/>
    </row>
    <row r="587" ht="15.75" customHeight="1">
      <c r="A587" s="376">
        <v>143.0</v>
      </c>
      <c r="B587" s="376" t="s">
        <v>5356</v>
      </c>
      <c r="C587" s="376">
        <v>9.75945313E8</v>
      </c>
      <c r="D587" s="294" t="s">
        <v>111</v>
      </c>
      <c r="E587" s="512"/>
    </row>
    <row r="588" ht="15.75" customHeight="1">
      <c r="A588" s="376">
        <v>144.0</v>
      </c>
      <c r="B588" s="376" t="s">
        <v>5358</v>
      </c>
      <c r="C588" s="376">
        <v>9.05629699E8</v>
      </c>
      <c r="D588" s="294" t="s">
        <v>111</v>
      </c>
      <c r="E588" s="512"/>
    </row>
    <row r="589" ht="15.75" customHeight="1">
      <c r="A589" s="376">
        <v>145.0</v>
      </c>
      <c r="B589" s="376" t="s">
        <v>5360</v>
      </c>
      <c r="C589" s="376">
        <v>9.78659691E8</v>
      </c>
      <c r="D589" s="294" t="s">
        <v>111</v>
      </c>
      <c r="E589" s="512"/>
    </row>
    <row r="590" ht="15.75" customHeight="1">
      <c r="A590" s="376">
        <v>146.0</v>
      </c>
      <c r="B590" s="376" t="s">
        <v>5216</v>
      </c>
      <c r="C590" s="376">
        <v>9.05762883E8</v>
      </c>
      <c r="D590" s="294" t="s">
        <v>111</v>
      </c>
      <c r="E590" s="512"/>
    </row>
    <row r="591" ht="15.75" customHeight="1">
      <c r="A591" s="376">
        <v>147.0</v>
      </c>
      <c r="B591" s="376" t="s">
        <v>5362</v>
      </c>
      <c r="C591" s="376">
        <v>9.0913222E8</v>
      </c>
      <c r="D591" s="294" t="s">
        <v>111</v>
      </c>
      <c r="E591" s="512"/>
    </row>
    <row r="592" ht="15.75" customHeight="1">
      <c r="A592" s="376">
        <v>148.0</v>
      </c>
      <c r="B592" s="376" t="s">
        <v>5499</v>
      </c>
      <c r="C592" s="376">
        <v>9.03586545E8</v>
      </c>
      <c r="D592" s="294" t="s">
        <v>111</v>
      </c>
      <c r="E592" s="512"/>
    </row>
    <row r="593" ht="15.75" customHeight="1">
      <c r="A593" s="376">
        <v>149.0</v>
      </c>
      <c r="B593" s="376" t="s">
        <v>4921</v>
      </c>
      <c r="C593" s="376">
        <v>7.74597122E8</v>
      </c>
      <c r="D593" s="294" t="s">
        <v>111</v>
      </c>
      <c r="E593" s="512"/>
    </row>
    <row r="594" ht="15.75" customHeight="1">
      <c r="A594" s="376">
        <v>150.0</v>
      </c>
      <c r="B594" s="376" t="s">
        <v>5367</v>
      </c>
      <c r="C594" s="376">
        <v>9.35295952E8</v>
      </c>
      <c r="D594" s="294" t="s">
        <v>111</v>
      </c>
      <c r="E594" s="512"/>
    </row>
    <row r="595" ht="15.75" customHeight="1">
      <c r="A595" s="376">
        <v>151.0</v>
      </c>
      <c r="B595" s="376" t="s">
        <v>5369</v>
      </c>
      <c r="C595" s="376">
        <v>9.05923607E8</v>
      </c>
      <c r="D595" s="294" t="s">
        <v>111</v>
      </c>
      <c r="E595" s="512"/>
    </row>
    <row r="596" ht="15.75" customHeight="1">
      <c r="A596" s="376">
        <v>152.0</v>
      </c>
      <c r="B596" s="376" t="s">
        <v>5371</v>
      </c>
      <c r="C596" s="376">
        <v>9.05559895E8</v>
      </c>
      <c r="D596" s="294" t="s">
        <v>111</v>
      </c>
      <c r="E596" s="512"/>
    </row>
    <row r="597" ht="15.75" customHeight="1">
      <c r="A597" s="376">
        <v>153.0</v>
      </c>
      <c r="B597" s="376" t="s">
        <v>5500</v>
      </c>
      <c r="C597" s="376">
        <v>9.05435951E8</v>
      </c>
      <c r="D597" s="294" t="s">
        <v>111</v>
      </c>
      <c r="E597" s="512"/>
    </row>
    <row r="598" ht="15.75" customHeight="1">
      <c r="A598" s="376">
        <v>154.0</v>
      </c>
      <c r="B598" s="376" t="s">
        <v>5501</v>
      </c>
      <c r="C598" s="376">
        <v>9.35230302E8</v>
      </c>
      <c r="D598" s="294" t="s">
        <v>111</v>
      </c>
      <c r="E598" s="512"/>
    </row>
    <row r="599" ht="15.75" customHeight="1">
      <c r="A599" s="376">
        <v>155.0</v>
      </c>
      <c r="B599" s="376" t="s">
        <v>5502</v>
      </c>
      <c r="C599" s="376">
        <v>9.75483906E8</v>
      </c>
      <c r="D599" s="294" t="s">
        <v>111</v>
      </c>
      <c r="E599" s="512"/>
    </row>
    <row r="600" ht="15.75" customHeight="1">
      <c r="A600" s="376">
        <v>156.0</v>
      </c>
      <c r="B600" s="376" t="s">
        <v>5503</v>
      </c>
      <c r="C600" s="376">
        <v>9.35788971E8</v>
      </c>
      <c r="D600" s="294" t="s">
        <v>111</v>
      </c>
      <c r="E600" s="512"/>
    </row>
    <row r="601" ht="15.75" customHeight="1">
      <c r="A601" s="376">
        <v>157.0</v>
      </c>
      <c r="B601" s="376" t="s">
        <v>5504</v>
      </c>
      <c r="C601" s="376">
        <v>9.05290032E8</v>
      </c>
      <c r="D601" s="294" t="s">
        <v>111</v>
      </c>
      <c r="E601" s="512"/>
    </row>
    <row r="602" ht="15.75" customHeight="1">
      <c r="A602" s="376">
        <v>158.0</v>
      </c>
      <c r="B602" s="376" t="s">
        <v>5505</v>
      </c>
      <c r="C602" s="376">
        <v>9.05170587E8</v>
      </c>
      <c r="D602" s="294" t="s">
        <v>111</v>
      </c>
      <c r="E602" s="512"/>
    </row>
    <row r="603" ht="15.75" customHeight="1">
      <c r="A603" s="376">
        <v>159.0</v>
      </c>
      <c r="B603" s="376" t="s">
        <v>5506</v>
      </c>
      <c r="C603" s="376">
        <v>8.98216136E8</v>
      </c>
      <c r="D603" s="294" t="s">
        <v>111</v>
      </c>
      <c r="E603" s="512"/>
    </row>
    <row r="604" ht="15.75" customHeight="1">
      <c r="A604" s="376">
        <v>160.0</v>
      </c>
      <c r="B604" s="376" t="s">
        <v>5507</v>
      </c>
      <c r="C604" s="376">
        <v>9.05688222E8</v>
      </c>
      <c r="D604" s="294" t="s">
        <v>111</v>
      </c>
      <c r="E604" s="512"/>
    </row>
    <row r="605" ht="15.75" customHeight="1">
      <c r="A605" s="376">
        <v>161.0</v>
      </c>
      <c r="B605" s="376" t="s">
        <v>5508</v>
      </c>
      <c r="C605" s="376">
        <v>9.06595522E8</v>
      </c>
      <c r="D605" s="294" t="s">
        <v>111</v>
      </c>
      <c r="E605" s="512"/>
    </row>
    <row r="606" ht="15.75" customHeight="1">
      <c r="A606" s="376">
        <v>162.0</v>
      </c>
      <c r="B606" s="376" t="s">
        <v>5509</v>
      </c>
      <c r="C606" s="376">
        <v>8.88711387E8</v>
      </c>
      <c r="D606" s="294" t="s">
        <v>111</v>
      </c>
      <c r="E606" s="512"/>
    </row>
    <row r="607" ht="15.75" customHeight="1">
      <c r="A607" s="376">
        <v>163.0</v>
      </c>
      <c r="B607" s="376" t="s">
        <v>5510</v>
      </c>
      <c r="C607" s="376">
        <v>9.05107155E8</v>
      </c>
      <c r="D607" s="294" t="s">
        <v>111</v>
      </c>
      <c r="E607" s="512"/>
    </row>
    <row r="608" ht="15.75" customHeight="1">
      <c r="A608" s="376">
        <v>164.0</v>
      </c>
      <c r="B608" s="376" t="s">
        <v>4956</v>
      </c>
      <c r="C608" s="376">
        <v>9.38806618E8</v>
      </c>
      <c r="D608" s="294" t="s">
        <v>111</v>
      </c>
      <c r="E608" s="512"/>
    </row>
    <row r="609" ht="15.75" customHeight="1">
      <c r="A609" s="376">
        <v>165.0</v>
      </c>
      <c r="B609" s="376" t="s">
        <v>5056</v>
      </c>
      <c r="C609" s="376">
        <v>9.86262314E8</v>
      </c>
      <c r="D609" s="294" t="s">
        <v>111</v>
      </c>
      <c r="E609" s="512"/>
    </row>
    <row r="610" ht="15.75" customHeight="1">
      <c r="A610" s="376">
        <v>166.0</v>
      </c>
      <c r="B610" s="376" t="s">
        <v>5069</v>
      </c>
      <c r="C610" s="376">
        <v>9.05549779E8</v>
      </c>
      <c r="D610" s="294" t="s">
        <v>111</v>
      </c>
      <c r="E610" s="512"/>
    </row>
    <row r="611" ht="15.75" customHeight="1">
      <c r="A611" s="376">
        <v>167.0</v>
      </c>
      <c r="B611" s="376" t="s">
        <v>5088</v>
      </c>
      <c r="C611" s="376">
        <v>3.53251085E8</v>
      </c>
      <c r="D611" s="294" t="s">
        <v>111</v>
      </c>
      <c r="E611" s="512"/>
    </row>
    <row r="612" ht="15.75" customHeight="1">
      <c r="A612" s="376">
        <v>168.0</v>
      </c>
      <c r="B612" s="376" t="s">
        <v>5141</v>
      </c>
      <c r="C612" s="376">
        <v>9.02662836E8</v>
      </c>
      <c r="D612" s="294" t="s">
        <v>111</v>
      </c>
      <c r="E612" s="512"/>
    </row>
    <row r="613" ht="15.75" customHeight="1">
      <c r="A613" s="376">
        <v>169.0</v>
      </c>
      <c r="B613" s="376" t="s">
        <v>5511</v>
      </c>
      <c r="C613" s="376">
        <v>3.52360897E8</v>
      </c>
      <c r="D613" s="294" t="s">
        <v>111</v>
      </c>
      <c r="E613" s="512"/>
    </row>
    <row r="614" ht="15.75" customHeight="1">
      <c r="A614" s="376">
        <v>170.0</v>
      </c>
      <c r="B614" s="376" t="s">
        <v>5512</v>
      </c>
      <c r="C614" s="376">
        <v>9.45934775E8</v>
      </c>
      <c r="D614" s="294" t="s">
        <v>111</v>
      </c>
      <c r="E614" s="512"/>
    </row>
    <row r="615" ht="15.75" customHeight="1">
      <c r="A615" s="376">
        <v>171.0</v>
      </c>
      <c r="B615" s="376" t="s">
        <v>5513</v>
      </c>
      <c r="C615" s="376">
        <v>8.18108888E8</v>
      </c>
      <c r="D615" s="294" t="s">
        <v>111</v>
      </c>
      <c r="E615" s="512"/>
    </row>
    <row r="616" ht="15.75" customHeight="1">
      <c r="A616" s="376">
        <v>172.0</v>
      </c>
      <c r="B616" s="376" t="s">
        <v>5513</v>
      </c>
      <c r="C616" s="376">
        <v>8.125488888E9</v>
      </c>
      <c r="D616" s="294" t="s">
        <v>111</v>
      </c>
      <c r="E616" s="512"/>
    </row>
    <row r="617" ht="15.75" customHeight="1">
      <c r="A617" s="376">
        <v>173.0</v>
      </c>
      <c r="B617" s="376" t="s">
        <v>5514</v>
      </c>
      <c r="C617" s="376">
        <v>7.74463253E8</v>
      </c>
      <c r="D617" s="294" t="s">
        <v>111</v>
      </c>
      <c r="E617" s="512"/>
    </row>
    <row r="618" ht="15.75" customHeight="1">
      <c r="A618" s="376">
        <v>174.0</v>
      </c>
      <c r="B618" s="376" t="s">
        <v>5515</v>
      </c>
      <c r="C618" s="376">
        <v>9.17798501E8</v>
      </c>
      <c r="D618" s="294" t="s">
        <v>111</v>
      </c>
      <c r="E618" s="512"/>
    </row>
    <row r="619" ht="15.75" customHeight="1">
      <c r="A619" s="376">
        <v>175.0</v>
      </c>
      <c r="B619" s="376" t="s">
        <v>5516</v>
      </c>
      <c r="C619" s="376">
        <v>9.06466887E8</v>
      </c>
      <c r="D619" s="294" t="s">
        <v>111</v>
      </c>
      <c r="E619" s="512"/>
    </row>
    <row r="620" ht="15.75" customHeight="1">
      <c r="A620" s="376">
        <v>176.0</v>
      </c>
      <c r="B620" s="376" t="s">
        <v>5517</v>
      </c>
      <c r="C620" s="376">
        <v>9.05378422E8</v>
      </c>
      <c r="D620" s="294" t="s">
        <v>111</v>
      </c>
      <c r="E620" s="512"/>
    </row>
    <row r="621" ht="15.75" customHeight="1">
      <c r="A621" s="376">
        <v>177.0</v>
      </c>
      <c r="B621" s="376" t="s">
        <v>5518</v>
      </c>
      <c r="C621" s="376">
        <v>9.32557134E8</v>
      </c>
      <c r="D621" s="294" t="s">
        <v>111</v>
      </c>
      <c r="E621" s="512"/>
    </row>
    <row r="622" ht="15.75" customHeight="1">
      <c r="A622" s="376">
        <v>178.0</v>
      </c>
      <c r="B622" s="376" t="s">
        <v>5519</v>
      </c>
      <c r="C622" s="376">
        <v>9.05374069E8</v>
      </c>
      <c r="D622" s="294" t="s">
        <v>111</v>
      </c>
      <c r="E622" s="512"/>
    </row>
    <row r="623" ht="15.75" customHeight="1">
      <c r="A623" s="376">
        <v>179.0</v>
      </c>
      <c r="B623" s="376" t="s">
        <v>5520</v>
      </c>
      <c r="C623" s="376">
        <v>9.05417844E8</v>
      </c>
      <c r="D623" s="294" t="s">
        <v>111</v>
      </c>
      <c r="E623" s="512"/>
    </row>
    <row r="624" ht="15.75" customHeight="1">
      <c r="A624" s="376">
        <v>180.0</v>
      </c>
      <c r="B624" s="376" t="s">
        <v>5521</v>
      </c>
      <c r="C624" s="376">
        <v>3.73420611E8</v>
      </c>
      <c r="D624" s="294" t="s">
        <v>111</v>
      </c>
      <c r="E624" s="512" t="s">
        <v>216</v>
      </c>
    </row>
    <row r="625" ht="15.75" customHeight="1">
      <c r="A625" s="376">
        <v>181.0</v>
      </c>
      <c r="B625" s="376" t="s">
        <v>5522</v>
      </c>
      <c r="C625" s="376">
        <v>9.01716473E8</v>
      </c>
      <c r="D625" s="294" t="s">
        <v>111</v>
      </c>
      <c r="E625" s="512" t="s">
        <v>34</v>
      </c>
    </row>
    <row r="626" ht="15.75" customHeight="1">
      <c r="A626" s="376">
        <v>182.0</v>
      </c>
      <c r="B626" s="376" t="s">
        <v>5523</v>
      </c>
      <c r="C626" s="376">
        <v>3.7437509E8</v>
      </c>
      <c r="D626" s="294" t="s">
        <v>111</v>
      </c>
      <c r="E626" s="512" t="s">
        <v>216</v>
      </c>
    </row>
    <row r="627" ht="15.75" customHeight="1">
      <c r="A627" s="376">
        <v>183.0</v>
      </c>
      <c r="B627" s="376" t="s">
        <v>5524</v>
      </c>
      <c r="C627" s="376">
        <v>5.22900054E8</v>
      </c>
      <c r="D627" s="294" t="s">
        <v>111</v>
      </c>
      <c r="E627" s="512" t="s">
        <v>34</v>
      </c>
    </row>
    <row r="628" ht="15.75" customHeight="1">
      <c r="A628" s="376">
        <v>184.0</v>
      </c>
      <c r="B628" s="376" t="s">
        <v>5525</v>
      </c>
      <c r="C628" s="376">
        <v>9.4692748E8</v>
      </c>
      <c r="D628" s="294" t="s">
        <v>111</v>
      </c>
      <c r="E628" s="512" t="s">
        <v>216</v>
      </c>
    </row>
    <row r="629" ht="15.75" customHeight="1">
      <c r="A629" s="376">
        <v>185.0</v>
      </c>
      <c r="B629" s="376" t="s">
        <v>5526</v>
      </c>
      <c r="C629" s="376">
        <v>9.35606135E8</v>
      </c>
      <c r="D629" s="294" t="s">
        <v>111</v>
      </c>
      <c r="E629" s="512" t="s">
        <v>216</v>
      </c>
    </row>
    <row r="630" ht="15.75" customHeight="1">
      <c r="A630" s="376">
        <v>186.0</v>
      </c>
      <c r="B630" s="376" t="s">
        <v>5527</v>
      </c>
      <c r="C630" s="376">
        <v>9.08530295E8</v>
      </c>
      <c r="D630" s="294" t="s">
        <v>111</v>
      </c>
      <c r="E630" s="512" t="s">
        <v>34</v>
      </c>
      <c r="F630" s="383" t="s">
        <v>5393</v>
      </c>
    </row>
    <row r="631" ht="15.75" customHeight="1">
      <c r="A631" s="376">
        <v>187.0</v>
      </c>
      <c r="B631" s="376" t="s">
        <v>5527</v>
      </c>
      <c r="C631" s="376">
        <v>9.83669512E8</v>
      </c>
      <c r="D631" s="294" t="s">
        <v>111</v>
      </c>
      <c r="E631" s="512"/>
    </row>
    <row r="632" ht="15.75" customHeight="1">
      <c r="A632" s="376">
        <v>188.0</v>
      </c>
      <c r="B632" s="376" t="s">
        <v>5528</v>
      </c>
      <c r="C632" s="376">
        <v>3.82777907E8</v>
      </c>
      <c r="D632" s="294" t="s">
        <v>111</v>
      </c>
      <c r="E632" s="512" t="s">
        <v>4785</v>
      </c>
      <c r="F632" s="383" t="s">
        <v>5529</v>
      </c>
    </row>
    <row r="633" ht="15.75" customHeight="1">
      <c r="A633" s="376">
        <v>189.0</v>
      </c>
      <c r="B633" s="376" t="s">
        <v>5530</v>
      </c>
      <c r="C633" s="376">
        <v>9.78387189E8</v>
      </c>
      <c r="D633" s="294" t="s">
        <v>111</v>
      </c>
      <c r="E633" s="512" t="s">
        <v>34</v>
      </c>
      <c r="F633" s="383" t="s">
        <v>5531</v>
      </c>
    </row>
    <row r="634" ht="15.75" customHeight="1">
      <c r="A634" s="376">
        <v>190.0</v>
      </c>
      <c r="B634" s="376" t="s">
        <v>5532</v>
      </c>
      <c r="C634" s="376">
        <v>9.06793288E8</v>
      </c>
      <c r="D634" s="294" t="s">
        <v>111</v>
      </c>
      <c r="E634" s="512" t="s">
        <v>34</v>
      </c>
      <c r="F634" s="383" t="s">
        <v>5533</v>
      </c>
    </row>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E2"/>
    <mergeCell ref="A120:E120"/>
    <mergeCell ref="A221:E221"/>
    <mergeCell ref="A343:E343"/>
    <mergeCell ref="A444:E444"/>
  </mergeCells>
  <dataValidations>
    <dataValidation type="list" allowBlank="1" showErrorMessage="1" sqref="D3:D119 D121:D220 D222:D341 D344:D443 D445:D634">
      <formula1>"Loan,Phương,Cúc,Trang,Thảo,Yến,Linh,Ánh"</formula1>
    </dataValidation>
    <dataValidation type="list" allowBlank="1" showErrorMessage="1" sqref="E3:E119 E121:E220 E222:E341 E344:E443 E445:E634">
      <formula1>"Đã chuyển qua file tổng,Đã liên lạc được,Chưa liên lạc được,Từ chối"</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8.0"/>
    <col customWidth="1" min="4" max="4" width="24.5"/>
    <col customWidth="1" hidden="1" min="5" max="5" width="19.13"/>
    <col customWidth="1" hidden="1" min="6" max="6" width="16.63"/>
    <col customWidth="1" hidden="1" min="7" max="8" width="12.63"/>
    <col customWidth="1" hidden="1" min="9" max="9" width="14.88"/>
    <col customWidth="1" hidden="1" min="10" max="10" width="7.25"/>
    <col customWidth="1" hidden="1" min="11" max="11" width="4.75"/>
    <col customWidth="1" hidden="1" min="12" max="12" width="12.5"/>
    <col customWidth="1" hidden="1" min="13" max="13" width="7.5"/>
    <col customWidth="1" min="14" max="14" width="16.13"/>
    <col customWidth="1" min="15" max="15" width="14.25"/>
    <col customWidth="1" hidden="1" min="16" max="16" width="21.13"/>
    <col customWidth="1" hidden="1" min="17" max="18" width="12.63"/>
    <col customWidth="1" hidden="1" min="19" max="19" width="36.25"/>
    <col customWidth="1" hidden="1" min="20" max="21" width="12.63"/>
  </cols>
  <sheetData>
    <row r="1" ht="57.75" customHeight="1">
      <c r="C1" s="322"/>
    </row>
    <row r="2" ht="57.75" customHeight="1">
      <c r="A2" s="541" t="s">
        <v>0</v>
      </c>
      <c r="B2" s="542" t="s">
        <v>1</v>
      </c>
      <c r="C2" s="238"/>
      <c r="D2" s="542"/>
      <c r="E2" s="543" t="s">
        <v>4030</v>
      </c>
      <c r="F2" s="235"/>
      <c r="G2" s="235"/>
      <c r="H2" s="236"/>
      <c r="I2" s="544" t="s">
        <v>4031</v>
      </c>
      <c r="J2" s="235"/>
      <c r="K2" s="236"/>
      <c r="L2" s="545" t="s">
        <v>10</v>
      </c>
      <c r="M2" s="545" t="s">
        <v>5534</v>
      </c>
      <c r="N2" s="542" t="s">
        <v>11</v>
      </c>
      <c r="O2" s="542" t="s">
        <v>12</v>
      </c>
      <c r="P2" s="546" t="s">
        <v>14</v>
      </c>
      <c r="Q2" s="546" t="s">
        <v>16</v>
      </c>
      <c r="R2" s="546" t="s">
        <v>17</v>
      </c>
      <c r="S2" s="2" t="s">
        <v>18</v>
      </c>
      <c r="T2" s="2" t="s">
        <v>19</v>
      </c>
      <c r="U2" s="7" t="s">
        <v>20</v>
      </c>
      <c r="V2" s="234" t="s">
        <v>4032</v>
      </c>
      <c r="W2" s="235"/>
      <c r="X2" s="235"/>
      <c r="Y2" s="235"/>
      <c r="Z2" s="236"/>
    </row>
    <row r="3" ht="57.75" customHeight="1">
      <c r="A3" s="11"/>
      <c r="B3" s="542"/>
      <c r="C3" s="238" t="s">
        <v>2</v>
      </c>
      <c r="D3" s="542" t="s">
        <v>3</v>
      </c>
      <c r="E3" s="542" t="s">
        <v>4034</v>
      </c>
      <c r="F3" s="542" t="s">
        <v>4035</v>
      </c>
      <c r="G3" s="542" t="s">
        <v>5</v>
      </c>
      <c r="H3" s="542" t="s">
        <v>6</v>
      </c>
      <c r="I3" s="547" t="s">
        <v>4036</v>
      </c>
      <c r="J3" s="548" t="s">
        <v>8</v>
      </c>
      <c r="K3" s="548" t="s">
        <v>9</v>
      </c>
      <c r="L3" s="11"/>
      <c r="M3" s="11"/>
      <c r="N3" s="542"/>
      <c r="O3" s="542"/>
      <c r="S3" s="11"/>
      <c r="T3" s="11"/>
      <c r="U3" s="11"/>
      <c r="V3" s="238" t="s">
        <v>4037</v>
      </c>
      <c r="W3" s="238" t="s">
        <v>16</v>
      </c>
      <c r="X3" s="238" t="s">
        <v>4038</v>
      </c>
      <c r="Y3" s="238" t="s">
        <v>24</v>
      </c>
      <c r="Z3" s="238" t="s">
        <v>4039</v>
      </c>
    </row>
    <row r="4" ht="57.75" customHeight="1">
      <c r="A4" s="549">
        <f>IFERROR(__xludf.DUMMYFUNCTION("filter('KIDS&amp;ADULTS'!$A$1:$Z$1004,'KIDS&amp;ADULTS'!$B$1:$B$1004='KIDS&amp;ADULTS'!$B$58)"),45063.0)</f>
        <v>45063</v>
      </c>
      <c r="B4" s="550" t="str">
        <f>IFERROR(__xludf.DUMMYFUNCTION("""COMPUTED_VALUE"""),"HV giới thiệu")</f>
        <v>HV giới thiệu</v>
      </c>
      <c r="C4" s="333" t="str">
        <f>IFERROR(__xludf.DUMMYFUNCTION("""COMPUTED_VALUE"""),"Ms Huyền 
Ba Tâm")</f>
        <v>Ms Huyền 
Ba Tâm</v>
      </c>
      <c r="D4" s="550"/>
      <c r="E4" s="550"/>
      <c r="F4" s="550" t="str">
        <f>IFERROR(__xludf.DUMMYFUNCTION("""COMPUTED_VALUE"""),"8t (thi xong lên lớp 3)")</f>
        <v>8t (thi xong lên lớp 3)</v>
      </c>
      <c r="G4" s="550">
        <f>IFERROR(__xludf.DUMMYFUNCTION("""COMPUTED_VALUE"""),2.0)</f>
        <v>2</v>
      </c>
      <c r="H4" s="550" t="str">
        <f>IFERROR(__xludf.DUMMYFUNCTION("""COMPUTED_VALUE"""),"TP.HCM")</f>
        <v>TP.HCM</v>
      </c>
      <c r="I4" s="551" t="str">
        <f>IFERROR(__xludf.DUMMYFUNCTION("""COMPUTED_VALUE"""),"090 7509469
097 6302303")</f>
        <v>090 7509469
097 6302303</v>
      </c>
      <c r="J4" s="550"/>
      <c r="K4" s="550"/>
      <c r="L4" s="550"/>
      <c r="M4" s="550" t="str">
        <f>IFERROR(__xludf.DUMMYFUNCTION("""COMPUTED_VALUE"""),"Duyên ")</f>
        <v>Duyên </v>
      </c>
      <c r="N4" s="550" t="str">
        <f>IFERROR(__xludf.DUMMYFUNCTION("""COMPUTED_VALUE"""),"Từ chối")</f>
        <v>Từ chối</v>
      </c>
      <c r="O4" s="550" t="b">
        <f>IFERROR(__xludf.DUMMYFUNCTION("""COMPUTED_VALUE"""),TRUE)</f>
        <v>1</v>
      </c>
      <c r="P4" s="383" t="str">
        <f>IFERROR(__xludf.DUMMYFUNCTION("""COMPUTED_VALUE"""),"Nguyệt- 8 tuổi 
Con ngoan hiền và có độ tập trung cao khi tham gia buổi test. 
Tốc độ phản xạ: còn chậm 
Con trả lời câu hỏi về tên và biết một số từ vựng cơ bản. 
Con nắm được các số từ 1-20
Con nắm được 90% bảng chữ cái. 
Vốn từ của con còn hạn chế về c"&amp;"ác chủ đề: màu sắc, vị trí, đồ vật,...
Con cần rèn luyện thêm về từ vựng và cấu trúc câu với chương trình GTPX Level: UP 1")</f>
        <v>Nguyệt- 8 tuổi 
Con ngoan hiền và có độ tập trung cao khi tham gia buổi test. 
Tốc độ phản xạ: còn chậm 
Con trả lời câu hỏi về tên và biết một số từ vựng cơ bản. 
Con nắm được các số từ 1-20
Con nắm được 90% bảng chữ cái. 
Vốn từ của con còn hạn chế về các chủ đề: màu sắc, vị trí, đồ vật,...
Con cần rèn luyện thêm về từ vựng và cấu trúc câu với chương trình GTPX Level: UP 1</v>
      </c>
      <c r="Q4" s="383"/>
      <c r="R4" s="383"/>
      <c r="S4" s="383" t="str">
        <f>IFERROR(__xludf.DUMMYFUNCTION("""COMPUTED_VALUE"""),"17/05: Hẹn test học viên đang xếp lịch test 
18/05: Đã gọi điện cho ba để tư vấn giá. Ba nói là gửi bảng giá cho ba qua zalo để ba bàn lại với mẹ
20/05: Băn khoăn về việc học trực tiếp do tính của con thiếu chủ động.  2 ba/mẹ đang có ý kiến khác nhau. Sẽ "&amp;"thống nhất và báo lại trước thứ 2. 
22/05: PH từ chối, muốn học trực tiếp. Đã giới thiệu khóa Phonics Fun
14/06: KNM")</f>
        <v>17/05: Hẹn test học viên đang xếp lịch test 
18/05: Đã gọi điện cho ba để tư vấn giá. Ba nói là gửi bảng giá cho ba qua zalo để ba bàn lại với mẹ
20/05: Băn khoăn về việc học trực tiếp do tính của con thiếu chủ động.  2 ba/mẹ đang có ý kiến khác nhau. Sẽ thống nhất và báo lại trước thứ 2. 
22/05: PH từ chối, muốn học trực tiếp. Đã giới thiệu khóa Phonics Fun
14/06: KNM</v>
      </c>
      <c r="T4" s="383" t="str">
        <f>IFERROR(__xludf.DUMMYFUNCTION("""COMPUTED_VALUE"""),"Liên lạc xác nhận
KNM, GLS")</f>
        <v>Liên lạc xác nhận
KNM, GLS</v>
      </c>
      <c r="U4" s="552"/>
      <c r="V4" s="552"/>
      <c r="W4" s="383"/>
      <c r="X4" s="501"/>
      <c r="Y4" s="501"/>
      <c r="Z4" s="501"/>
      <c r="AA4" s="501"/>
    </row>
    <row r="5" ht="57.75" customHeight="1">
      <c r="A5" s="553">
        <f>IFERROR(__xludf.DUMMYFUNCTION("""COMPUTED_VALUE"""),45063.0)</f>
        <v>45063</v>
      </c>
      <c r="B5" s="550" t="str">
        <f>IFERROR(__xludf.DUMMYFUNCTION("""COMPUTED_VALUE"""),"HV giới thiệu")</f>
        <v>HV giới thiệu</v>
      </c>
      <c r="C5" s="333"/>
      <c r="D5" s="550" t="str">
        <f>IFERROR(__xludf.DUMMYFUNCTION("""COMPUTED_VALUE"""),"Ms Huyền")</f>
        <v>Ms Huyền</v>
      </c>
      <c r="E5" s="550"/>
      <c r="F5" s="550"/>
      <c r="G5" s="550"/>
      <c r="H5" s="550" t="str">
        <f>IFERROR(__xludf.DUMMYFUNCTION("""COMPUTED_VALUE"""),"TP.HCM")</f>
        <v>TP.HCM</v>
      </c>
      <c r="I5" s="551" t="str">
        <f>IFERROR(__xludf.DUMMYFUNCTION("""COMPUTED_VALUE"""),"090 7509469")</f>
        <v>090 7509469</v>
      </c>
      <c r="J5" s="550"/>
      <c r="K5" s="550"/>
      <c r="L5" s="550" t="str">
        <f>IFERROR(__xludf.DUMMYFUNCTION("""COMPUTED_VALUE"""),"Học giao tiếp người lớn ")</f>
        <v>Học giao tiếp người lớn </v>
      </c>
      <c r="M5" s="550" t="str">
        <f>IFERROR(__xludf.DUMMYFUNCTION("""COMPUTED_VALUE"""),"Ánh")</f>
        <v>Ánh</v>
      </c>
      <c r="N5" s="550" t="str">
        <f>IFERROR(__xludf.DUMMYFUNCTION("""COMPUTED_VALUE"""),"Từ chối")</f>
        <v>Từ chối</v>
      </c>
      <c r="O5" s="550" t="b">
        <f>IFERROR(__xludf.DUMMYFUNCTION("""COMPUTED_VALUE"""),FALSE)</f>
        <v>0</v>
      </c>
      <c r="P5" s="383"/>
      <c r="Q5" s="383"/>
      <c r="R5" s="383"/>
      <c r="S5" s="383" t="str">
        <f>IFERROR(__xludf.DUMMYFUNCTION("""COMPUTED_VALUE"""),"- 19/05: Chỉ cần học giao tiếp, xếp lịch test lúc 8h ngày 19/05. HV chưa xác nhận lịch test.
19/05: PH không chịu test vì bảo không biết gì về giao tiếp.  Đã tư vấn khóa giao tiếp từ mất gốc 60 buổi
14/6: gọi không nghe máy
28/6: gọi nói không nhu cầu muo"&amp;"ons tìm lớp off")</f>
        <v>- 19/05: Chỉ cần học giao tiếp, xếp lịch test lúc 8h ngày 19/05. HV chưa xác nhận lịch test.
19/05: PH không chịu test vì bảo không biết gì về giao tiếp.  Đã tư vấn khóa giao tiếp từ mất gốc 60 buổi
14/6: gọi không nghe máy
28/6: gọi nói không nhu cầu muoons tìm lớp off</v>
      </c>
      <c r="T5" s="383" t="str">
        <f>IFERROR(__xludf.DUMMYFUNCTION("""COMPUTED_VALUE"""),"ngừng chăm sóc")</f>
        <v>ngừng chăm sóc</v>
      </c>
      <c r="U5" s="552"/>
      <c r="V5" s="552"/>
      <c r="W5" s="383"/>
      <c r="X5" s="501"/>
      <c r="Y5" s="501"/>
      <c r="Z5" s="501"/>
      <c r="AA5" s="501"/>
    </row>
    <row r="6" ht="57.75" customHeight="1">
      <c r="A6" s="553">
        <f>IFERROR(__xludf.DUMMYFUNCTION("""COMPUTED_VALUE"""),45068.0)</f>
        <v>45068</v>
      </c>
      <c r="B6" s="550" t="str">
        <f>IFERROR(__xludf.DUMMYFUNCTION("""COMPUTED_VALUE"""),"HV giới thiệu")</f>
        <v>HV giới thiệu</v>
      </c>
      <c r="C6" s="333" t="str">
        <f>IFERROR(__xludf.DUMMYFUNCTION("""COMPUTED_VALUE"""),"Lê Thị Hà Đông (Phương Linh VUI06 giới thiệu )")</f>
        <v>Lê Thị Hà Đông (Phương Linh VUI06 giới thiệu )</v>
      </c>
      <c r="D6" s="550" t="str">
        <f>IFERROR(__xludf.DUMMYFUNCTION("""COMPUTED_VALUE"""),"Như")</f>
        <v>Như</v>
      </c>
      <c r="E6" s="550"/>
      <c r="F6" s="550" t="str">
        <f>IFERROR(__xludf.DUMMYFUNCTION("""COMPUTED_VALUE"""),"Lớp 5")</f>
        <v>Lớp 5</v>
      </c>
      <c r="G6" s="550"/>
      <c r="H6" s="550"/>
      <c r="I6" s="551" t="str">
        <f>IFERROR(__xludf.DUMMYFUNCTION("""COMPUTED_VALUE"""),"0982876613")</f>
        <v>0982876613</v>
      </c>
      <c r="J6" s="550"/>
      <c r="K6" s="550"/>
      <c r="L6" s="550"/>
      <c r="M6" s="550" t="str">
        <f>IFERROR(__xludf.DUMMYFUNCTION("""COMPUTED_VALUE"""),"Ánh")</f>
        <v>Ánh</v>
      </c>
      <c r="N6" s="550" t="str">
        <f>IFERROR(__xludf.DUMMYFUNCTION("""COMPUTED_VALUE"""),"Đã liên lạc lần 2")</f>
        <v>Đã liên lạc lần 2</v>
      </c>
      <c r="O6" s="550" t="b">
        <f>IFERROR(__xludf.DUMMYFUNCTION("""COMPUTED_VALUE"""),FALSE)</f>
        <v>0</v>
      </c>
      <c r="P6" s="383" t="str">
        <f>IFERROR(__xludf.DUMMYFUNCTION("""COMPUTED_VALUE""")," ")</f>
        <v> </v>
      </c>
      <c r="Q6" s="383"/>
      <c r="R6" s="383"/>
      <c r="S6" s="383" t="str">
        <f>IFERROR(__xludf.DUMMYFUNCTION("""COMPUTED_VALUE"""),"25/5: Hẹn test lúc 10:00 ngày 27/05
27/05: Tư vấn lớp GTPX nhưng  PH nói con muốn học trực tiếp
06/06: Tư vấn khóa Phonics Fun 
15/6: gọi tư vấn, kb zalo để chia sẻ kĩ hơn. muốn cho con được học thử để xem bạn có thích học online không ạ
10/11: gọi lại ch"&amp;"ia sẻ nhưng con đã có chỗ học, con ko thích học onl")</f>
        <v>25/5: Hẹn test lúc 10:00 ngày 27/05
27/05: Tư vấn lớp GTPX nhưng  PH nói con muốn học trực tiếp
06/06: Tư vấn khóa Phonics Fun 
15/6: gọi tư vấn, kb zalo để chia sẻ kĩ hơn. muốn cho con được học thử để xem bạn có thích học online không ạ
10/11: gọi lại chia sẻ nhưng con đã có chỗ học, con ko thích học onl</v>
      </c>
      <c r="T6" s="383" t="str">
        <f>IFERROR(__xludf.DUMMYFUNCTION("""COMPUTED_VALUE"""),"chăm sóc sau")</f>
        <v>chăm sóc sau</v>
      </c>
      <c r="U6" s="552"/>
      <c r="V6" s="552"/>
      <c r="W6" s="383"/>
      <c r="X6" s="501"/>
      <c r="Y6" s="501"/>
      <c r="Z6" s="501"/>
      <c r="AA6" s="501"/>
    </row>
    <row r="7" ht="57.75" customHeight="1">
      <c r="A7" s="553">
        <f>IFERROR(__xludf.DUMMYFUNCTION("""COMPUTED_VALUE"""),45068.0)</f>
        <v>45068</v>
      </c>
      <c r="B7" s="550" t="str">
        <f>IFERROR(__xludf.DUMMYFUNCTION("""COMPUTED_VALUE"""),"HV giới thiệu")</f>
        <v>HV giới thiệu</v>
      </c>
      <c r="C7" s="333" t="str">
        <f>IFERROR(__xludf.DUMMYFUNCTION("""COMPUTED_VALUE"""),"Trúc")</f>
        <v>Trúc</v>
      </c>
      <c r="D7" s="550"/>
      <c r="E7" s="550"/>
      <c r="F7" s="550"/>
      <c r="G7" s="550" t="str">
        <f>IFERROR(__xludf.DUMMYFUNCTION("""COMPUTED_VALUE"""),"Lớp 6")</f>
        <v>Lớp 6</v>
      </c>
      <c r="H7" s="550"/>
      <c r="I7" s="551" t="str">
        <f>IFERROR(__xludf.DUMMYFUNCTION("""COMPUTED_VALUE"""),"090 5687047")</f>
        <v>090 5687047</v>
      </c>
      <c r="J7" s="550"/>
      <c r="K7" s="550"/>
      <c r="L7" s="550"/>
      <c r="M7" s="550" t="str">
        <f>IFERROR(__xludf.DUMMYFUNCTION("""COMPUTED_VALUE"""),"Ánh")</f>
        <v>Ánh</v>
      </c>
      <c r="N7" s="550" t="str">
        <f>IFERROR(__xludf.DUMMYFUNCTION("""COMPUTED_VALUE"""),"Từ chối")</f>
        <v>Từ chối</v>
      </c>
      <c r="O7" s="550" t="b">
        <f>IFERROR(__xludf.DUMMYFUNCTION("""COMPUTED_VALUE"""),TRUE)</f>
        <v>1</v>
      </c>
      <c r="P7" s="383" t="str">
        <f>IFERROR(__xludf.DUMMYFUNCTION("""COMPUTED_VALUE"""),"Con ngoan hiền, lễ phép. 
Tốc độ phản xạ: Chưa nhanh. Con không có vốn từ vựng nên chưa nghe được.
Phát âm còn phải điều chỉnh nhiều. Chưa có âm cuối và chưa nối âm.
Con chưa dùng được câu hoàn chỉnh.
Con có thể nắm được số từ 1-100. Còn nhầm lần nhiều số"&amp;" như: 12, 20, 50,..
Con chưa nắm được bảng chữ cái. 
Con có những vốn từ hạn chế về các chủ đề: con vật, đồ vật, thể thao...
Con cần rèn luyện thêm về từ vựng và ngữ pháp với chương trình : GTPX Level 1")</f>
        <v>Con ngoan hiền, lễ phép. 
Tốc độ phản xạ: Chưa nhanh. Con không có vốn từ vựng nên chưa nghe được.
Phát âm còn phải điều chỉnh nhiều. Chưa có âm cuối và chưa nối âm.
Con chưa dùng được câu hoàn chỉnh.
Con có thể nắm được số từ 1-100. Còn nhầm lần nhiều số như: 12, 20, 50,..
Con chưa nắm được bảng chữ cái. 
Con có những vốn từ hạn chế về các chủ đề: con vật, đồ vật, thể thao...
Con cần rèn luyện thêm về từ vựng và ngữ pháp với chương trình : GTPX Level 1</v>
      </c>
      <c r="Q7" s="383" t="str">
        <f>IFERROR(__xludf.DUMMYFUNCTION("""COMPUTED_VALUE"""),"GTPX")</f>
        <v>GTPX</v>
      </c>
      <c r="R7" s="383"/>
      <c r="S7" s="383" t="str">
        <f>IFERROR(__xludf.DUMMYFUNCTION("""COMPUTED_VALUE"""),"25/5: Bé Nhã uyên 11 tuổi . Học cơ bản trên trường điểm vẫn rất tốt. Nhưng mẹ mong muốn con có thể nói và nghe được . Đã nhận lịch test( 18h30-19h00 ngày 25/5)
26/5: Đã báo kết quả test
Liên hệ ph đợi ckhoan khóa GTPX 25b
31/5: gọi lại mẹ không nghe máy
6"&amp;"/6: Gửi lại chương trình ưu đãi qua tn, mẹ xem nhưng ko trả lời
14/6: gọi nhưng không nghe máy")</f>
        <v>25/5: Bé Nhã uyên 11 tuổi . Học cơ bản trên trường điểm vẫn rất tốt. Nhưng mẹ mong muốn con có thể nói và nghe được . Đã nhận lịch test( 18h30-19h00 ngày 25/5)
26/5: Đã báo kết quả test
Liên hệ ph đợi ckhoan khóa GTPX 25b
31/5: gọi lại mẹ không nghe máy
6/6: Gửi lại chương trình ưu đãi qua tn, mẹ xem nhưng ko trả lời
14/6: gọi nhưng không nghe máy</v>
      </c>
      <c r="T7" s="383" t="str">
        <f>IFERROR(__xludf.DUMMYFUNCTION("""COMPUTED_VALUE"""),"Nhắn tin lại ưu đãi và thông tin lớp 1-2 có bạn ghép")</f>
        <v>Nhắn tin lại ưu đãi và thông tin lớp 1-2 có bạn ghép</v>
      </c>
      <c r="U7" s="383" t="str">
        <f>IFERROR(__xludf.DUMMYFUNCTION("""COMPUTED_VALUE"""),"Ngừng chăm sóc")</f>
        <v>Ngừng chăm sóc</v>
      </c>
      <c r="V7" s="383"/>
      <c r="W7" s="383"/>
      <c r="X7" s="501"/>
      <c r="Y7" s="501"/>
      <c r="Z7" s="501"/>
      <c r="AA7" s="501"/>
    </row>
    <row r="8" ht="57.75" customHeight="1">
      <c r="A8" s="553">
        <f>IFERROR(__xludf.DUMMYFUNCTION("""COMPUTED_VALUE"""),45069.0)</f>
        <v>45069</v>
      </c>
      <c r="B8" s="550" t="str">
        <f>IFERROR(__xludf.DUMMYFUNCTION("""COMPUTED_VALUE"""),"HV giới thiệu")</f>
        <v>HV giới thiệu</v>
      </c>
      <c r="C8" s="333" t="str">
        <f>IFERROR(__xludf.DUMMYFUNCTION("""COMPUTED_VALUE"""),"Minh Trang Ha Thi
Mẹ Gia Hân VUI08 giới thiệu")</f>
        <v>Minh Trang Ha Thi
Mẹ Gia Hân VUI08 giới thiệu</v>
      </c>
      <c r="D8" s="550"/>
      <c r="E8" s="550"/>
      <c r="F8" s="550" t="str">
        <f>IFERROR(__xludf.DUMMYFUNCTION("""COMPUTED_VALUE"""),"8 tuổi")</f>
        <v>8 tuổi</v>
      </c>
      <c r="G8" s="550"/>
      <c r="H8" s="550"/>
      <c r="I8" s="551" t="str">
        <f>IFERROR(__xludf.DUMMYFUNCTION("""COMPUTED_VALUE"""),"0901112886")</f>
        <v>0901112886</v>
      </c>
      <c r="J8" s="550"/>
      <c r="K8" s="550"/>
      <c r="L8" s="550" t="str">
        <f>IFERROR(__xludf.DUMMYFUNCTION("""COMPUTED_VALUE"""),"""Mẹ nói giờ chỉ chat được thôi. Ko nói chuyện được nên e kết bạn chat với bạn thử nha""
Đã tư vấn các khóa xong, muốn tham khảo khóa 1:1 trong 45 phút. Đang học ở một trung tâm khác, đợi sắp xếp lịch để test")</f>
        <v>"Mẹ nói giờ chỉ chat được thôi. Ko nói chuyện được nên e kết bạn chat với bạn thử nha"
Đã tư vấn các khóa xong, muốn tham khảo khóa 1:1 trong 45 phút. Đang học ở một trung tâm khác, đợi sắp xếp lịch để test</v>
      </c>
      <c r="M8" s="550" t="str">
        <f>IFERROR(__xludf.DUMMYFUNCTION("""COMPUTED_VALUE"""),"Cúc")</f>
        <v>Cúc</v>
      </c>
      <c r="N8" s="550" t="str">
        <f>IFERROR(__xludf.DUMMYFUNCTION("""COMPUTED_VALUE"""),"Từ chối")</f>
        <v>Từ chối</v>
      </c>
      <c r="O8" s="550" t="b">
        <f>IFERROR(__xludf.DUMMYFUNCTION("""COMPUTED_VALUE"""),FALSE)</f>
        <v>0</v>
      </c>
      <c r="P8" s="383"/>
      <c r="Q8" s="383"/>
      <c r="R8" s="383"/>
      <c r="S8" s="383" t="str">
        <f>IFERROR(__xludf.DUMMYFUNCTION("""COMPUTED_VALUE"""),"24/05: Đã tư vấn các khóa xong, muốn tham khảo khóa 1:1 trong 45 phút. Đang học ở một trung tâm khác, đợi sắp xếp lịch để test.
26/05: Bé đang học 1 lớp ngữ pháp của cô trên trường với 1 lớp giao tiếp online với cô Phillipines, còn 4 tháng mới kết thúc kh"&amp;"óa học. Đã tư vấn cho mẹ thêm khóa Phonics Fun, mẹ bảo suy nghĩ thêm vì lịch học hè của con hơi dày đặc.")</f>
        <v>24/05: Đã tư vấn các khóa xong, muốn tham khảo khóa 1:1 trong 45 phút. Đang học ở một trung tâm khác, đợi sắp xếp lịch để test.
26/05: Bé đang học 1 lớp ngữ pháp của cô trên trường với 1 lớp giao tiếp online với cô Phillipines, còn 4 tháng mới kết thúc khóa học. Đã tư vấn cho mẹ thêm khóa Phonics Fun, mẹ bảo suy nghĩ thêm vì lịch học hè của con hơi dày đặc.</v>
      </c>
      <c r="T8" s="383"/>
      <c r="U8" s="552"/>
      <c r="V8" s="552"/>
      <c r="W8" s="383"/>
      <c r="X8" s="501"/>
      <c r="Y8" s="501"/>
      <c r="Z8" s="501"/>
      <c r="AA8" s="501"/>
    </row>
    <row r="9" ht="57.75" customHeight="1">
      <c r="A9" s="553">
        <f>IFERROR(__xludf.DUMMYFUNCTION("""COMPUTED_VALUE"""),45069.0)</f>
        <v>45069</v>
      </c>
      <c r="B9" s="550" t="str">
        <f>IFERROR(__xludf.DUMMYFUNCTION("""COMPUTED_VALUE"""),"HV giới thiệu")</f>
        <v>HV giới thiệu</v>
      </c>
      <c r="C9" s="333" t="str">
        <f>IFERROR(__xludf.DUMMYFUNCTION("""COMPUTED_VALUE"""),"Dang Thanh Trang
 Mẹ Gia Hân VUI08 giới thiệu")</f>
        <v>Dang Thanh Trang
 Mẹ Gia Hân VUI08 giới thiệu</v>
      </c>
      <c r="D9" s="550"/>
      <c r="E9" s="550"/>
      <c r="F9" s="550" t="str">
        <f>IFERROR(__xludf.DUMMYFUNCTION("""COMPUTED_VALUE"""),"Lớp 5")</f>
        <v>Lớp 5</v>
      </c>
      <c r="G9" s="550"/>
      <c r="H9" s="550"/>
      <c r="I9" s="551" t="str">
        <f>IFERROR(__xludf.DUMMYFUNCTION("""COMPUTED_VALUE"""),"0764891842")</f>
        <v>0764891842</v>
      </c>
      <c r="J9" s="550"/>
      <c r="K9" s="550"/>
      <c r="L9" s="550" t="str">
        <f>IFERROR(__xludf.DUMMYFUNCTION("""COMPUTED_VALUE"""),"Mẹ muốn cho con học trau dồi thêm ngữ pháp
Mẹ vẫn còn phân vân về việc học online")</f>
        <v>Mẹ muốn cho con học trau dồi thêm ngữ pháp
Mẹ vẫn còn phân vân về việc học online</v>
      </c>
      <c r="M9" s="550" t="str">
        <f>IFERROR(__xludf.DUMMYFUNCTION("""COMPUTED_VALUE"""),"Ánh")</f>
        <v>Ánh</v>
      </c>
      <c r="N9" s="550" t="str">
        <f>IFERROR(__xludf.DUMMYFUNCTION("""COMPUTED_VALUE"""),"Từ chối")</f>
        <v>Từ chối</v>
      </c>
      <c r="O9" s="550" t="b">
        <f>IFERROR(__xludf.DUMMYFUNCTION("""COMPUTED_VALUE"""),FALSE)</f>
        <v>0</v>
      </c>
      <c r="P9" s="383"/>
      <c r="Q9" s="383"/>
      <c r="R9" s="383"/>
      <c r="S9" s="383" t="str">
        <f>IFERROR(__xludf.DUMMYFUNCTION("""COMPUTED_VALUE"""),"23/5: Đã gửi bảng giá GTPX và VUI. Mẹ nói để mẹ tham khảo thêm.
Mẹ muốn cho con học trực tiếp
14/6: gọi lại không nghe máy
16/6: gọi KNM")</f>
        <v>23/5: Đã gửi bảng giá GTPX và VUI. Mẹ nói để mẹ tham khảo thêm.
Mẹ muốn cho con học trực tiếp
14/6: gọi lại không nghe máy
16/6: gọi KNM</v>
      </c>
      <c r="T9" s="383" t="str">
        <f>IFERROR(__xludf.DUMMYFUNCTION("""COMPUTED_VALUE"""),"gọi lại sau")</f>
        <v>gọi lại sau</v>
      </c>
      <c r="U9" s="552">
        <f>IFERROR(__xludf.DUMMYFUNCTION("""COMPUTED_VALUE"""),45094.0)</f>
        <v>45094</v>
      </c>
      <c r="V9" s="552"/>
      <c r="W9" s="383"/>
      <c r="X9" s="501"/>
      <c r="Y9" s="501"/>
      <c r="Z9" s="501"/>
      <c r="AA9" s="501"/>
    </row>
    <row r="10" ht="57.75" customHeight="1">
      <c r="A10" s="553">
        <f>IFERROR(__xludf.DUMMYFUNCTION("""COMPUTED_VALUE"""),45072.0)</f>
        <v>45072</v>
      </c>
      <c r="B10" s="550" t="str">
        <f>IFERROR(__xludf.DUMMYFUNCTION("""COMPUTED_VALUE"""),"HV giới thiệu")</f>
        <v>HV giới thiệu</v>
      </c>
      <c r="C10" s="333" t="str">
        <f>IFERROR(__xludf.DUMMYFUNCTION("""COMPUTED_VALUE"""),"Hoài Thu (Phương linh giới thiệu)")</f>
        <v>Hoài Thu (Phương linh giới thiệu)</v>
      </c>
      <c r="D10" s="550" t="str">
        <f>IFERROR(__xludf.DUMMYFUNCTION("""COMPUTED_VALUE"""),"Đặng Quốc Khánh")</f>
        <v>Đặng Quốc Khánh</v>
      </c>
      <c r="E10" s="550"/>
      <c r="F10" s="550"/>
      <c r="G10" s="550">
        <f>IFERROR(__xludf.DUMMYFUNCTION("""COMPUTED_VALUE"""),2012.0)</f>
        <v>2012</v>
      </c>
      <c r="H10" s="550"/>
      <c r="I10" s="551" t="str">
        <f>IFERROR(__xludf.DUMMYFUNCTION("""COMPUTED_VALUE"""),"358082055")</f>
        <v>358082055</v>
      </c>
      <c r="J10" s="550"/>
      <c r="K10" s="550"/>
      <c r="L10" s="550"/>
      <c r="M10" s="550" t="str">
        <f>IFERROR(__xludf.DUMMYFUNCTION("""COMPUTED_VALUE"""),"Yến")</f>
        <v>Yến</v>
      </c>
      <c r="N10" s="550" t="str">
        <f>IFERROR(__xludf.DUMMYFUNCTION("""COMPUTED_VALUE"""),"Đã đóng học phí")</f>
        <v>Đã đóng học phí</v>
      </c>
      <c r="O10" s="550" t="b">
        <f>IFERROR(__xludf.DUMMYFUNCTION("""COMPUTED_VALUE"""),FALSE)</f>
        <v>0</v>
      </c>
      <c r="P10" s="383" t="str">
        <f>IFERROR(__xludf.DUMMYFUNCTION("""COMPUTED_VALUE"""),"Up 3")</f>
        <v>Up 3</v>
      </c>
      <c r="Q10" s="383" t="str">
        <f>IFERROR(__xludf.DUMMYFUNCTION("""COMPUTED_VALUE"""),"GTPX")</f>
        <v>GTPX</v>
      </c>
      <c r="R10" s="383"/>
      <c r="S10" s="383" t="str">
        <f>IFERROR(__xludf.DUMMYFUNCTION("""COMPUTED_VALUE"""),"Mẹ báo đợi lịch rảnh của bé rồi liên lạc lại
Mẹ đang bận nên không tiện tư vấn
31/5: gọi không nghe máy
2/6: mẹ muốn đóng HP 25b,up 3, ưu đãi 10%+ Phần mềm Easy
3/6: Gọi điện nhưng mẹ không nghe máy")</f>
        <v>Mẹ báo đợi lịch rảnh của bé rồi liên lạc lại
Mẹ đang bận nên không tiện tư vấn
31/5: gọi không nghe máy
2/6: mẹ muốn đóng HP 25b,up 3, ưu đãi 10%+ Phần mềm Easy
3/6: Gọi điện nhưng mẹ không nghe máy</v>
      </c>
      <c r="T10" s="383" t="str">
        <f>IFERROR(__xludf.DUMMYFUNCTION("""COMPUTED_VALUE"""),"Thu tiếp 1/2 khóa còn lại với số tiền  2449k")</f>
        <v>Thu tiếp 1/2 khóa còn lại với số tiền  2449k</v>
      </c>
      <c r="U10" s="552"/>
      <c r="V10" s="552">
        <f>IFERROR(__xludf.DUMMYFUNCTION("""COMPUTED_VALUE"""),45080.0)</f>
        <v>45080</v>
      </c>
      <c r="W10" s="554" t="str">
        <f>IFERROR(__xludf.DUMMYFUNCTION("""COMPUTED_VALUE"""),"GTPX 25b ")</f>
        <v>GTPX 25b </v>
      </c>
      <c r="X10" s="501">
        <f>IFERROR(__xludf.DUMMYFUNCTION("""COMPUTED_VALUE"""),6124000.0)</f>
        <v>6124000</v>
      </c>
      <c r="Y10" s="501">
        <f>IFERROR(__xludf.DUMMYFUNCTION("""COMPUTED_VALUE"""),0.15)</f>
        <v>0.15</v>
      </c>
      <c r="Z10" s="501">
        <f>IFERROR(__xludf.DUMMYFUNCTION("""COMPUTED_VALUE"""),2756000.0)</f>
        <v>2756000</v>
      </c>
      <c r="AA10" s="501"/>
    </row>
    <row r="11" ht="57.75" customHeight="1">
      <c r="A11" s="553">
        <f>IFERROR(__xludf.DUMMYFUNCTION("""COMPUTED_VALUE"""),45078.0)</f>
        <v>45078</v>
      </c>
      <c r="B11" s="550" t="str">
        <f>IFERROR(__xludf.DUMMYFUNCTION("""COMPUTED_VALUE"""),"HV giới thiệu")</f>
        <v>HV giới thiệu</v>
      </c>
      <c r="C11" s="333" t="str">
        <f>IFERROR(__xludf.DUMMYFUNCTION("""COMPUTED_VALUE"""),"Trà My (Mẹ của Mai Khanh - đang học VUI08)")</f>
        <v>Trà My (Mẹ của Mai Khanh - đang học VUI08)</v>
      </c>
      <c r="D11" s="550" t="str">
        <f>IFERROR(__xludf.DUMMYFUNCTION("""COMPUTED_VALUE"""),"Minh Triết")</f>
        <v>Minh Triết</v>
      </c>
      <c r="E11" s="550"/>
      <c r="F11" s="550"/>
      <c r="G11" s="550" t="str">
        <f>IFERROR(__xludf.DUMMYFUNCTION("""COMPUTED_VALUE"""),"Lớp 5")</f>
        <v>Lớp 5</v>
      </c>
      <c r="H11" s="550"/>
      <c r="I11" s="551" t="str">
        <f>IFERROR(__xludf.DUMMYFUNCTION("""COMPUTED_VALUE"""),"935047245")</f>
        <v>935047245</v>
      </c>
      <c r="J11" s="550"/>
      <c r="K11" s="550"/>
      <c r="L11" s="550" t="str">
        <f>IFERROR(__xludf.DUMMYFUNCTION("""COMPUTED_VALUE"""),"Con đang học ở Apolo. Mẹ muốn cho con cải thiện ngữ pháp.")</f>
        <v>Con đang học ở Apolo. Mẹ muốn cho con cải thiện ngữ pháp.</v>
      </c>
      <c r="M11" s="550" t="str">
        <f>IFERROR(__xludf.DUMMYFUNCTION("""COMPUTED_VALUE"""),"Phương")</f>
        <v>Phương</v>
      </c>
      <c r="N11" s="550" t="str">
        <f>IFERROR(__xludf.DUMMYFUNCTION("""COMPUTED_VALUE"""),"Đã đóng học phí")</f>
        <v>Đã đóng học phí</v>
      </c>
      <c r="O11" s="550" t="b">
        <f>IFERROR(__xludf.DUMMYFUNCTION("""COMPUTED_VALUE"""),TRUE)</f>
        <v>1</v>
      </c>
      <c r="P11" s="383" t="str">
        <f>IFERROR(__xludf.DUMMYFUNCTION("""COMPUTED_VALUE"""),"Con ngoan hiền, lễ phép, khá tự tin trong giao tiếp. Biết cách mở rộng cuộc hội thoại. 
Con rất tập trung khi tham gia test.
Tốc độ phản xạ: Khá nhanh. 
Con giao tiếp tự tin với cô và có thể hiểu tốt và trả lời tốt những câu hỏi của cô.
Con phát âm khá tố"&amp;"t và khá tự nhiên. Tuy nhiên con cần chú ý đến các âm cuối và nối âm khi nói.
Con nắm được số đếm và số thứ tự. 
Con nắm được bảng chữ cái. Tốc độ đánh vần nhanh.
Có vốn từ khá về các chủ đề: thông tin cá nhân, đồ dùng, màu sắc, hoạt động, động vật, so sá"&amp;"nh, thể thao.... 
Con chưa áp dụng được ngữ pháp khi nói. Cấu trúc câu chưa đa dạng. 
Con cần rèn luyện thêm về từ vựng và cấu trúc với chương trình Vườn ươm IELTS level 2.")</f>
        <v>Con ngoan hiền, lễ phép, khá tự tin trong giao tiếp. Biết cách mở rộng cuộc hội thoại. 
Con rất tập trung khi tham gia test.
Tốc độ phản xạ: Khá nhanh. 
Con giao tiếp tự tin với cô và có thể hiểu tốt và trả lời tốt những câu hỏi của cô.
Con phát âm khá tốt và khá tự nhiên. Tuy nhiên con cần chú ý đến các âm cuối và nối âm khi nói.
Con nắm được số đếm và số thứ tự. 
Con nắm được bảng chữ cái. Tốc độ đánh vần nhanh.
Có vốn từ khá về các chủ đề: thông tin cá nhân, đồ dùng, màu sắc, hoạt động, động vật, so sánh, thể thao.... 
Con chưa áp dụng được ngữ pháp khi nói. Cấu trúc câu chưa đa dạng. 
Con cần rèn luyện thêm về từ vựng và cấu trúc với chương trình Vườn ươm IELTS level 2.</v>
      </c>
      <c r="Q11" s="383"/>
      <c r="R11" s="383"/>
      <c r="S11" s="383" t="str">
        <f>IFERROR(__xludf.DUMMYFUNCTION("""COMPUTED_VALUE"""),"31/05: Xếp lịch test cho con - Phương test. 
Trả kết quả test cho mẹ
01/06: Mẹ đang cho con học ở Apolo nhưng mẹ thấy ngữ pháp con còn yếu nên mẹ muốn cho con thử cách dạy bên mình. Mẹ muốn cho con học thử. Tư vấn cho mẹ học thử với VUI08 nhưng con bị trù"&amp;"ng lịch học. Đã tư vấn cho mẹ học với VUI mới (dự kiến 26/6 khai giảng).
10/6: Mẹ đăng kí phonics fun cho con. Mẹ cho con học thử với VUI08 nếu thấy hợp mẹ sẽ cho con học với VUI mới")</f>
        <v>31/05: Xếp lịch test cho con - Phương test. 
Trả kết quả test cho mẹ
01/06: Mẹ đang cho con học ở Apolo nhưng mẹ thấy ngữ pháp con còn yếu nên mẹ muốn cho con thử cách dạy bên mình. Mẹ muốn cho con học thử. Tư vấn cho mẹ học thử với VUI08 nhưng con bị trùng lịch học. Đã tư vấn cho mẹ học với VUI mới (dự kiến 26/6 khai giảng).
10/6: Mẹ đăng kí phonics fun cho con. Mẹ cho con học thử với VUI08 nếu thấy hợp mẹ sẽ cho con học với VUI mới</v>
      </c>
      <c r="T11" s="383"/>
      <c r="U11" s="552"/>
      <c r="V11" s="552">
        <f>IFERROR(__xludf.DUMMYFUNCTION("""COMPUTED_VALUE"""),45106.0)</f>
        <v>45106</v>
      </c>
      <c r="W11" s="423" t="str">
        <f>IFERROR(__xludf.DUMMYFUNCTION("""COMPUTED_VALUE"""),"Phonics Fun")</f>
        <v>Phonics Fun</v>
      </c>
      <c r="X11" s="501"/>
      <c r="Y11" s="501"/>
      <c r="Z11" s="501">
        <f>IFERROR(__xludf.DUMMYFUNCTION("""COMPUTED_VALUE"""),9897200.0)</f>
        <v>9897200</v>
      </c>
      <c r="AA11" s="501"/>
    </row>
    <row r="12" ht="57.75" customHeight="1">
      <c r="A12" s="553">
        <f>IFERROR(__xludf.DUMMYFUNCTION("""COMPUTED_VALUE"""),45078.0)</f>
        <v>45078</v>
      </c>
      <c r="B12" s="550" t="str">
        <f>IFERROR(__xludf.DUMMYFUNCTION("""COMPUTED_VALUE"""),"HV giới thiệu")</f>
        <v>HV giới thiệu</v>
      </c>
      <c r="C12" s="333" t="str">
        <f>IFERROR(__xludf.DUMMYFUNCTION("""COMPUTED_VALUE"""),"Mẹ tên Nhãn (Mẹ Phương Nga VUI06)")</f>
        <v>Mẹ tên Nhãn (Mẹ Phương Nga VUI06)</v>
      </c>
      <c r="D12" s="550" t="str">
        <f>IFERROR(__xludf.DUMMYFUNCTION("""COMPUTED_VALUE"""),"Diệu Linh")</f>
        <v>Diệu Linh</v>
      </c>
      <c r="E12" s="550"/>
      <c r="F12" s="550"/>
      <c r="G12" s="550"/>
      <c r="H12" s="550"/>
      <c r="I12" s="551" t="str">
        <f>IFERROR(__xludf.DUMMYFUNCTION("""COMPUTED_VALUE"""),"0965412887")</f>
        <v>0965412887</v>
      </c>
      <c r="J12" s="550"/>
      <c r="K12" s="550"/>
      <c r="L12" s="550"/>
      <c r="M12" s="550" t="str">
        <f>IFERROR(__xludf.DUMMYFUNCTION("""COMPUTED_VALUE"""),"Phương")</f>
        <v>Phương</v>
      </c>
      <c r="N12" s="550" t="str">
        <f>IFERROR(__xludf.DUMMYFUNCTION("""COMPUTED_VALUE"""),"Chốt")</f>
        <v>Chốt</v>
      </c>
      <c r="O12" s="550" t="b">
        <f>IFERROR(__xludf.DUMMYFUNCTION("""COMPUTED_VALUE"""),TRUE)</f>
        <v>1</v>
      </c>
      <c r="P12" s="383" t="str">
        <f>IFERROR(__xludf.DUMMYFUNCTION("""COMPUTED_VALUE"""),"Con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"&amp;"câu hoàn chỉnh nhiều. Cấu trúc các câu còn hạn chế.
Con có thể nắm được số từ 1-100
Con chưa nắm được số thứ tự và vị trí của đồ vật
Con thuộc bảng chữ cái. Đánh vần với tốc độ vừa phải.
Con có những vốn từ chưa nhiều về các chủ đề: con vật, đồ vật, thể t"&amp;"hao...
Con chưa sử dụng được ngữ pháp khi nói. 
Con cần rèn luyện thêm về từ vựng và cấu trúc câu với chương trình : GTPX Level 3.")</f>
        <v>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1-100
Con chưa nắm được số thứ tự và vị trí của đồ vật
Con thuộc bảng chữ cái. Đánh vần với tốc độ vừa phải.
Con có những vốn từ chưa nhiều về các chủ đề: con vật, đồ vật, thể thao...
Con chưa sử dụng được ngữ pháp khi nói. 
Con cần rèn luyện thêm về từ vựng và cấu trúc câu với chương trình : GTPX Level 3.</v>
      </c>
      <c r="Q12" s="383"/>
      <c r="R12" s="383"/>
      <c r="S12" s="383" t="str">
        <f>IFERROR(__xludf.DUMMYFUNCTION("""COMPUTED_VALUE"""),"1/6: Gọi điện cho mẹ nhưng mẹ đang bận nên sẽ gọi lại sau.
2/6: Gọi lại cho mẹ nhưng mẹ nói nhà có việc nên mẹ muốn tuần sau liên lạc lại.
13/6: Gọi cho mẹ để hẹn lịch test với mẹ
16/6: Đã gửi KQ test và hướng mẹ học 1 kèm 2 hoặc 1 kèm 4, mẹ chưa phản hồi")</f>
        <v>1/6: Gọi điện cho mẹ nhưng mẹ đang bận nên sẽ gọi lại sau.
2/6: Gọi lại cho mẹ nhưng mẹ nói nhà có việc nên mẹ muốn tuần sau liên lạc lại.
13/6: Gọi cho mẹ để hẹn lịch test với mẹ
16/6: Đã gửi KQ test và hướng mẹ học 1 kèm 2 hoặc 1 kèm 4, mẹ chưa phản hồi</v>
      </c>
      <c r="T12" s="383" t="str">
        <f>IFERROR(__xludf.DUMMYFUNCTION("""COMPUTED_VALUE"""),"Tiếp tục theo dõi chốt sale")</f>
        <v>Tiếp tục theo dõi chốt sale</v>
      </c>
      <c r="U12" s="552">
        <f>IFERROR(__xludf.DUMMYFUNCTION("""COMPUTED_VALUE"""),45094.0)</f>
        <v>45094</v>
      </c>
      <c r="V12" s="552"/>
      <c r="W12" s="383"/>
      <c r="X12" s="501"/>
      <c r="Y12" s="501"/>
      <c r="Z12" s="501"/>
      <c r="AA12" s="501"/>
    </row>
    <row r="13" ht="57.75" customHeight="1">
      <c r="A13" s="553">
        <f>IFERROR(__xludf.DUMMYFUNCTION("""COMPUTED_VALUE"""),45078.0)</f>
        <v>45078</v>
      </c>
      <c r="B13" s="550" t="str">
        <f>IFERROR(__xludf.DUMMYFUNCTION("""COMPUTED_VALUE"""),"HV giới thiệu")</f>
        <v>HV giới thiệu</v>
      </c>
      <c r="C13" s="333" t="str">
        <f>IFERROR(__xludf.DUMMYFUNCTION("""COMPUTED_VALUE"""),"Thanh Tâm (Me Khai Minh VUI07)")</f>
        <v>Thanh Tâm (Me Khai Minh VUI07)</v>
      </c>
      <c r="D13" s="550" t="str">
        <f>IFERROR(__xludf.DUMMYFUNCTION("""COMPUTED_VALUE"""),"Anh Sơn")</f>
        <v>Anh Sơn</v>
      </c>
      <c r="E13" s="550"/>
      <c r="F13" s="550">
        <f>IFERROR(__xludf.DUMMYFUNCTION("""COMPUTED_VALUE"""),2014.0)</f>
        <v>2014</v>
      </c>
      <c r="G13" s="550" t="str">
        <f>IFERROR(__xludf.DUMMYFUNCTION("""COMPUTED_VALUE"""),"Lớp 4")</f>
        <v>Lớp 4</v>
      </c>
      <c r="H13" s="550"/>
      <c r="I13" s="551" t="str">
        <f>IFERROR(__xludf.DUMMYFUNCTION("""COMPUTED_VALUE"""),"0905057688")</f>
        <v>0905057688</v>
      </c>
      <c r="J13" s="550"/>
      <c r="K13" s="550"/>
      <c r="L13" s="550"/>
      <c r="M13" s="550" t="str">
        <f>IFERROR(__xludf.DUMMYFUNCTION("""COMPUTED_VALUE"""),"Loan")</f>
        <v>Loan</v>
      </c>
      <c r="N13" s="550" t="str">
        <f>IFERROR(__xludf.DUMMYFUNCTION("""COMPUTED_VALUE"""),"Đã đóng học phí")</f>
        <v>Đã đóng học phí</v>
      </c>
      <c r="O13" s="550" t="b">
        <f>IFERROR(__xludf.DUMMYFUNCTION("""COMPUTED_VALUE"""),TRUE)</f>
        <v>1</v>
      </c>
      <c r="P13" s="383" t="str">
        <f>IFERROR(__xludf.DUMMYFUNCTION("""COMPUTED_VALUE"""),"Con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"&amp;"câu hoàn chỉnh nhiều. Cấu trúc các câu còn hạn chế.
Con có thể nắm được số từ 1-1000.
Con thuộc bảng chữ cái. Đánh vần với tốc độ vừa phải.
Con có những vốn từ chưa nhiều về các chủ đề: con vật, đồ vật, thể thao...
Con chưa sử dụng được ngữ pháp khi nói. "&amp;"
Con cần rèn luyện thêm về từ vựng và ngữ pháp với chương trình : GTPX Level 3.")</f>
        <v>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1-1000.
Con thuộc bảng chữ cái. Đánh vần với tốc độ vừa phải.
Con có những vốn từ chưa nhiều về các chủ đề: con vật, đồ vật, thể thao...
Con chưa sử dụng được ngữ pháp khi nói. 
Con cần rèn luyện thêm về từ vựng và ngữ pháp với chương trình : GTPX Level 3.</v>
      </c>
      <c r="Q13" s="383" t="str">
        <f>IFERROR(__xludf.DUMMYFUNCTION("""COMPUTED_VALUE"""),"GTPX")</f>
        <v>GTPX</v>
      </c>
      <c r="R13" s="383"/>
      <c r="S13" s="383" t="str">
        <f>IFERROR(__xludf.DUMMYFUNCTION("""COMPUTED_VALUE"""),"02/06: Con chuẩn bị lên lớp 4, có khả năng tiếng Anh khá, chưa biết gì về ngữ pháp. Mẹ muốn con học đều các kỹ năng. Xếp lịch test lúc 10:00 Thứ 7 
Đã gửi kết quả test và tư vấn . PH hẹn trả lời sau. 
05/06: Hỏi thăm PH k đáp
12/06: Hỏi thăm lần nữa. Mẹ c"&amp;"ó khả năng chốt nhưng tháng 7 mẹ mới học vì con còn khóa khác.")</f>
        <v>02/06: Con chuẩn bị lên lớp 4, có khả năng tiếng Anh khá, chưa biết gì về ngữ pháp. Mẹ muốn con học đều các kỹ năng. Xếp lịch test lúc 10:00 Thứ 7 
Đã gửi kết quả test và tư vấn . PH hẹn trả lời sau. 
05/06: Hỏi thăm PH k đáp
12/06: Hỏi thăm lần nữa. Mẹ có khả năng chốt nhưng tháng 7 mẹ mới học vì con còn khóa khác.</v>
      </c>
      <c r="T13" s="383"/>
      <c r="U13" s="552"/>
      <c r="V13" s="552">
        <f>IFERROR(__xludf.DUMMYFUNCTION("""COMPUTED_VALUE"""),45103.0)</f>
        <v>45103</v>
      </c>
      <c r="W13" s="555" t="str">
        <f>IFERROR(__xludf.DUMMYFUNCTION("""COMPUTED_VALUE"""),"GTPX UP 3 1-2")</f>
        <v>GTPX UP 3 1-2</v>
      </c>
      <c r="X13" s="501">
        <f>IFERROR(__xludf.DUMMYFUNCTION("""COMPUTED_VALUE"""),6124000.0)</f>
        <v>6124000</v>
      </c>
      <c r="Y13" s="501">
        <f>IFERROR(__xludf.DUMMYFUNCTION("""COMPUTED_VALUE"""),16.0)</f>
        <v>16</v>
      </c>
      <c r="Z13" s="501">
        <f>IFERROR(__xludf.DUMMYFUNCTION("""COMPUTED_VALUE"""),1.0254638E7)</f>
        <v>10254638</v>
      </c>
      <c r="AA13" s="501"/>
    </row>
    <row r="14" ht="57.75" customHeight="1">
      <c r="A14" s="553">
        <f>IFERROR(__xludf.DUMMYFUNCTION("""COMPUTED_VALUE"""),45078.0)</f>
        <v>45078</v>
      </c>
      <c r="B14" s="550" t="str">
        <f>IFERROR(__xludf.DUMMYFUNCTION("""COMPUTED_VALUE"""),"HV giới thiệu")</f>
        <v>HV giới thiệu</v>
      </c>
      <c r="C14" s="333" t="str">
        <f>IFERROR(__xludf.DUMMYFUNCTION("""COMPUTED_VALUE"""),"Thanh Tâm (Me Khai Minh VUI07)")</f>
        <v>Thanh Tâm (Me Khai Minh VUI07)</v>
      </c>
      <c r="D14" s="550" t="str">
        <f>IFERROR(__xludf.DUMMYFUNCTION("""COMPUTED_VALUE"""),"Nam An")</f>
        <v>Nam An</v>
      </c>
      <c r="E14" s="550"/>
      <c r="F14" s="550"/>
      <c r="G14" s="550"/>
      <c r="H14" s="550"/>
      <c r="I14" s="551"/>
      <c r="J14" s="550"/>
      <c r="K14" s="550"/>
      <c r="L14" s="550"/>
      <c r="M14" s="550" t="str">
        <f>IFERROR(__xludf.DUMMYFUNCTION("""COMPUTED_VALUE"""),"Loan")</f>
        <v>Loan</v>
      </c>
      <c r="N14" s="550" t="str">
        <f>IFERROR(__xludf.DUMMYFUNCTION("""COMPUTED_VALUE"""),"Đã đóng học phí")</f>
        <v>Đã đóng học phí</v>
      </c>
      <c r="O14" s="550" t="b">
        <f>IFERROR(__xludf.DUMMYFUNCTION("""COMPUTED_VALUE"""),FALSE)</f>
        <v>0</v>
      </c>
      <c r="P14" s="383" t="str">
        <f>IFERROR(__xludf.DUMMYFUNCTION("""COMPUTED_VALUE"""),"Up Starter")</f>
        <v>Up Starter</v>
      </c>
      <c r="Q14" s="383" t="str">
        <f>IFERROR(__xludf.DUMMYFUNCTION("""COMPUTED_VALUE"""),"GTPX")</f>
        <v>GTPX</v>
      </c>
      <c r="R14" s="383"/>
      <c r="S14" s="383"/>
      <c r="T14" s="383"/>
      <c r="U14" s="552"/>
      <c r="V14" s="552">
        <f>IFERROR(__xludf.DUMMYFUNCTION("""COMPUTED_VALUE"""),45103.0)</f>
        <v>45103</v>
      </c>
      <c r="W14" s="555" t="str">
        <f>IFERROR(__xludf.DUMMYFUNCTION("""COMPUTED_VALUE"""),"GTPX - STARTER 1-2")</f>
        <v>GTPX - STARTER 1-2</v>
      </c>
      <c r="X14" s="501">
        <f>IFERROR(__xludf.DUMMYFUNCTION("""COMPUTED_VALUE"""),6124000.0)</f>
        <v>6124000</v>
      </c>
      <c r="Y14" s="501"/>
      <c r="Z14" s="501"/>
      <c r="AA14" s="501"/>
    </row>
    <row r="15" ht="57.75" customHeight="1">
      <c r="A15" s="553">
        <f>IFERROR(__xludf.DUMMYFUNCTION("""COMPUTED_VALUE"""),45078.0)</f>
        <v>45078</v>
      </c>
      <c r="B15" s="550" t="str">
        <f>IFERROR(__xludf.DUMMYFUNCTION("""COMPUTED_VALUE"""),"HV giới thiệu")</f>
        <v>HV giới thiệu</v>
      </c>
      <c r="C15" s="333" t="str">
        <f>IFERROR(__xludf.DUMMYFUNCTION("""COMPUTED_VALUE"""),"Thùy Anh")</f>
        <v>Thùy Anh</v>
      </c>
      <c r="D15" s="550" t="str">
        <f>IFERROR(__xludf.DUMMYFUNCTION("""COMPUTED_VALUE"""),"Minh Châu
Minh Khôi ")</f>
        <v>Minh Châu
Minh Khôi </v>
      </c>
      <c r="E15" s="550"/>
      <c r="F15" s="550"/>
      <c r="G15" s="550" t="str">
        <f>IFERROR(__xludf.DUMMYFUNCTION("""COMPUTED_VALUE"""),"Lớp 9
4 tuổi")</f>
        <v>Lớp 9
4 tuổi</v>
      </c>
      <c r="H15" s="550"/>
      <c r="I15" s="551" t="str">
        <f>IFERROR(__xludf.DUMMYFUNCTION("""COMPUTED_VALUE"""),"0336966726")</f>
        <v>0336966726</v>
      </c>
      <c r="J15" s="550"/>
      <c r="K15" s="550"/>
      <c r="L15" s="550"/>
      <c r="M15" s="550" t="str">
        <f>IFERROR(__xludf.DUMMYFUNCTION("""COMPUTED_VALUE"""),"Linh")</f>
        <v>Linh</v>
      </c>
      <c r="N15" s="550" t="str">
        <f>IFERROR(__xludf.DUMMYFUNCTION("""COMPUTED_VALUE"""),"Từ chối")</f>
        <v>Từ chối</v>
      </c>
      <c r="O15" s="550" t="b">
        <f>IFERROR(__xludf.DUMMYFUNCTION("""COMPUTED_VALUE"""),TRUE)</f>
        <v>1</v>
      </c>
      <c r="P15" s="383" t="str">
        <f>IFERROR(__xludf.DUMMYFUNCTION("""COMPUTED_VALUE"""),"Con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"&amp;"câu hoàn chỉnh nhiều. Cấu trúc các câu còn hạn chế.
Con có thể nắm được số từ 1-10 000.
Con thuộc bảng chữ cái. Đánh vần với tốc độ vừa phải.
Con có những vốn từ chưa nhiều về các chủ đề: con vật, đồ vật, thể thao...
Con bị nhầm lẫn giữa số 30 và 50.
Con "&amp;"chưa sử dụng được ngữ pháp khi nói. Con mới nắm được ngữ pháp của thì hiện tại đơn.
Con cần rèn luyện thêm về từ vựng và ngữ pháp với chương trình : GTPX Level 3.")</f>
        <v>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1-10 000.
Con thuộc bảng chữ cái. Đánh vần với tốc độ vừa phải.
Con có những vốn từ chưa nhiều về các chủ đề: con vật, đồ vật, thể thao...
Con bị nhầm lẫn giữa số 30 và 50.
Con chưa sử dụng được ngữ pháp khi nói. Con mới nắm được ngữ pháp của thì hiện tại đơn.
Con cần rèn luyện thêm về từ vựng và ngữ pháp với chương trình : GTPX Level 3.</v>
      </c>
      <c r="Q15" s="383"/>
      <c r="R15" s="383"/>
      <c r="S15" s="383" t="str">
        <f>IFERROR(__xludf.DUMMYFUNCTION("""COMPUTED_VALUE"""),"01/06: PH chưa nghe máy 
02/06: PH k nghe máy, đã gửi kết bạn Zalo 
05/06: Nhắn tin Zalo vẫn  k rep
08/06: PH có 2 cháu, 1 lớp 9, 1 bạn 4t. Hẹn test chiều nay 08/06 lúc 3h
09/06: Mẹ còn đợi trao đổi với bố. Hẹn thứ 3 tuần sau phản hồi
13/06: Mẹ từ chối vì"&amp;" bố chỉ muốn cho con học offline. 
14/06: gọi k nghe máy
24/6: Con chị đã học chỗ khác rồi")</f>
        <v>01/06: PH chưa nghe máy 
02/06: PH k nghe máy, đã gửi kết bạn Zalo 
05/06: Nhắn tin Zalo vẫn  k rep
08/06: PH có 2 cháu, 1 lớp 9, 1 bạn 4t. Hẹn test chiều nay 08/06 lúc 3h
09/06: Mẹ còn đợi trao đổi với bố. Hẹn thứ 3 tuần sau phản hồi
13/06: Mẹ từ chối vì bố chỉ muốn cho con học offline. 
14/06: gọi k nghe máy
24/6: Con chị đã học chỗ khác rồi</v>
      </c>
      <c r="T15" s="383" t="str">
        <f>IFERROR(__xludf.DUMMYFUNCTION("""COMPUTED_VALUE"""),"NGỪNG CHĂM SÓC")</f>
        <v>NGỪNG CHĂM SÓC</v>
      </c>
      <c r="U15" s="552"/>
      <c r="V15" s="552"/>
      <c r="W15" s="383"/>
      <c r="X15" s="501"/>
      <c r="Y15" s="501"/>
      <c r="Z15" s="501"/>
      <c r="AA15" s="501"/>
    </row>
    <row r="16" ht="57.75" customHeight="1">
      <c r="A16" s="553">
        <f>IFERROR(__xludf.DUMMYFUNCTION("""COMPUTED_VALUE"""),45081.0)</f>
        <v>45081</v>
      </c>
      <c r="B16" s="550" t="str">
        <f>IFERROR(__xludf.DUMMYFUNCTION("""COMPUTED_VALUE"""),"HV giới thiệu")</f>
        <v>HV giới thiệu</v>
      </c>
      <c r="C16" s="333" t="str">
        <f>IFERROR(__xludf.DUMMYFUNCTION("""COMPUTED_VALUE"""),"Mẹ Dung (Mẹ Khải Minh VUI07)")</f>
        <v>Mẹ Dung (Mẹ Khải Minh VUI07)</v>
      </c>
      <c r="D16" s="550" t="str">
        <f>IFERROR(__xludf.DUMMYFUNCTION("""COMPUTED_VALUE"""),"Mạnh Cường")</f>
        <v>Mạnh Cường</v>
      </c>
      <c r="E16" s="550"/>
      <c r="F16" s="550">
        <f>IFERROR(__xludf.DUMMYFUNCTION("""COMPUTED_VALUE"""),2011.0)</f>
        <v>2011</v>
      </c>
      <c r="G16" s="550">
        <f>IFERROR(__xludf.DUMMYFUNCTION("""COMPUTED_VALUE"""),7.0)</f>
        <v>7</v>
      </c>
      <c r="H16" s="550"/>
      <c r="I16" s="551" t="str">
        <f>IFERROR(__xludf.DUMMYFUNCTION("""COMPUTED_VALUE"""),"0913401187")</f>
        <v>0913401187</v>
      </c>
      <c r="J16" s="550"/>
      <c r="K16" s="550"/>
      <c r="L16" s="550"/>
      <c r="M16" s="550" t="str">
        <f>IFERROR(__xludf.DUMMYFUNCTION("""COMPUTED_VALUE"""),"Loan")</f>
        <v>Loan</v>
      </c>
      <c r="N16" s="550" t="str">
        <f>IFERROR(__xludf.DUMMYFUNCTION("""COMPUTED_VALUE"""),"Đã đóng học phí")</f>
        <v>Đã đóng học phí</v>
      </c>
      <c r="O16" s="550" t="b">
        <f>IFERROR(__xludf.DUMMYFUNCTION("""COMPUTED_VALUE"""),TRUE)</f>
        <v>1</v>
      </c>
      <c r="P16" s="383" t="str">
        <f>IFERROR(__xludf.DUMMYFUNCTION("""COMPUTED_VALUE"""),"Mạnh Cường - 11 tuổi
Con ngoan hiền và có độ tập trung cao khi tham gia buổi test.
Con tích cực tương tác với cô.
Tốc độ phản xạ: chưa được nhanh
Con có thể nghe và trả lời những câu hỏi giao tiếp cơ bản về tên, tuổi, tuy nhiên với những câu hỏi thông tin"&amp;" khác thì con chưa có vôn từ để trả lời.
Con có thể phát âm những từ cơ bản nhưng con vẫn cần luyện tập thêm, đặc biệt là âm cuối và nối âm.
Con có thể nhận 80% diện bảng chữ cái và có thể đánh vần tên người.
Con có thể nắm được số từ 1-100.
Con có những "&amp;"vốn từ cơ bản về các chủ đề: con vật, đồ vật,...
Con vẫn cần cải thiện hơn nữa về vốn từ vựng của con.
Con cần rèn luyện thêm về từ vựng và ngữ pháp với chương trình GTPX Level: UP 2")</f>
        <v>Mạnh Cường - 11 tuổi
Con ngoan hiền và có độ tập trung cao khi tham gia buổi test.
Con tích cực tương tác với cô.
Tốc độ phản xạ: chưa được nhanh
Con có thể nghe và trả lời những câu hỏi giao tiếp cơ bản về tên, tuổi, tuy nhiên với những câu hỏi thông tin khác thì con chưa có vôn từ để trả lời.
Con có thể phát âm những từ cơ bản nhưng con vẫn cần luyện tập thêm, đặc biệt là âm cuối và nối âm.
Con có thể nhận 80% diện bảng chữ cái và có thể đánh vần tên người.
Con có thể nắm được số từ 1-100.
Con có những vốn từ cơ bản về các chủ đề: con vật, đồ vật,...
Con vẫn cần cải thiện hơn nữa về vốn từ vựng của con.
Con cần rèn luyện thêm về từ vựng và ngữ pháp với chương trình GTPX Level: UP 2</v>
      </c>
      <c r="Q16" s="383"/>
      <c r="R16" s="383"/>
      <c r="S16" s="383" t="str">
        <f>IFERROR(__xludf.DUMMYFUNCTION("""COMPUTED_VALUE"""),"05/06: Xếp lịch test 9:00 thứ 4. 07/06
07/06: Tư vấn sau trả kết quả lớp GTPX. 
08/06: Mẹ hỏi ý con rồi sẽ chốt học 
09/06: Mẹ chốt 50b 1 kèm 2. Lịch học: Cường sẽ học được các buổi sáng từ thứ 2 đến thứ 7, từ 9h đến 11h, riêng thứ bảy thì trước 10h.
")</f>
        <v>05/06: Xếp lịch test 9:00 thứ 4. 07/06
07/06: Tư vấn sau trả kết quả lớp GTPX. 
08/06: Mẹ hỏi ý con rồi sẽ chốt học 
09/06: Mẹ chốt 50b 1 kèm 2. Lịch học: Cường sẽ học được các buổi sáng từ thứ 2 đến thứ 7, từ 9h đến 11h, riêng thứ bảy thì trước 10h.
</v>
      </c>
      <c r="T16" s="383"/>
      <c r="U16" s="552"/>
      <c r="V16" s="552">
        <f>IFERROR(__xludf.DUMMYFUNCTION("""COMPUTED_VALUE"""),45085.0)</f>
        <v>45085</v>
      </c>
      <c r="W16" s="556" t="str">
        <f>IFERROR(__xludf.DUMMYFUNCTION("""COMPUTED_VALUE"""),"Giao tiếp phản xạ ")</f>
        <v>Giao tiếp phản xạ </v>
      </c>
      <c r="X16" s="501">
        <f>IFERROR(__xludf.DUMMYFUNCTION("""COMPUTED_VALUE"""),6124000.0)</f>
        <v>6124000</v>
      </c>
      <c r="Y16" s="501">
        <f>IFERROR(__xludf.DUMMYFUNCTION("""COMPUTED_VALUE"""),0.0)</f>
        <v>0</v>
      </c>
      <c r="Z16" s="501">
        <f>IFERROR(__xludf.DUMMYFUNCTION("""COMPUTED_VALUE"""),5205400.0)</f>
        <v>5205400</v>
      </c>
      <c r="AA16" s="501"/>
    </row>
    <row r="17" ht="57.75" customHeight="1">
      <c r="A17" s="553">
        <f>IFERROR(__xludf.DUMMYFUNCTION("""COMPUTED_VALUE"""),45087.0)</f>
        <v>45087</v>
      </c>
      <c r="B17" s="550" t="str">
        <f>IFERROR(__xludf.DUMMYFUNCTION("""COMPUTED_VALUE"""),"HV giới thiệu")</f>
        <v>HV giới thiệu</v>
      </c>
      <c r="C17" s="333" t="str">
        <f>IFERROR(__xludf.DUMMYFUNCTION("""COMPUTED_VALUE"""),"Nguyễn Phương")</f>
        <v>Nguyễn Phương</v>
      </c>
      <c r="D17" s="550" t="str">
        <f>IFERROR(__xludf.DUMMYFUNCTION("""COMPUTED_VALUE"""),"Yến Nhi")</f>
        <v>Yến Nhi</v>
      </c>
      <c r="E17" s="550"/>
      <c r="F17" s="550"/>
      <c r="G17" s="550" t="str">
        <f>IFERROR(__xludf.DUMMYFUNCTION("""COMPUTED_VALUE"""),"Lớp 7")</f>
        <v>Lớp 7</v>
      </c>
      <c r="H17" s="550"/>
      <c r="I17" s="551" t="str">
        <f>IFERROR(__xludf.DUMMYFUNCTION("""COMPUTED_VALUE"""),"0905930556")</f>
        <v>0905930556</v>
      </c>
      <c r="J17" s="550"/>
      <c r="K17" s="550"/>
      <c r="L17" s="550"/>
      <c r="M17" s="550" t="str">
        <f>IFERROR(__xludf.DUMMYFUNCTION("""COMPUTED_VALUE"""),"Loan")</f>
        <v>Loan</v>
      </c>
      <c r="N17" s="550" t="str">
        <f>IFERROR(__xludf.DUMMYFUNCTION("""COMPUTED_VALUE"""),"Đã đóng học phí")</f>
        <v>Đã đóng học phí</v>
      </c>
      <c r="O17" s="550" t="b">
        <f>IFERROR(__xludf.DUMMYFUNCTION("""COMPUTED_VALUE"""),TRUE)</f>
        <v>1</v>
      </c>
      <c r="P17" s="383" t="str">
        <f>IFERROR(__xludf.DUMMYFUNCTION("""COMPUTED_VALUE"""),"Con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c"&amp;"âu hoàn chỉnh nhiều. Cấu trúc các câu còn hạn chế.
Con có thể nắm được số từ 1-10 000.
Con thuộc bảng chữ cái. Đánh vần với tốc độ nhanh.
Con có những vốn từ chưa nhiều về các chủ đề: con vật, đồ vật, thể thao...
Kỹ năng nghe cần cải thiện hơn nữa.
Con nắ"&amp;"m được kiến thức ngữ pháp về thì hiện tại đơn và thì hiện tại tiếp diễn.
Con cần rèn luyện thêm về từ vựng và ngữ pháp với chương trình : GTPX Level 3.")</f>
        <v>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1-10 000.
Con thuộc bảng chữ cái. Đánh vần với tốc độ nhanh.
Con có những vốn từ chưa nhiều về các chủ đề: con vật, đồ vật, thể thao...
Kỹ năng nghe cần cải thiện hơn nữa.
Con nắm được kiến thức ngữ pháp về thì hiện tại đơn và thì hiện tại tiếp diễn.
Con cần rèn luyện thêm về từ vựng và ngữ pháp với chương trình : GTPX Level 3.</v>
      </c>
      <c r="Q17" s="383"/>
      <c r="R17" s="383"/>
      <c r="S17" s="383" t="str">
        <f>IFERROR(__xludf.DUMMYFUNCTION("""COMPUTED_VALUE"""),"Test thứ 2 12/06 lúc 10:00 sáng. Đã gửi bảng giá zalo 
12/06: Đã gửi kết quả test. Chốt lớp 1:2, muốn học thử. Đã đóng cọc cho 3 buổi học thử.
Giờ cấn: Thứ 3, 5: 9h-12h 
246: 3h-5h
")</f>
        <v>Test thứ 2 12/06 lúc 10:00 sáng. Đã gửi bảng giá zalo 
12/06: Đã gửi kết quả test. Chốt lớp 1:2, muốn học thử. Đã đóng cọc cho 3 buổi học thử.
Giờ cấn: Thứ 3, 5: 9h-12h 
246: 3h-5h
</v>
      </c>
      <c r="T17" s="383"/>
      <c r="U17" s="552"/>
      <c r="V17" s="552">
        <f>IFERROR(__xludf.DUMMYFUNCTION("""COMPUTED_VALUE"""),45104.0)</f>
        <v>45104</v>
      </c>
      <c r="W17" s="556" t="str">
        <f>IFERROR(__xludf.DUMMYFUNCTION("""COMPUTED_VALUE"""),"Giao tiếp phản xạ ")</f>
        <v>Giao tiếp phản xạ </v>
      </c>
      <c r="X17" s="501">
        <f>IFERROR(__xludf.DUMMYFUNCTION("""COMPUTED_VALUE"""),5205400.0)</f>
        <v>5205400</v>
      </c>
      <c r="Y17" s="501">
        <f>IFERROR(__xludf.DUMMYFUNCTION("""COMPUTED_VALUE"""),0.0)</f>
        <v>0</v>
      </c>
      <c r="Z17" s="501">
        <f>IFERROR(__xludf.DUMMYFUNCTION("""COMPUTED_VALUE"""),5205400.0)</f>
        <v>5205400</v>
      </c>
      <c r="AA17" s="501"/>
    </row>
    <row r="18" ht="57.75" customHeight="1">
      <c r="A18" s="553">
        <f>IFERROR(__xludf.DUMMYFUNCTION("""COMPUTED_VALUE"""),45090.0)</f>
        <v>45090</v>
      </c>
      <c r="B18" s="550" t="str">
        <f>IFERROR(__xludf.DUMMYFUNCTION("""COMPUTED_VALUE"""),"HV giới thiệu")</f>
        <v>HV giới thiệu</v>
      </c>
      <c r="C18" s="333" t="str">
        <f>IFERROR(__xludf.DUMMYFUNCTION("""COMPUTED_VALUE"""),"Đoàn Thị Thanh Tú (Chị Phượng - King VUI04 giới thiệu)")</f>
        <v>Đoàn Thị Thanh Tú (Chị Phượng - King VUI04 giới thiệu)</v>
      </c>
      <c r="D18" s="550" t="str">
        <f>IFERROR(__xludf.DUMMYFUNCTION("""COMPUTED_VALUE"""),"Mạc Đoàn bảo Trân
Mạc Bảo Khánh")</f>
        <v>Mạc Đoàn bảo Trân
Mạc Bảo Khánh</v>
      </c>
      <c r="E18" s="550"/>
      <c r="F18" s="550" t="str">
        <f>IFERROR(__xludf.DUMMYFUNCTION("""COMPUTED_VALUE"""),"10 tuổi và 11 tuổi")</f>
        <v>10 tuổi và 11 tuổi</v>
      </c>
      <c r="G18" s="550"/>
      <c r="H18" s="550"/>
      <c r="I18" s="551" t="str">
        <f>IFERROR(__xludf.DUMMYFUNCTION("""COMPUTED_VALUE"""),"0906544628")</f>
        <v>0906544628</v>
      </c>
      <c r="J18" s="550"/>
      <c r="K18" s="550"/>
      <c r="L18" s="550" t="str">
        <f>IFERROR(__xludf.DUMMYFUNCTION("""COMPUTED_VALUE"""),"Có 2 bạn học lớp 5 và 6 có từng học trung tâm tiếng Anh nhưng đã nghỉ 1 năm, mẹ nhắn tin hỏi về các khóa hè này mở, học phí ")</f>
        <v>Có 2 bạn học lớp 5 và 6 có từng học trung tâm tiếng Anh nhưng đã nghỉ 1 năm, mẹ nhắn tin hỏi về các khóa hè này mở, học phí </v>
      </c>
      <c r="M18" s="557" t="str">
        <f>IFERROR(__xludf.DUMMYFUNCTION("""COMPUTED_VALUE"""),"Ánh")</f>
        <v>Ánh</v>
      </c>
      <c r="N18" s="550" t="str">
        <f>IFERROR(__xludf.DUMMYFUNCTION("""COMPUTED_VALUE"""),"Đã đóng học phí")</f>
        <v>Đã đóng học phí</v>
      </c>
      <c r="O18" s="550" t="b">
        <f>IFERROR(__xludf.DUMMYFUNCTION("""COMPUTED_VALUE"""),TRUE)</f>
        <v>1</v>
      </c>
      <c r="P18" s="383" t="str">
        <f>IFERROR(__xludf.DUMMYFUNCTION("""COMPUTED_VALUE"""),"Bảo Trân
Con ngoan hiền, lễ phép, khá tập trung cao khi tham gia buổi test.
Tốc độ phản xạ: Chưa nhanh
Con có thể nghe và trả lời những câu hỏi giao tiếp cơ bản tuy nhiên vốn từ của con còn hạn chế
Con cần luyện thêm nhiều về phát âm. Con còn thiếu âm cuố"&amp;"i và thiếu nối âm.
Con có thể nhận diện bảng chữ cái và đánh vần chưa được nhanh.
Con có thể nắm được số từ 1-100. 
Con chưa nắm được số thứ tự.
Con có những vốn từ cơ bản về các chủ đề: con vật, đồ vật,... tuy nhiên con chưa có vốn từ về vị trí và ngày t"&amp;"háng.
Con cần rèn luyện thêm về từ vựng và ngữ pháp với chương trình GTPX Level: UP 3")</f>
        <v>Bảo Trân
Con ngoan hiền, lễ phép, khá tập trung cao khi tham gia buổi test.
Tốc độ phản xạ: Chưa nhanh
Con có thể nghe và trả lời những câu hỏi giao tiếp cơ bản tuy nhiên vốn từ của con còn hạn chế
Con cần luyện thêm nhiều về phát âm. Con còn thiếu âm cuối và thiếu nối âm.
Con có thể nhận diện bảng chữ cái và đánh vần chưa được nhanh.
Con có thể nắm được số từ 1-100. 
Con chưa nắm được số thứ tự.
Con có những vốn từ cơ bản về các chủ đề: con vật, đồ vật,... tuy nhiên con chưa có vốn từ về vị trí và ngày tháng.
Con cần rèn luyện thêm về từ vựng và ngữ pháp với chương trình GTPX Level: UP 3</v>
      </c>
      <c r="Q18" s="383" t="str">
        <f>IFERROR(__xludf.DUMMYFUNCTION("""COMPUTED_VALUE"""),"vui")</f>
        <v>vui</v>
      </c>
      <c r="R18" s="383" t="str">
        <f>IFERROR(__xludf.DUMMYFUNCTION("""COMPUTED_VALUE"""),"t3-t5-t6:19h30")</f>
        <v>t3-t5-t6:19h30</v>
      </c>
      <c r="S18" s="383" t="str">
        <f>IFERROR(__xludf.DUMMYFUNCTION("""COMPUTED_VALUE"""),"13/6: gọi trao đỏi thông tin khóa học
14/6: gọi và hẹn lại lịch test
19/6: gọi lại hẹn lịch test vào 9h30 thứ 4 21/6")</f>
        <v>13/6: gọi trao đỏi thông tin khóa học
14/6: gọi và hẹn lại lịch test
19/6: gọi lại hẹn lịch test vào 9h30 thứ 4 21/6</v>
      </c>
      <c r="T18" s="383" t="str">
        <f>IFERROR(__xludf.DUMMYFUNCTION("""COMPUTED_VALUE"""),"đã chốt khóa học")</f>
        <v>đã chốt khóa học</v>
      </c>
      <c r="U18" s="552"/>
      <c r="V18" s="552">
        <f>IFERROR(__xludf.DUMMYFUNCTION("""COMPUTED_VALUE"""),45107.0)</f>
        <v>45107</v>
      </c>
      <c r="W18" s="554" t="str">
        <f>IFERROR(__xludf.DUMMYFUNCTION("""COMPUTED_VALUE"""),"vui")</f>
        <v>vui</v>
      </c>
      <c r="X18" s="501">
        <f>IFERROR(__xludf.DUMMYFUNCTION("""COMPUTED_VALUE"""),2558000.0)</f>
        <v>2558000</v>
      </c>
      <c r="Y18" s="501">
        <f>IFERROR(__xludf.DUMMYFUNCTION("""COMPUTED_VALUE"""),204460.0)</f>
        <v>204460</v>
      </c>
      <c r="Z18" s="501">
        <f>IFERROR(__xludf.DUMMYFUNCTION("""COMPUTED_VALUE"""),2353360.0)</f>
        <v>2353360</v>
      </c>
      <c r="AA18" s="501"/>
    </row>
    <row r="19" ht="57.75" customHeight="1">
      <c r="A19" s="552">
        <f>IFERROR(__xludf.DUMMYFUNCTION("""COMPUTED_VALUE"""),45090.0)</f>
        <v>45090</v>
      </c>
      <c r="B19" s="383" t="str">
        <f>IFERROR(__xludf.DUMMYFUNCTION("""COMPUTED_VALUE"""),"HV giới thiệu")</f>
        <v>HV giới thiệu</v>
      </c>
      <c r="C19" s="322" t="str">
        <f>IFERROR(__xludf.DUMMYFUNCTION("""COMPUTED_VALUE"""),"Đoàn Thị Thanh Tú (Chị Phượng - King VUI04 giới thiệu)")</f>
        <v>Đoàn Thị Thanh Tú (Chị Phượng - King VUI04 giới thiệu)</v>
      </c>
      <c r="D19" s="383" t="str">
        <f>IFERROR(__xludf.DUMMYFUNCTION("""COMPUTED_VALUE"""),"Bảo Khánh")</f>
        <v>Bảo Khánh</v>
      </c>
      <c r="E19" s="383"/>
      <c r="F19" s="383"/>
      <c r="G19" s="383"/>
      <c r="H19" s="383"/>
      <c r="I19" s="383"/>
      <c r="J19" s="383"/>
      <c r="K19" s="383"/>
      <c r="L19" s="383"/>
      <c r="M19" s="383" t="str">
        <f>IFERROR(__xludf.DUMMYFUNCTION("""COMPUTED_VALUE"""),"Ánh")</f>
        <v>Ánh</v>
      </c>
      <c r="N19" s="383" t="str">
        <f>IFERROR(__xludf.DUMMYFUNCTION("""COMPUTED_VALUE"""),"Đã đóng học phí")</f>
        <v>Đã đóng học phí</v>
      </c>
      <c r="O19" s="383" t="b">
        <f>IFERROR(__xludf.DUMMYFUNCTION("""COMPUTED_VALUE"""),TRUE)</f>
        <v>1</v>
      </c>
      <c r="P19" s="383" t="str">
        <f>IFERROR(__xludf.DUMMYFUNCTION("""COMPUTED_VALUE"""),"Bảo Khánh
Con ngoan hiền, lễ phép. Con tập trung khi tham gia buổi test.
Con tương tác tốt với cô.
Tốc độ phản xạ: còn khá chậm
Con trả lời được câu hỏi về tên và màu sắc nhưng chưa trả lời được những câu hỏi thông tin cá nhân khác.
Con chưa nói được các "&amp;"câu hoàn chỉnh và trả lời cô còn ngập ngừng.
Con chưa nắm được bảng chữ cái và chưa đánh vần được
Con có thể nắm được số từ 1-25.
Vốn từ của con còn hạn chế
Con cần rèn luyện thêm về từ vựng và cấu trúc câu với chương trình : GTPX Level 2")</f>
        <v>Bảo Khánh
Con ngoan hiền, lễ phép. Con tập trung khi tham gia buổi test.
Con tương tác tốt với cô.
Tốc độ phản xạ: còn khá chậm
Con trả lời được câu hỏi về tên và màu sắc nhưng chưa trả lời được những câu hỏi thông tin cá nhân khác.
Con chưa nói được các câu hoàn chỉnh và trả lời cô còn ngập ngừng.
Con chưa nắm được bảng chữ cái và chưa đánh vần được
Con có thể nắm được số từ 1-25.
Vốn từ của con còn hạn chế
Con cần rèn luyện thêm về từ vựng và cấu trúc câu với chương trình : GTPX Level 2</v>
      </c>
      <c r="Q19" s="383" t="str">
        <f>IFERROR(__xludf.DUMMYFUNCTION("""COMPUTED_VALUE"""),"vui")</f>
        <v>vui</v>
      </c>
      <c r="R19" s="383" t="str">
        <f>IFERROR(__xludf.DUMMYFUNCTION("""COMPUTED_VALUE"""),"t3-t5-t6:19h30")</f>
        <v>t3-t5-t6:19h30</v>
      </c>
      <c r="S19" s="383"/>
      <c r="T19" s="383" t="str">
        <f>IFERROR(__xludf.DUMMYFUNCTION("""COMPUTED_VALUE"""),"đã chốt khóa học")</f>
        <v>đã chốt khóa học</v>
      </c>
      <c r="U19" s="552"/>
      <c r="V19" s="552">
        <f>IFERROR(__xludf.DUMMYFUNCTION("""COMPUTED_VALUE"""),45107.0)</f>
        <v>45107</v>
      </c>
      <c r="W19" s="554" t="str">
        <f>IFERROR(__xludf.DUMMYFUNCTION("""COMPUTED_VALUE"""),"vui")</f>
        <v>vui</v>
      </c>
      <c r="X19" s="501">
        <f>IFERROR(__xludf.DUMMYFUNCTION("""COMPUTED_VALUE"""),2558000.0)</f>
        <v>2558000</v>
      </c>
      <c r="Y19" s="501">
        <f>IFERROR(__xludf.DUMMYFUNCTION("""COMPUTED_VALUE"""),127900.0)</f>
        <v>127900</v>
      </c>
      <c r="Z19" s="501">
        <f>IFERROR(__xludf.DUMMYFUNCTION("""COMPUTED_VALUE"""),2430100.0)</f>
        <v>2430100</v>
      </c>
      <c r="AA19" s="501"/>
    </row>
    <row r="20" ht="57.75" customHeight="1">
      <c r="A20" s="552">
        <f>IFERROR(__xludf.DUMMYFUNCTION("""COMPUTED_VALUE"""),45093.0)</f>
        <v>45093</v>
      </c>
      <c r="B20" s="383" t="str">
        <f>IFERROR(__xludf.DUMMYFUNCTION("""COMPUTED_VALUE"""),"HV giới thiệu")</f>
        <v>HV giới thiệu</v>
      </c>
      <c r="C20" s="322" t="str">
        <f>IFERROR(__xludf.DUMMYFUNCTION("""COMPUTED_VALUE"""),"Kimlan (mẹ Harey giới thiệu, gửi thông tin qua thầy)")</f>
        <v>Kimlan (mẹ Harey giới thiệu, gửi thông tin qua thầy)</v>
      </c>
      <c r="D20" s="383" t="str">
        <f>IFERROR(__xludf.DUMMYFUNCTION("""COMPUTED_VALUE"""),"Tường Vi")</f>
        <v>Tường Vi</v>
      </c>
      <c r="E20" s="383"/>
      <c r="F20" s="383" t="str">
        <f>IFERROR(__xludf.DUMMYFUNCTION("""COMPUTED_VALUE"""),"10 tuổi ")</f>
        <v>10 tuổi </v>
      </c>
      <c r="G20" s="383">
        <f>IFERROR(__xludf.DUMMYFUNCTION("""COMPUTED_VALUE"""),5.0)</f>
        <v>5</v>
      </c>
      <c r="H20" s="383"/>
      <c r="I20" s="401" t="str">
        <f>IFERROR(__xludf.DUMMYFUNCTION("""COMPUTED_VALUE"""),"0914285536")</f>
        <v>0914285536</v>
      </c>
      <c r="J20" s="383"/>
      <c r="K20" s="383"/>
      <c r="L20" s="383"/>
      <c r="M20" s="383" t="str">
        <f>IFERROR(__xludf.DUMMYFUNCTION("""COMPUTED_VALUE"""),"Ánh")</f>
        <v>Ánh</v>
      </c>
      <c r="N20" s="383" t="str">
        <f>IFERROR(__xludf.DUMMYFUNCTION("""COMPUTED_VALUE"""),"Từ chối")</f>
        <v>Từ chối</v>
      </c>
      <c r="O20" s="383" t="b">
        <f>IFERROR(__xludf.DUMMYFUNCTION("""COMPUTED_VALUE"""),FALSE)</f>
        <v>0</v>
      </c>
      <c r="P20" s="383"/>
      <c r="Q20" s="383"/>
      <c r="R20" s="383"/>
      <c r="S20" s="383" t="str">
        <f>IFERROR(__xludf.DUMMYFUNCTION("""COMPUTED_VALUE"""),"16/6: Đã tư vấn toàn bộ quy trình khóa học cho mẹ. Bé này khả năng học GTPX vì trước giờ chỉ học trên trường, và học thêm cô giáo, giao tiếp kém. Đã báo giá và gửi các thông tin. Khả năng chốt 1-2 cao.  
18/6: xếp lịch test chiều thứ 2
18/8: mẹ báo lại co"&amp;"n không chịu tham gia lớp học để test. có gì mẹ báo lại sau")</f>
        <v>16/6: Đã tư vấn toàn bộ quy trình khóa học cho mẹ. Bé này khả năng học GTPX vì trước giờ chỉ học trên trường, và học thêm cô giáo, giao tiếp kém. Đã báo giá và gửi các thông tin. Khả năng chốt 1-2 cao.  
18/6: xếp lịch test chiều thứ 2
18/8: mẹ báo lại con không chịu tham gia lớp học để test. có gì mẹ báo lại sau</v>
      </c>
      <c r="T20" s="383" t="str">
        <f>IFERROR(__xludf.DUMMYFUNCTION("""COMPUTED_VALUE"""),"chăm sóc sau")</f>
        <v>chăm sóc sau</v>
      </c>
      <c r="U20" s="552"/>
      <c r="V20" s="552"/>
      <c r="W20" s="383"/>
      <c r="X20" s="501"/>
      <c r="Y20" s="501"/>
      <c r="Z20" s="501"/>
      <c r="AA20" s="501"/>
    </row>
    <row r="21" ht="57.75" customHeight="1">
      <c r="A21" s="552">
        <f>IFERROR(__xludf.DUMMYFUNCTION("""COMPUTED_VALUE"""),45096.0)</f>
        <v>45096</v>
      </c>
      <c r="B21" s="383" t="str">
        <f>IFERROR(__xludf.DUMMYFUNCTION("""COMPUTED_VALUE"""),"HV giới thiệu")</f>
        <v>HV giới thiệu</v>
      </c>
      <c r="C21" s="322" t="str">
        <f>IFERROR(__xludf.DUMMYFUNCTION("""COMPUTED_VALUE"""),"Mẹ tên Tâm  (Mẹ Mai Khanh gth)")</f>
        <v>Mẹ tên Tâm  (Mẹ Mai Khanh gth)</v>
      </c>
      <c r="D21" s="383"/>
      <c r="E21" s="383"/>
      <c r="F21" s="383"/>
      <c r="G21" s="383"/>
      <c r="H21" s="383"/>
      <c r="I21" s="401" t="str">
        <f>IFERROR(__xludf.DUMMYFUNCTION("""COMPUTED_VALUE"""),"0935644537")</f>
        <v>0935644537</v>
      </c>
      <c r="J21" s="383"/>
      <c r="K21" s="383"/>
      <c r="L21" s="383"/>
      <c r="M21" s="383" t="str">
        <f>IFERROR(__xludf.DUMMYFUNCTION("""COMPUTED_VALUE"""),"Ánh")</f>
        <v>Ánh</v>
      </c>
      <c r="N21" s="383" t="str">
        <f>IFERROR(__xludf.DUMMYFUNCTION("""COMPUTED_VALUE"""),"Đã liên lạc lần 1")</f>
        <v>Đã liên lạc lần 1</v>
      </c>
      <c r="O21" s="383" t="b">
        <f>IFERROR(__xludf.DUMMYFUNCTION("""COMPUTED_VALUE"""),FALSE)</f>
        <v>0</v>
      </c>
      <c r="P21" s="383"/>
      <c r="Q21" s="383"/>
      <c r="R21" s="383"/>
      <c r="S21" s="383" t="str">
        <f>IFERROR(__xludf.DUMMYFUNCTION("""COMPUTED_VALUE"""),"19/6: gọi KNM.
20/6: gọi đã kb zalo chia sẻ thông tin, để mẹ thảo luận với con xong mới sắp xếp lịch test sau. 23/6 mẹ cần về thảo luận với con. hen lịch test sang tuần
30/6: để chị về thảo luận với bạn để sắp xếp lịch test")</f>
        <v>19/6: gọi KNM.
20/6: gọi đã kb zalo chia sẻ thông tin, để mẹ thảo luận với con xong mới sắp xếp lịch test sau. 23/6 mẹ cần về thảo luận với con. hen lịch test sang tuần
30/6: để chị về thảo luận với bạn để sắp xếp lịch test</v>
      </c>
      <c r="T21" s="383" t="str">
        <f>IFERROR(__xludf.DUMMYFUNCTION("""COMPUTED_VALUE"""),"gọi lai sau")</f>
        <v>gọi lai sau</v>
      </c>
      <c r="U21" s="552">
        <f>IFERROR(__xludf.DUMMYFUNCTION("""COMPUTED_VALUE"""),45110.0)</f>
        <v>45110</v>
      </c>
      <c r="V21" s="552"/>
      <c r="W21" s="383"/>
      <c r="X21" s="501"/>
      <c r="Y21" s="501"/>
      <c r="Z21" s="501"/>
      <c r="AA21" s="501"/>
    </row>
    <row r="22" ht="57.75" customHeight="1">
      <c r="A22" s="552">
        <f>IFERROR(__xludf.DUMMYFUNCTION("""COMPUTED_VALUE"""),45096.0)</f>
        <v>45096</v>
      </c>
      <c r="B22" s="383" t="str">
        <f>IFERROR(__xludf.DUMMYFUNCTION("""COMPUTED_VALUE"""),"HV giới thiệu")</f>
        <v>HV giới thiệu</v>
      </c>
      <c r="C22" s="322" t="str">
        <f>IFERROR(__xludf.DUMMYFUNCTION("""COMPUTED_VALUE"""),"Hà Phước Việt")</f>
        <v>Hà Phước Việt</v>
      </c>
      <c r="D22" s="383" t="str">
        <f>IFERROR(__xludf.DUMMYFUNCTION("""COMPUTED_VALUE"""),"Hà Phước Huy")</f>
        <v>Hà Phước Huy</v>
      </c>
      <c r="E22" s="383"/>
      <c r="F22" s="554">
        <f>IFERROR(__xludf.DUMMYFUNCTION("""COMPUTED_VALUE"""),42350.0)</f>
        <v>42350</v>
      </c>
      <c r="G22" s="383">
        <f>IFERROR(__xludf.DUMMYFUNCTION("""COMPUTED_VALUE"""),3.0)</f>
        <v>3</v>
      </c>
      <c r="H22" s="383"/>
      <c r="I22" s="401" t="str">
        <f>IFERROR(__xludf.DUMMYFUNCTION("""COMPUTED_VALUE"""),"0902233520")</f>
        <v>0902233520</v>
      </c>
      <c r="J22" s="383"/>
      <c r="K22" s="383"/>
      <c r="L22" s="383" t="str">
        <f>IFERROR(__xludf.DUMMYFUNCTION("""COMPUTED_VALUE"""),"kb qua zalo trung tâm")</f>
        <v>kb qua zalo trung tâm</v>
      </c>
      <c r="M22" s="383" t="str">
        <f>IFERROR(__xludf.DUMMYFUNCTION("""COMPUTED_VALUE"""),"Ánh")</f>
        <v>Ánh</v>
      </c>
      <c r="N22" s="383" t="str">
        <f>IFERROR(__xludf.DUMMYFUNCTION("""COMPUTED_VALUE"""),"Đã đóng học phí")</f>
        <v>Đã đóng học phí</v>
      </c>
      <c r="O22" s="383" t="b">
        <f>IFERROR(__xludf.DUMMYFUNCTION("""COMPUTED_VALUE"""),TRUE)</f>
        <v>1</v>
      </c>
      <c r="P22" s="383" t="str">
        <f>IFERROR(__xludf.DUMMYFUNCTION("""COMPUTED_VALUE"""),"Phước Huy
Con ngoan hiền, lễ phép. Tập trung khi tham gia buổi test.
Tốc độ phản xạ: Chưa được nhanh
Con có thể nghe và trả lời những câu hỏi giao tiếp cơ bản về tên, tuổi, tuy nhiên lúc đầu con vẫn còn nhầm lẫn giữa các câu hỏi
Con phát âm chưa được rõ, "&amp;"đặc biệt là các âm cuối và chưa có nối âm.
Con chưa dùng được câu hoàn chỉnh nhiều. Cấu trúc các câu còn hạn chế.
Con có thể nắm được số từ 1-100.
Con thuộc tương đối bảng chữ cái nhưng khi cô yêu cầu con đánh vần thì con đánh vần còn chậm.
Con biết những"&amp;" từ cơ bản tuy nhiên vốn từ của con vẫn còn hạn chế các chủ đề về vị trí, thời gian, môn thể thao, ngày tháng,..
Con cần rèn luyện thêm về từ vựng và ngữ pháp với chương trình : GTPX Level 1")</f>
        <v>Phước Huy
Con ngoan hiền, lễ phép. Tập trung khi tham gia buổi test.
Tốc độ phản xạ: Chưa được nhanh
Con có thể nghe và trả lời những câu hỏi giao tiếp cơ bản về tên, tuổi, tuy nhiên lúc đầu con vẫn còn nhầm lẫn giữa các câu hỏi
Con phát âm chưa được rõ, đặc biệt là các âm cuối và chưa có nối âm.
Con chưa dùng được câu hoàn chỉnh nhiều. Cấu trúc các câu còn hạn chế.
Con có thể nắm được số từ 1-100.
Con thuộc tương đối bảng chữ cái nhưng khi cô yêu cầu con đánh vần thì con đánh vần còn chậm.
Con biết những từ cơ bản tuy nhiên vốn từ của con vẫn còn hạn chế các chủ đề về vị trí, thời gian, môn thể thao, ngày tháng,..
Con cần rèn luyện thêm về từ vựng và ngữ pháp với chương trình : GTPX Level 1</v>
      </c>
      <c r="Q22" s="383"/>
      <c r="R22" s="383"/>
      <c r="S22" s="383" t="str">
        <f>IFERROR(__xludf.DUMMYFUNCTION("""COMPUTED_VALUE"""),"19/6: đã nt hẹn lịch test kiểm tra cho bé vào lúc 20h thứ 3
21/6 đac trả kết quả test. bố chốt lớp 1-2, và cấn thảo luận với  bà xã")</f>
        <v>19/6: đã nt hẹn lịch test kiểm tra cho bé vào lúc 20h thứ 3
21/6 đac trả kết quả test. bố chốt lớp 1-2, và cấn thảo luận với  bà xã</v>
      </c>
      <c r="T22" s="383" t="str">
        <f>IFERROR(__xludf.DUMMYFUNCTION("""COMPUTED_VALUE"""),"đã chốt khóa học 1/2 học phí")</f>
        <v>đã chốt khóa học 1/2 học phí</v>
      </c>
      <c r="U22" s="552"/>
      <c r="V22" s="552">
        <f>IFERROR(__xludf.DUMMYFUNCTION("""COMPUTED_VALUE"""),45099.0)</f>
        <v>45099</v>
      </c>
      <c r="W22" s="554" t="str">
        <f>IFERROR(__xludf.DUMMYFUNCTION("""COMPUTED_VALUE"""),"GTPX")</f>
        <v>GTPX</v>
      </c>
      <c r="X22" s="501">
        <f>IFERROR(__xludf.DUMMYFUNCTION("""COMPUTED_VALUE"""),3062000.0)</f>
        <v>3062000</v>
      </c>
      <c r="Y22" s="501">
        <f>IFERROR(__xludf.DUMMYFUNCTION("""COMPUTED_VALUE"""),153100.0)</f>
        <v>153100</v>
      </c>
      <c r="Z22" s="501">
        <f>IFERROR(__xludf.DUMMYFUNCTION("""COMPUTED_VALUE"""),2908900.0)</f>
        <v>2908900</v>
      </c>
      <c r="AA22" s="501"/>
    </row>
    <row r="23" ht="57.75" customHeight="1">
      <c r="A23" s="552"/>
      <c r="B23" s="383" t="str">
        <f>IFERROR(__xludf.DUMMYFUNCTION("""COMPUTED_VALUE"""),"HV giới thiệu")</f>
        <v>HV giới thiệu</v>
      </c>
      <c r="C23" s="322" t="str">
        <f>IFERROR(__xludf.DUMMYFUNCTION("""COMPUTED_VALUE"""),"Hà Phước Việt")</f>
        <v>Hà Phước Việt</v>
      </c>
      <c r="D23" s="383" t="str">
        <f>IFERROR(__xludf.DUMMYFUNCTION("""COMPUTED_VALUE"""),"Hà Phước Huy")</f>
        <v>Hà Phước Huy</v>
      </c>
      <c r="E23" s="383"/>
      <c r="F23" s="554">
        <f>IFERROR(__xludf.DUMMYFUNCTION("""COMPUTED_VALUE"""),42350.0)</f>
        <v>42350</v>
      </c>
      <c r="G23" s="383">
        <f>IFERROR(__xludf.DUMMYFUNCTION("""COMPUTED_VALUE"""),3.0)</f>
        <v>3</v>
      </c>
      <c r="H23" s="383"/>
      <c r="I23" s="401" t="str">
        <f>IFERROR(__xludf.DUMMYFUNCTION("""COMPUTED_VALUE"""),"0902233520")</f>
        <v>0902233520</v>
      </c>
      <c r="J23" s="383"/>
      <c r="K23" s="383"/>
      <c r="L23" s="383" t="str">
        <f>IFERROR(__xludf.DUMMYFUNCTION("""COMPUTED_VALUE"""),"kb qua zalo trung tâm")</f>
        <v>kb qua zalo trung tâm</v>
      </c>
      <c r="M23" s="383" t="str">
        <f>IFERROR(__xludf.DUMMYFUNCTION("""COMPUTED_VALUE"""),"Ánh")</f>
        <v>Ánh</v>
      </c>
      <c r="N23" s="383" t="str">
        <f>IFERROR(__xludf.DUMMYFUNCTION("""COMPUTED_VALUE"""),"Đã đóng học phí")</f>
        <v>Đã đóng học phí</v>
      </c>
      <c r="O23" s="383" t="b">
        <f>IFERROR(__xludf.DUMMYFUNCTION("""COMPUTED_VALUE"""),TRUE)</f>
        <v>1</v>
      </c>
      <c r="P23" s="383" t="str">
        <f>IFERROR(__xludf.DUMMYFUNCTION("""COMPUTED_VALUE"""),"Phước Huy
Con ngoan hiền, lễ phép. Tập trung khi tham gia buổi test.
Tốc độ phản xạ: Chưa được nhanh
Con có thể nghe và trả lời những câu hỏi giao tiếp cơ bản về tên, tuổi, tuy nhiên lúc đầu con vẫn còn nhầm lẫn giữa các câu hỏi
Con phát âm chưa được rõ, "&amp;"đặc biệt là các âm cuối và chưa có nối âm.
Con chưa dùng được câu hoàn chỉnh nhiều. Cấu trúc các câu còn hạn chế.
Con có thể nắm được số từ 1-100.
Con thuộc tương đối bảng chữ cái nhưng khi cô yêu cầu con đánh vần thì con đánh vần còn chậm.
Con biết những"&amp;" từ cơ bản tuy nhiên vốn từ của con vẫn còn hạn chế các chủ đề về vị trí, thời gian, môn thể thao, ngày tháng,..
Con cần rèn luyện thêm về từ vựng và ngữ pháp với chương trình : GTPX Level 1")</f>
        <v>Phước Huy
Con ngoan hiền, lễ phép. Tập trung khi tham gia buổi test.
Tốc độ phản xạ: Chưa được nhanh
Con có thể nghe và trả lời những câu hỏi giao tiếp cơ bản về tên, tuổi, tuy nhiên lúc đầu con vẫn còn nhầm lẫn giữa các câu hỏi
Con phát âm chưa được rõ, đặc biệt là các âm cuối và chưa có nối âm.
Con chưa dùng được câu hoàn chỉnh nhiều. Cấu trúc các câu còn hạn chế.
Con có thể nắm được số từ 1-100.
Con thuộc tương đối bảng chữ cái nhưng khi cô yêu cầu con đánh vần thì con đánh vần còn chậm.
Con biết những từ cơ bản tuy nhiên vốn từ của con vẫn còn hạn chế các chủ đề về vị trí, thời gian, môn thể thao, ngày tháng,..
Con cần rèn luyện thêm về từ vựng và ngữ pháp với chương trình : GTPX Level 1</v>
      </c>
      <c r="Q23" s="383"/>
      <c r="R23" s="383"/>
      <c r="S23" s="383" t="str">
        <f>IFERROR(__xludf.DUMMYFUNCTION("""COMPUTED_VALUE"""),"19/6: đã nt hẹn lịch test kiểm tra cho bé vào lúc 20h thứ 3
21/6 đac trả kết quả test. bố chốt lớp 1-2, và cấn thảo luận với  bà xã")</f>
        <v>19/6: đã nt hẹn lịch test kiểm tra cho bé vào lúc 20h thứ 3
21/6 đac trả kết quả test. bố chốt lớp 1-2, và cấn thảo luận với  bà xã</v>
      </c>
      <c r="T23" s="383" t="str">
        <f>IFERROR(__xludf.DUMMYFUNCTION("""COMPUTED_VALUE"""),"đã chốt khóa học 1/2 học phí còn lại")</f>
        <v>đã chốt khóa học 1/2 học phí còn lại</v>
      </c>
      <c r="U23" s="552"/>
      <c r="V23" s="552">
        <f>IFERROR(__xludf.DUMMYFUNCTION("""COMPUTED_VALUE"""),45112.0)</f>
        <v>45112</v>
      </c>
      <c r="W23" s="554" t="str">
        <f>IFERROR(__xludf.DUMMYFUNCTION("""COMPUTED_VALUE"""),"GTPX")</f>
        <v>GTPX</v>
      </c>
      <c r="X23" s="501">
        <f>IFERROR(__xludf.DUMMYFUNCTION("""COMPUTED_VALUE"""),3062000.0)</f>
        <v>3062000</v>
      </c>
      <c r="Y23" s="501">
        <f>IFERROR(__xludf.DUMMYFUNCTION("""COMPUTED_VALUE"""),765500.0)</f>
        <v>765500</v>
      </c>
      <c r="Z23" s="501">
        <f>IFERROR(__xludf.DUMMYFUNCTION("""COMPUTED_VALUE"""),2296500.0)</f>
        <v>2296500</v>
      </c>
      <c r="AA23" s="501"/>
    </row>
    <row r="24" ht="57.75" customHeight="1">
      <c r="A24" s="552">
        <f>IFERROR(__xludf.DUMMYFUNCTION("""COMPUTED_VALUE"""),45096.0)</f>
        <v>45096</v>
      </c>
      <c r="B24" s="383" t="str">
        <f>IFERROR(__xludf.DUMMYFUNCTION("""COMPUTED_VALUE"""),"HV giới thiệu")</f>
        <v>HV giới thiệu</v>
      </c>
      <c r="C24" s="322" t="str">
        <f>IFERROR(__xludf.DUMMYFUNCTION("""COMPUTED_VALUE"""),"Mẹ tên Hoàng Minh (Mẹ Mai Khanh gth)")</f>
        <v>Mẹ tên Hoàng Minh (Mẹ Mai Khanh gth)</v>
      </c>
      <c r="D24" s="383" t="str">
        <f>IFERROR(__xludf.DUMMYFUNCTION("""COMPUTED_VALUE"""),"Nguyễn Lê Bảo Nguyên")</f>
        <v>Nguyễn Lê Bảo Nguyên</v>
      </c>
      <c r="E24" s="383"/>
      <c r="F24" s="554">
        <f>IFERROR(__xludf.DUMMYFUNCTION("""COMPUTED_VALUE"""),40909.0)</f>
        <v>40909</v>
      </c>
      <c r="G24" s="383">
        <f>IFERROR(__xludf.DUMMYFUNCTION("""COMPUTED_VALUE"""),6.0)</f>
        <v>6</v>
      </c>
      <c r="H24" s="383"/>
      <c r="I24" s="401" t="str">
        <f>IFERROR(__xludf.DUMMYFUNCTION("""COMPUTED_VALUE"""),"0888127879")</f>
        <v>0888127879</v>
      </c>
      <c r="J24" s="383"/>
      <c r="K24" s="383"/>
      <c r="L24" s="383"/>
      <c r="M24" s="383" t="str">
        <f>IFERROR(__xludf.DUMMYFUNCTION("""COMPUTED_VALUE"""),"Ánh")</f>
        <v>Ánh</v>
      </c>
      <c r="N24" s="383" t="str">
        <f>IFERROR(__xludf.DUMMYFUNCTION("""COMPUTED_VALUE"""),"Đã test")</f>
        <v>Đã test</v>
      </c>
      <c r="O24" s="383" t="b">
        <f>IFERROR(__xludf.DUMMYFUNCTION("""COMPUTED_VALUE"""),TRUE)</f>
        <v>1</v>
      </c>
      <c r="P24" s="383" t="str">
        <f>IFERROR(__xludf.DUMMYFUNCTION("""COMPUTED_VALUE"""),"Bảo Nguyên
Con ngoan hiền, lễ phép, khá tập trung cao khi tham gia buổi test.
Tốc độ phản xạ: Khá ổn
Con có thể nghe và trả lời những câu hỏi giao tiếp cơ bản và có thể nghe hiểu tốt các câu hỏi của cô.
Con dạn dĩ khi tương tác với cô
Con cần cải thiện ph"&amp;"át âm, đặc biệt là các âm cuối và nối âm
Con nắm được tốt bảng chữ cái. Tốc độ đánh vần khá nhanh.
Con có thể nắm được số từ 1-10 000. Con nắm được số thứ tự.
Con có những vốn từ cơ bản về các chủ đề: con vật, đồ vật vị trí,...
Con cần rèn luyện thêm về t"&amp;"ừ vựng và ngữ pháp với chương trình GTPX Level: UP 3")</f>
        <v>Bảo Nguyên
Con ngoan hiền, lễ phép, khá tập trung cao khi tham gia buổi test.
Tốc độ phản xạ: Khá ổn
Con có thể nghe và trả lời những câu hỏi giao tiếp cơ bản và có thể nghe hiểu tốt các câu hỏi của cô.
Con dạn dĩ khi tương tác với cô
Con cần cải thiện phát âm, đặc biệt là các âm cuối và nối âm
Con nắm được tốt bảng chữ cái. Tốc độ đánh vần khá nhanh.
Con có thể nắm được số từ 1-10 000. Con nắm được số thứ tự.
Con có những vốn từ cơ bản về các chủ đề: con vật, đồ vật vị trí,...
Con cần rèn luyện thêm về từ vựng và ngữ pháp với chương trình GTPX Level: UP 3</v>
      </c>
      <c r="Q24" s="383"/>
      <c r="R24" s="383"/>
      <c r="S24" s="383" t="str">
        <f>IFERROR(__xludf.DUMMYFUNCTION("""COMPUTED_VALUE"""),"19/6: đã liên lạc, kb zalo chia sẻ lớp GTPX, xếp lịch test chiều 15h thứ 2. 20/6 đã trả kq test, mẹ cân nhắc
21/6: gọi điện nhưng mẹ bận không nghe máy
30/6: liên lạc lại hiện tại bạn đâng nghỉ hè đi chơi sau 20/7 về đăng kí học
")</f>
        <v>19/6: đã liên lạc, kb zalo chia sẻ lớp GTPX, xếp lịch test chiều 15h thứ 2. 20/6 đã trả kq test, mẹ cân nhắc
21/6: gọi điện nhưng mẹ bận không nghe máy
30/6: liên lạc lại hiện tại bạn đâng nghỉ hè đi chơi sau 20/7 về đăng kí học
</v>
      </c>
      <c r="T24" s="383" t="str">
        <f>IFERROR(__xludf.DUMMYFUNCTION("""COMPUTED_VALUE"""),"chăm sóc tiếp")</f>
        <v>chăm sóc tiếp</v>
      </c>
      <c r="U24" s="552">
        <f>IFERROR(__xludf.DUMMYFUNCTION("""COMPUTED_VALUE"""),45127.0)</f>
        <v>45127</v>
      </c>
      <c r="V24" s="552"/>
      <c r="W24" s="383"/>
      <c r="X24" s="501"/>
      <c r="Y24" s="501"/>
      <c r="Z24" s="501"/>
      <c r="AA24" s="501"/>
    </row>
    <row r="25" ht="57.75" customHeight="1">
      <c r="A25" s="552">
        <f>IFERROR(__xludf.DUMMYFUNCTION("""COMPUTED_VALUE"""),45096.0)</f>
        <v>45096</v>
      </c>
      <c r="B25" s="383" t="str">
        <f>IFERROR(__xludf.DUMMYFUNCTION("""COMPUTED_VALUE"""),"HV giới thiệu")</f>
        <v>HV giới thiệu</v>
      </c>
      <c r="C25" s="322" t="str">
        <f>IFERROR(__xludf.DUMMYFUNCTION("""COMPUTED_VALUE"""),"Mẹ tên Hoàng Minh (Mẹ Mai Khanh gth)")</f>
        <v>Mẹ tên Hoàng Minh (Mẹ Mai Khanh gth)</v>
      </c>
      <c r="D25" s="383" t="str">
        <f>IFERROR(__xludf.DUMMYFUNCTION("""COMPUTED_VALUE"""),"bảo Anh")</f>
        <v>bảo Anh</v>
      </c>
      <c r="E25" s="383"/>
      <c r="F25" s="554">
        <f>IFERROR(__xludf.DUMMYFUNCTION("""COMPUTED_VALUE"""),42621.0)</f>
        <v>42621</v>
      </c>
      <c r="G25" s="383"/>
      <c r="H25" s="383"/>
      <c r="I25" s="401"/>
      <c r="J25" s="383"/>
      <c r="K25" s="383"/>
      <c r="L25" s="383"/>
      <c r="M25" s="383" t="str">
        <f>IFERROR(__xludf.DUMMYFUNCTION("""COMPUTED_VALUE"""),"Ánh")</f>
        <v>Ánh</v>
      </c>
      <c r="N25" s="383" t="str">
        <f>IFERROR(__xludf.DUMMYFUNCTION("""COMPUTED_VALUE"""),"Đã test")</f>
        <v>Đã test</v>
      </c>
      <c r="O25" s="383" t="b">
        <f>IFERROR(__xludf.DUMMYFUNCTION("""COMPUTED_VALUE"""),TRUE)</f>
        <v>1</v>
      </c>
      <c r="P25" s="383" t="str">
        <f>IFERROR(__xludf.DUMMYFUNCTION("""COMPUTED_VALUE"""),"Con nắm được một số kiến thức cơ bản như màu, số đếm đến 10, đồ dùng, động vật. Bạn có ý thức phát âm âm cuối và giọng khá hay. Con chưa dùng được câu. Con học từ level Starter.  ")</f>
        <v>Con nắm được một số kiến thức cơ bản như màu, số đếm đến 10, đồ dùng, động vật. Bạn có ý thức phát âm âm cuối và giọng khá hay. Con chưa dùng được câu. Con học từ level Starter.  </v>
      </c>
      <c r="Q25" s="383"/>
      <c r="R25" s="383"/>
      <c r="S25" s="383" t="str">
        <f>IFERROR(__xludf.DUMMYFUNCTION("""COMPUTED_VALUE"""),"19/6: gọi điện, kb zalo, hẹn lịch test nhưng bé ốm hẹn sang hôm khác test
21/6: nhắn tin hỏi thăm nhưng chưa phản hồi. 23/6 gọi knm
30/6: đã gọi và xếp lịch test vào chiều thứ 6 15h30")</f>
        <v>19/6: gọi điện, kb zalo, hẹn lịch test nhưng bé ốm hẹn sang hôm khác test
21/6: nhắn tin hỏi thăm nhưng chưa phản hồi. 23/6 gọi knm
30/6: đã gọi và xếp lịch test vào chiều thứ 6 15h30</v>
      </c>
      <c r="T25" s="383" t="str">
        <f>IFERROR(__xludf.DUMMYFUNCTION("""COMPUTED_VALUE"""),"1/7: trả kq test")</f>
        <v>1/7: trả kq test</v>
      </c>
      <c r="U25" s="552">
        <f>IFERROR(__xludf.DUMMYFUNCTION("""COMPUTED_VALUE"""),45127.0)</f>
        <v>45127</v>
      </c>
      <c r="V25" s="552"/>
      <c r="W25" s="383"/>
      <c r="X25" s="501"/>
      <c r="Y25" s="501"/>
      <c r="Z25" s="501"/>
      <c r="AA25" s="501"/>
    </row>
    <row r="26" ht="57.75" customHeight="1">
      <c r="A26" s="552">
        <f>IFERROR(__xludf.DUMMYFUNCTION("""COMPUTED_VALUE"""),45097.0)</f>
        <v>45097</v>
      </c>
      <c r="B26" s="383" t="str">
        <f>IFERROR(__xludf.DUMMYFUNCTION("""COMPUTED_VALUE"""),"HV giới thiệu")</f>
        <v>HV giới thiệu</v>
      </c>
      <c r="C26" s="322" t="str">
        <f>IFERROR(__xludf.DUMMYFUNCTION("""COMPUTED_VALUE"""),"Chị Thủy (ko thuộc Lan tỏa Key Means")</f>
        <v>Chị Thủy (ko thuộc Lan tỏa Key Means</v>
      </c>
      <c r="D26" s="383" t="str">
        <f>IFERROR(__xludf.DUMMYFUNCTION("""COMPUTED_VALUE"""),"Cao Trí Dũng")</f>
        <v>Cao Trí Dũng</v>
      </c>
      <c r="E26" s="383"/>
      <c r="F26" s="383">
        <f>IFERROR(__xludf.DUMMYFUNCTION("""COMPUTED_VALUE"""),2016.0)</f>
        <v>2016</v>
      </c>
      <c r="G26" s="383"/>
      <c r="H26" s="383"/>
      <c r="I26" s="401" t="str">
        <f>IFERROR(__xludf.DUMMYFUNCTION("""COMPUTED_VALUE"""),"0932484598")</f>
        <v>0932484598</v>
      </c>
      <c r="J26" s="383"/>
      <c r="K26" s="383"/>
      <c r="L26" s="383" t="str">
        <f>IFERROR(__xludf.DUMMYFUNCTION("""COMPUTED_VALUE"""),"data phụ huynh giới thiệu")</f>
        <v>data phụ huynh giới thiệu</v>
      </c>
      <c r="M26" s="383" t="str">
        <f>IFERROR(__xludf.DUMMYFUNCTION("""COMPUTED_VALUE"""),"Ánh")</f>
        <v>Ánh</v>
      </c>
      <c r="N26" s="383" t="str">
        <f>IFERROR(__xludf.DUMMYFUNCTION("""COMPUTED_VALUE"""),"Đã đóng học phí")</f>
        <v>Đã đóng học phí</v>
      </c>
      <c r="O26" s="383" t="b">
        <f>IFERROR(__xludf.DUMMYFUNCTION("""COMPUTED_VALUE"""),TRUE)</f>
        <v>1</v>
      </c>
      <c r="P26" s="383"/>
      <c r="Q26" s="383"/>
      <c r="R26" s="383"/>
      <c r="S26" s="383" t="str">
        <f>IFERROR(__xludf.DUMMYFUNCTION("""COMPUTED_VALUE"""),"20/6: gọi điện thoại hẹn lịch test vào chiều 16h t3 ngày 20/6
21/6: đã trả kq test. mẹ chốt lớp 1-2, hẹn 21/6 ck")</f>
        <v>20/6: gọi điện thoại hẹn lịch test vào chiều 16h t3 ngày 20/6
21/6: đã trả kq test. mẹ chốt lớp 1-2, hẹn 21/6 ck</v>
      </c>
      <c r="T26" s="383" t="str">
        <f>IFERROR(__xludf.DUMMYFUNCTION("""COMPUTED_VALUE"""),"chốt khóa học")</f>
        <v>chốt khóa học</v>
      </c>
      <c r="U26" s="552"/>
      <c r="V26" s="552">
        <f>IFERROR(__xludf.DUMMYFUNCTION("""COMPUTED_VALUE"""),45098.0)</f>
        <v>45098</v>
      </c>
      <c r="W26" s="554" t="str">
        <f>IFERROR(__xludf.DUMMYFUNCTION("""COMPUTED_VALUE"""),"GTPX 1-2")</f>
        <v>GTPX 1-2</v>
      </c>
      <c r="X26" s="501">
        <f>IFERROR(__xludf.DUMMYFUNCTION("""COMPUTED_VALUE"""),3062000.0)</f>
        <v>3062000</v>
      </c>
      <c r="Y26" s="501">
        <f>IFERROR(__xludf.DUMMYFUNCTION("""COMPUTED_VALUE"""),153100.0)</f>
        <v>153100</v>
      </c>
      <c r="Z26" s="501">
        <f>IFERROR(__xludf.DUMMYFUNCTION("""COMPUTED_VALUE"""),2908900.0)</f>
        <v>2908900</v>
      </c>
      <c r="AA26" s="501"/>
    </row>
    <row r="27" ht="57.75" customHeight="1">
      <c r="A27" s="552">
        <f>IFERROR(__xludf.DUMMYFUNCTION("""COMPUTED_VALUE"""),45097.0)</f>
        <v>45097</v>
      </c>
      <c r="B27" s="383" t="str">
        <f>IFERROR(__xludf.DUMMYFUNCTION("""COMPUTED_VALUE"""),"HV giới thiệu")</f>
        <v>HV giới thiệu</v>
      </c>
      <c r="C27" s="322" t="str">
        <f>IFERROR(__xludf.DUMMYFUNCTION("""COMPUTED_VALUE"""),"Mẹ Quý (Mẹ Gia Hân Vui 08 giới thiệu)")</f>
        <v>Mẹ Quý (Mẹ Gia Hân Vui 08 giới thiệu)</v>
      </c>
      <c r="D27" s="383" t="str">
        <f>IFERROR(__xludf.DUMMYFUNCTION("""COMPUTED_VALUE"""),"Hân")</f>
        <v>Hân</v>
      </c>
      <c r="E27" s="383"/>
      <c r="F27" s="383">
        <f>IFERROR(__xludf.DUMMYFUNCTION("""COMPUTED_VALUE"""),2010.0)</f>
        <v>2010</v>
      </c>
      <c r="G27" s="383">
        <f>IFERROR(__xludf.DUMMYFUNCTION("""COMPUTED_VALUE"""),8.0)</f>
        <v>8</v>
      </c>
      <c r="H27" s="383"/>
      <c r="I27" s="401" t="str">
        <f>IFERROR(__xludf.DUMMYFUNCTION("""COMPUTED_VALUE"""),"0905200178")</f>
        <v>0905200178</v>
      </c>
      <c r="J27" s="383"/>
      <c r="K27" s="383"/>
      <c r="L27" s="383"/>
      <c r="M27" s="383" t="str">
        <f>IFERROR(__xludf.DUMMYFUNCTION("""COMPUTED_VALUE"""),"Linh")</f>
        <v>Linh</v>
      </c>
      <c r="N27" s="383" t="str">
        <f>IFERROR(__xludf.DUMMYFUNCTION("""COMPUTED_VALUE"""),"Đã đóng học phí")</f>
        <v>Đã đóng học phí</v>
      </c>
      <c r="O27" s="383" t="b">
        <f>IFERROR(__xludf.DUMMYFUNCTION("""COMPUTED_VALUE"""),TRUE)</f>
        <v>1</v>
      </c>
      <c r="P27" s="383" t="str">
        <f>IFERROR(__xludf.DUMMYFUNCTION("""COMPUTED_VALUE"""),"Ngọc Hân - 12t
Con ngoan hiền, lễ phép.
 Tập trung khi tham gia test.
Tốc độ phản xạ: Chưa nhanh
Con có thể nghe và trả lời những câu hỏi giao tiếp cơ bản. Tuy nhiên vốn từ con hạn chế nên con chưa giao tiếp được nhiều, chưa mở rộng được chủ đề khi giao t"&amp;"iếp.
Con cần cải thiện phát âm, về cả độ chính xác, ngữ điệu, lưu loát và đặc biệt là các âm cuối, nối âm.
Con nắm được bảng chữ cái. Tốc độ đánh vần khá nhanh, vẫn còn nhầm chữ J và G.
Con có thể nắm được số từ 1-10 000. Tuy nhiên con vẫn còn nhầm lẫn mộ"&amp;"t chút giữa chữ số hàng trăm và hàng nghìn, chưa nói số được nhanh.
Con chưa nắm được số thứ tự.
Con có những vốn từ cơ bản về các chủ đề: con vật, đồ vật vị trí, so sánh, thời tiết.
Con có thể trả lời các câu hỏi đọc hiểu nhưng con chưa áp dụng được ngữ "&amp;"pháp khi trả lời.
Con nắm được khái niệm một số thì trong tiếng Anh nhưng chưa áp dụng. 
Con cần rèn luyện thêm về từ vựng và ngữ pháp với chương trình Vườn Ươm IELTS level 1.")</f>
        <v>Ngọc Hân - 12t
Con ngoan hiền, lễ phép.
 Tập trung khi tham gia test.
Tốc độ phản xạ: Chưa nhanh
Con có thể nghe và trả lời những câu hỏi giao tiếp cơ bản. Tuy nhiên vốn từ con hạn chế nên con chưa giao tiếp được nhiều, chưa mở rộng được chủ đề khi giao tiếp.
Con cần cải thiện phát âm, về cả độ chính xác, ngữ điệu, lưu loát và đặc biệt là các âm cuối, nối âm.
Con nắm được bảng chữ cái. Tốc độ đánh vần khá nhanh, vẫn còn nhầm chữ J và G.
Con có thể nắm được số từ 1-10 000. Tuy nhiên con vẫn còn nhầm lẫn một chút giữa chữ số hàng trăm và hàng nghìn, chưa nói số được nhanh.
Con chưa nắm được số thứ tự.
Con có những vốn từ cơ bản về các chủ đề: con vật, đồ vật vị trí, so sánh, thời tiết.
Con có thể trả lời các câu hỏi đọc hiểu nhưng con chưa áp dụng được ngữ pháp khi trả lời.
Con nắm được khái niệm một số thì trong tiếng Anh nhưng chưa áp dụng. 
Con cần rèn luyện thêm về từ vựng và ngữ pháp với chương trình Vườn Ươm IELTS level 1.</v>
      </c>
      <c r="Q27" s="383"/>
      <c r="R27" s="383"/>
      <c r="S27" s="383" t="str">
        <f>IFERROR(__xludf.DUMMYFUNCTION("""COMPUTED_VALUE"""),"20/6: Đã gọi mẹ và hẹn test vào 9h-9h30 ngày 21/6
21/6: Đã test
21/6: đã chốt khoá học")</f>
        <v>20/6: Đã gọi mẹ và hẹn test vào 9h-9h30 ngày 21/6
21/6: Đã test
21/6: đã chốt khoá học</v>
      </c>
      <c r="T27" s="383" t="str">
        <f>IFERROR(__xludf.DUMMYFUNCTION("""COMPUTED_VALUE"""),"Chốt khoá học ")</f>
        <v>Chốt khoá học </v>
      </c>
      <c r="U27" s="552"/>
      <c r="V27" s="552">
        <f>IFERROR(__xludf.DUMMYFUNCTION("""COMPUTED_VALUE"""),45098.0)</f>
        <v>45098</v>
      </c>
      <c r="W27" s="554" t="str">
        <f>IFERROR(__xludf.DUMMYFUNCTION("""COMPUTED_VALUE"""),"GTPX UP3 1-2")</f>
        <v>GTPX UP3 1-2</v>
      </c>
      <c r="X27" s="501">
        <f>IFERROR(__xludf.DUMMYFUNCTION("""COMPUTED_VALUE"""),6124000.0)</f>
        <v>6124000</v>
      </c>
      <c r="Y27" s="501">
        <f>IFERROR(__xludf.DUMMYFUNCTION("""COMPUTED_VALUE"""),918600.0)</f>
        <v>918600</v>
      </c>
      <c r="Z27" s="501">
        <f>IFERROR(__xludf.DUMMYFUNCTION("""COMPUTED_VALUE"""),5205400.0)</f>
        <v>5205400</v>
      </c>
      <c r="AA27" s="501"/>
    </row>
    <row r="28" ht="57.75" customHeight="1">
      <c r="A28" s="552">
        <f>IFERROR(__xludf.DUMMYFUNCTION("""COMPUTED_VALUE"""),45094.0)</f>
        <v>45094</v>
      </c>
      <c r="B28" s="383" t="str">
        <f>IFERROR(__xludf.DUMMYFUNCTION("""COMPUTED_VALUE"""),"HV giới thiệu")</f>
        <v>HV giới thiệu</v>
      </c>
      <c r="C28" s="322" t="str">
        <f>IFERROR(__xludf.DUMMYFUNCTION("""COMPUTED_VALUE"""),"My Trinh Tran")</f>
        <v>My Trinh Tran</v>
      </c>
      <c r="D28" s="383" t="str">
        <f>IFERROR(__xludf.DUMMYFUNCTION("""COMPUTED_VALUE"""),"Khánh An")</f>
        <v>Khánh An</v>
      </c>
      <c r="E28" s="383"/>
      <c r="F28" s="383" t="str">
        <f>IFERROR(__xludf.DUMMYFUNCTION("""COMPUTED_VALUE"""),"lớp 7")</f>
        <v>lớp 7</v>
      </c>
      <c r="G28" s="383">
        <f>IFERROR(__xludf.DUMMYFUNCTION("""COMPUTED_VALUE"""),7.0)</f>
        <v>7</v>
      </c>
      <c r="H28" s="383"/>
      <c r="I28" s="401" t="str">
        <f>IFERROR(__xludf.DUMMYFUNCTION("""COMPUTED_VALUE"""),"0984345798")</f>
        <v>0984345798</v>
      </c>
      <c r="J28" s="383"/>
      <c r="K28" s="383"/>
      <c r="L28" s="383"/>
      <c r="M28" s="383" t="str">
        <f>IFERROR(__xludf.DUMMYFUNCTION("""COMPUTED_VALUE"""),"Ánh")</f>
        <v>Ánh</v>
      </c>
      <c r="N28" s="383" t="str">
        <f>IFERROR(__xludf.DUMMYFUNCTION("""COMPUTED_VALUE"""),"Từ chối")</f>
        <v>Từ chối</v>
      </c>
      <c r="O28" s="383" t="b">
        <f>IFERROR(__xludf.DUMMYFUNCTION("""COMPUTED_VALUE"""),TRUE)</f>
        <v>1</v>
      </c>
      <c r="P28" s="383" t="str">
        <f>IFERROR(__xludf.DUMMYFUNCTION("""COMPUTED_VALUE"""),"Khánh An
Con ngoan hiền, lễ phép.
Vì camera của con bị hư nên cô chưa kiểm tra được độ tập trung của con
Tốc độ phản xạ: Khá ổn
Con có thể nghe và trả lời những câu hỏi giao tiếp cơ bản và có thể nghe hiểu tốt các câu hỏi của cô.
Con cần cải thiện phát âm"&amp;", đặc biệt là các âm cuối và nối âm.
Con nắm được tốt bảng chữ cái. Tốc độ đánh vần khá nhanh.
Con có thể nắm được số từ 1-10 000. Tuy nhiên con vẫn còn nhầm lẫn một chút giữa chữ số hàng trăm và hàng nghìn.
Con nắm được số thứ tự
Con có những vốn từ cơ b"&amp;"ản về các chủ đề: con vật, đồ vật vị trí, so sánh, thời tiết.
Con có thể trả lời các câu hỏi đọc hiểu nhưng con chưa áp dụng được ngữ pháp khi trả lời.
Con cần rèn luyện thêm về từ vựng và ngữ pháp với chương trình GTPX Level: UP 3")</f>
        <v>Khánh An
Con ngoan hiền, lễ phép.
Vì camera của con bị hư nên cô chưa kiểm tra được độ tập trung của con
Tốc độ phản xạ: Khá ổn
Con có thể nghe và trả lời những câu hỏi giao tiếp cơ bản và có thể nghe hiểu tốt các câu hỏi của cô.
Con cần cải thiện phát âm, đặc biệt là các âm cuối và nối âm.
Con nắm được tốt bảng chữ cái. Tốc độ đánh vần khá nhanh.
Con có thể nắm được số từ 1-10 000. Tuy nhiên con vẫn còn nhầm lẫn một chút giữa chữ số hàng trăm và hàng nghìn.
Con nắm được số thứ tự
Con có những vốn từ cơ bản về các chủ đề: con vật, đồ vật vị trí, so sánh, thời tiết.
Con có thể trả lời các câu hỏi đọc hiểu nhưng con chưa áp dụng được ngữ pháp khi trả lời.
Con cần rèn luyện thêm về từ vựng và ngữ pháp với chương trình GTPX Level: UP 3</v>
      </c>
      <c r="Q28" s="383"/>
      <c r="R28" s="383"/>
      <c r="S28" s="383" t="str">
        <f>IFERROR(__xludf.DUMMYFUNCTION("""COMPUTED_VALUE"""),"18/6: gọi điện, kb zalo, hẹn lịch test 9h30 t3 ngày 20/6
21/6: đã trả kq test. mẹ cân nhắc về học phí sẽ liên lạc lại. 23/6 gọi kéo chăm sóc tiếp. mẹ cân nhắc ")</f>
        <v>18/6: gọi điện, kb zalo, hẹn lịch test 9h30 t3 ngày 20/6
21/6: đã trả kq test. mẹ cân nhắc về học phí sẽ liên lạc lại. 23/6 gọi kéo chăm sóc tiếp. mẹ cân nhắc </v>
      </c>
      <c r="T28" s="383" t="str">
        <f>IFERROR(__xludf.DUMMYFUNCTION("""COMPUTED_VALUE"""),"dừng chăm sóc")</f>
        <v>dừng chăm sóc</v>
      </c>
      <c r="U28" s="552"/>
      <c r="V28" s="552"/>
      <c r="W28" s="383"/>
      <c r="X28" s="501"/>
      <c r="Y28" s="501"/>
      <c r="Z28" s="501"/>
      <c r="AA28" s="501"/>
    </row>
    <row r="29" ht="57.75" customHeight="1">
      <c r="A29" s="552">
        <f>IFERROR(__xludf.DUMMYFUNCTION("""COMPUTED_VALUE"""),45084.0)</f>
        <v>45084</v>
      </c>
      <c r="B29" s="383" t="str">
        <f>IFERROR(__xludf.DUMMYFUNCTION("""COMPUTED_VALUE"""),"HV giới thiệu")</f>
        <v>HV giới thiệu</v>
      </c>
      <c r="C29" s="322" t="str">
        <f>IFERROR(__xludf.DUMMYFUNCTION("""COMPUTED_VALUE"""),"Phuynh Tien 600 Giường
Zalo: Truc Uyen Le")</f>
        <v>Phuynh Tien 600 Giường
Zalo: Truc Uyen Le</v>
      </c>
      <c r="D29" s="383"/>
      <c r="E29" s="383"/>
      <c r="F29" s="383" t="str">
        <f>IFERROR(__xludf.DUMMYFUNCTION("""COMPUTED_VALUE"""),"lớp 4")</f>
        <v>lớp 4</v>
      </c>
      <c r="G29" s="383"/>
      <c r="H29" s="383"/>
      <c r="I29" s="401" t="str">
        <f>IFERROR(__xludf.DUMMYFUNCTION("""COMPUTED_VALUE"""),"094 637 57 78")</f>
        <v>094 637 57 78</v>
      </c>
      <c r="J29" s="383"/>
      <c r="K29" s="383"/>
      <c r="L29" s="383"/>
      <c r="M29" s="383" t="str">
        <f>IFERROR(__xludf.DUMMYFUNCTION("""COMPUTED_VALUE"""),"Ánh")</f>
        <v>Ánh</v>
      </c>
      <c r="N29" s="383" t="str">
        <f>IFERROR(__xludf.DUMMYFUNCTION("""COMPUTED_VALUE"""),"Từ chối")</f>
        <v>Từ chối</v>
      </c>
      <c r="O29" s="383" t="b">
        <f>IFERROR(__xludf.DUMMYFUNCTION("""COMPUTED_VALUE"""),FALSE)</f>
        <v>0</v>
      </c>
      <c r="P29" s="383"/>
      <c r="Q29" s="383"/>
      <c r="R29" s="383"/>
      <c r="S29" s="383" t="str">
        <f>IFERROR(__xludf.DUMMYFUNCTION("""COMPUTED_VALUE"""),"21/6: gọi dt chia sẻ khóa học nhưng mẹ bỏ bé không thích học trung tâm. me cần về thương thảo lại với con. kb zalo gửi thông tin
30/6: gọi lai con ko thích học ")</f>
        <v>21/6: gọi dt chia sẻ khóa học nhưng mẹ bỏ bé không thích học trung tâm. me cần về thương thảo lại với con. kb zalo gửi thông tin
30/6: gọi lai con ko thích học </v>
      </c>
      <c r="T29" s="383"/>
      <c r="U29" s="552"/>
      <c r="V29" s="552"/>
      <c r="W29" s="383"/>
      <c r="X29" s="501"/>
      <c r="Y29" s="501"/>
      <c r="Z29" s="501"/>
      <c r="AA29" s="501"/>
    </row>
    <row r="30" ht="57.75" customHeight="1">
      <c r="A30" s="552">
        <f>IFERROR(__xludf.DUMMYFUNCTION("""COMPUTED_VALUE"""),45097.0)</f>
        <v>45097</v>
      </c>
      <c r="B30" s="383" t="str">
        <f>IFERROR(__xludf.DUMMYFUNCTION("""COMPUTED_VALUE"""),"HV giới thiệu")</f>
        <v>HV giới thiệu</v>
      </c>
      <c r="C30" s="322" t="str">
        <f>IFERROR(__xludf.DUMMYFUNCTION("""COMPUTED_VALUE"""),"Phương Lý")</f>
        <v>Phương Lý</v>
      </c>
      <c r="D30" s="383" t="str">
        <f>IFERROR(__xludf.DUMMYFUNCTION("""COMPUTED_VALUE"""),"Hà Tiên")</f>
        <v>Hà Tiên</v>
      </c>
      <c r="E30" s="383"/>
      <c r="F30" s="383"/>
      <c r="G30" s="383" t="str">
        <f>IFERROR(__xludf.DUMMYFUNCTION("""COMPUTED_VALUE"""),"Lớp 7")</f>
        <v>Lớp 7</v>
      </c>
      <c r="H30" s="383"/>
      <c r="I30" s="401" t="str">
        <f>IFERROR(__xludf.DUMMYFUNCTION("""COMPUTED_VALUE"""),"934870060")</f>
        <v>934870060</v>
      </c>
      <c r="J30" s="383"/>
      <c r="K30" s="383"/>
      <c r="L30" s="383" t="str">
        <f>IFERROR(__xludf.DUMMYFUNCTION("""COMPUTED_VALUE"""),"Học yếu, yêu cầu test vỡ lòng")</f>
        <v>Học yếu, yêu cầu test vỡ lòng</v>
      </c>
      <c r="M30" s="383" t="str">
        <f>IFERROR(__xludf.DUMMYFUNCTION("""COMPUTED_VALUE"""),"Linh")</f>
        <v>Linh</v>
      </c>
      <c r="N30" s="383" t="str">
        <f>IFERROR(__xludf.DUMMYFUNCTION("""COMPUTED_VALUE"""),"Từ chối")</f>
        <v>Từ chối</v>
      </c>
      <c r="O30" s="383" t="b">
        <f>IFERROR(__xludf.DUMMYFUNCTION("""COMPUTED_VALUE"""),TRUE)</f>
        <v>1</v>
      </c>
      <c r="P30" s="383" t="str">
        <f>IFERROR(__xludf.DUMMYFUNCTION("""COMPUTED_VALUE"""),"Con ngoan hiền, lễ phép. 
Tốc độ phản xạ: Chưa nhanh. Con không có vốn từ vựng nên chưa hiểu được câu hỏi của cô.
Con mới chỉ trả lời được câu hỏi của cô về tên nhưng con chưa trả lời được những câu hỏi thông tin cá nhân khác của cô.
Con nói chưa được nhi"&amp;"ều và vẫn còn phải điều chỉnh nhiều về mặt phát âm
Con chưa dùng được câu hoàn chỉnh.
Con có thể nắm được số từ 1-25. 
Con chưa nắm được bảng chữ cái và chưa đánh vần được.
Con có những vốn từ hạn chế về các chủ đề: con vật, đồ vật, thể thao...
Con cần rè"&amp;"n luyện thêm về từ vựng và ngữ pháp với chương trình : GTPX Level 1")</f>
        <v>Con ngoan hiền, lễ phép. 
Tốc độ phản xạ: Chưa nhanh. Con không có vốn từ vựng nên chưa hiểu được câu hỏi của cô.
Con mới chỉ trả lời được câu hỏi của cô về tên nhưng con chưa trả lời được những câu hỏi thông tin cá nhân khác của cô.
Con nói chưa được nhiều và vẫn còn phải điều chỉnh nhiều về mặt phát âm
Con chưa dùng được câu hoàn chỉnh.
Con có thể nắm được số từ 1-25. 
Con chưa nắm được bảng chữ cái và chưa đánh vần được.
Con có những vốn từ hạn chế về các chủ đề: con vật, đồ vật, thể thao...
Con cần rèn luyện thêm về từ vựng và ngữ pháp với chương trình : GTPX Level 1</v>
      </c>
      <c r="Q30" s="383"/>
      <c r="R30" s="383"/>
      <c r="S30" s="383" t="str">
        <f>IFERROR(__xludf.DUMMYFUNCTION("""COMPUTED_VALUE"""),"21/6: Set lịch test lúc 11h
21/6: Đã test, và tư vấn học kèm 1-1
22/6: Phụ huynh cho bé học ngoài vì bé quá yếu")</f>
        <v>21/6: Set lịch test lúc 11h
21/6: Đã test, và tư vấn học kèm 1-1
22/6: Phụ huynh cho bé học ngoài vì bé quá yếu</v>
      </c>
      <c r="T30" s="383" t="str">
        <f>IFERROR(__xludf.DUMMYFUNCTION("""COMPUTED_VALUE"""),"Ngừng chăm sóc")</f>
        <v>Ngừng chăm sóc</v>
      </c>
      <c r="U30" s="552"/>
      <c r="V30" s="552"/>
      <c r="W30" s="383"/>
      <c r="X30" s="501"/>
      <c r="Y30" s="501"/>
      <c r="Z30" s="501"/>
      <c r="AA30" s="501"/>
    </row>
    <row r="31" ht="57.75" customHeight="1">
      <c r="A31" s="552">
        <f>IFERROR(__xludf.DUMMYFUNCTION("""COMPUTED_VALUE"""),45097.0)</f>
        <v>45097</v>
      </c>
      <c r="B31" s="383" t="str">
        <f>IFERROR(__xludf.DUMMYFUNCTION("""COMPUTED_VALUE"""),"HV giới thiệu")</f>
        <v>HV giới thiệu</v>
      </c>
      <c r="C31" s="322" t="str">
        <f>IFERROR(__xludf.DUMMYFUNCTION("""COMPUTED_VALUE"""),"Phương Lý")</f>
        <v>Phương Lý</v>
      </c>
      <c r="D31" s="383" t="str">
        <f>IFERROR(__xludf.DUMMYFUNCTION("""COMPUTED_VALUE"""),"Đinh Viết Hoàng Nam")</f>
        <v>Đinh Viết Hoàng Nam</v>
      </c>
      <c r="E31" s="383"/>
      <c r="F31" s="554">
        <f>IFERROR(__xludf.DUMMYFUNCTION("""COMPUTED_VALUE"""),40395.0)</f>
        <v>40395</v>
      </c>
      <c r="G31" s="383" t="str">
        <f>IFERROR(__xludf.DUMMYFUNCTION("""COMPUTED_VALUE"""),"Sắp lên lớp 8")</f>
        <v>Sắp lên lớp 8</v>
      </c>
      <c r="H31" s="383"/>
      <c r="I31" s="401" t="str">
        <f>IFERROR(__xludf.DUMMYFUNCTION("""COMPUTED_VALUE"""),"934870060")</f>
        <v>934870060</v>
      </c>
      <c r="J31" s="383"/>
      <c r="K31" s="383"/>
      <c r="L31" s="383" t="str">
        <f>IFERROR(__xludf.DUMMYFUNCTION("""COMPUTED_VALUE"""),"Học khá")</f>
        <v>Học khá</v>
      </c>
      <c r="M31" s="383" t="str">
        <f>IFERROR(__xludf.DUMMYFUNCTION("""COMPUTED_VALUE"""),"Linh")</f>
        <v>Linh</v>
      </c>
      <c r="N31" s="383" t="str">
        <f>IFERROR(__xludf.DUMMYFUNCTION("""COMPUTED_VALUE"""),"Đã đóng học phí")</f>
        <v>Đã đóng học phí</v>
      </c>
      <c r="O31" s="383" t="b">
        <f>IFERROR(__xludf.DUMMYFUNCTION("""COMPUTED_VALUE"""),TRUE)</f>
        <v>1</v>
      </c>
      <c r="P31" s="383" t="str">
        <f>IFERROR(__xludf.DUMMYFUNCTION("""COMPUTED_VALUE"""),"Con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c"&amp;"âu hoàn chỉnh nhiều. Cấu trúc các câu còn hạn chế.
Con có thể nắm được số từ 1-10 000.
Con còn nhầm lẫn cách đọc của số 13
Con thuộc bảng chữ cái. Đánh vần với tốc độ vừa phải.
Con có những vốn từ chưa nhiều về các chủ đề: con vật, đồ vật, thể thao...
Con"&amp;" chưa sử dụng được ngữ pháp khi nói. 
Con cần rèn luyện thêm về từ vựng và ngữ pháp với chương trình : GTPX Level 3.")</f>
        <v>Con ngoan hiền, lễ phép. Con tập trung khi tham gia buổi test.
Tốc độ phản xạ: Khá ổn
Con có thể nghe và trả lời những câu hỏi giao tiếp cơ bản về tên, tuổi, nơi ở,...
Phát âm còn phải điều chỉnh nhiều. Chưa có âm cuối và chưa nối âm.
Con chưa dùng được câu hoàn chỉnh nhiều. Cấu trúc các câu còn hạn chế.
Con có thể nắm được số từ 1-10 000.
Con còn nhầm lẫn cách đọc của số 13
Con thuộc bảng chữ cái. Đánh vần với tốc độ vừa phải.
Con có những vốn từ chưa nhiều về các chủ đề: con vật, đồ vật, thể thao...
Con chưa sử dụng được ngữ pháp khi nói. 
Con cần rèn luyện thêm về từ vựng và ngữ pháp với chương trình : GTPX Level 3.</v>
      </c>
      <c r="Q31" s="383"/>
      <c r="R31" s="383"/>
      <c r="S31" s="383" t="str">
        <f>IFERROR(__xludf.DUMMYFUNCTION("""COMPUTED_VALUE"""),"21/6: Đã test và tư vấn khoá học
22/6: Phụ huynh đang cân nhắc khoá học
26/6: Chốt khoá Kèm Ngữ pháp lớp 8, học 1-1, 50 buổi ")</f>
        <v>21/6: Đã test và tư vấn khoá học
22/6: Phụ huynh đang cân nhắc khoá học
26/6: Chốt khoá Kèm Ngữ pháp lớp 8, học 1-1, 50 buổi </v>
      </c>
      <c r="T31" s="383"/>
      <c r="U31" s="552"/>
      <c r="V31" s="552">
        <f>IFERROR(__xludf.DUMMYFUNCTION("""COMPUTED_VALUE"""),45103.0)</f>
        <v>45103</v>
      </c>
      <c r="W31" s="554" t="str">
        <f>IFERROR(__xludf.DUMMYFUNCTION("""COMPUTED_VALUE"""),"Kèm Ngữ pháp lớp 8, học 1-1, 50 buổi ")</f>
        <v>Kèm Ngữ pháp lớp 8, học 1-1, 50 buổi </v>
      </c>
      <c r="X31" s="501">
        <f>IFERROR(__xludf.DUMMYFUNCTION("""COMPUTED_VALUE"""),8750000.0)</f>
        <v>8750000</v>
      </c>
      <c r="Y31" s="501">
        <f>IFERROR(__xludf.DUMMYFUNCTION("""COMPUTED_VALUE"""),1292500.0)</f>
        <v>1292500</v>
      </c>
      <c r="Z31" s="501">
        <f>IFERROR(__xludf.DUMMYFUNCTION("""COMPUTED_VALUE"""),7457500.0)</f>
        <v>7457500</v>
      </c>
      <c r="AA31" s="501"/>
    </row>
    <row r="32" ht="57.75" customHeight="1">
      <c r="A32" s="552">
        <f>IFERROR(__xludf.DUMMYFUNCTION("""COMPUTED_VALUE"""),45107.0)</f>
        <v>45107</v>
      </c>
      <c r="B32" s="383" t="str">
        <f>IFERROR(__xludf.DUMMYFUNCTION("""COMPUTED_VALUE"""),"HV giới thiệu")</f>
        <v>HV giới thiệu</v>
      </c>
      <c r="C32" s="322" t="str">
        <f>IFERROR(__xludf.DUMMYFUNCTION("""COMPUTED_VALUE"""),"Nguyen Phuong (mẹ Nguyên Bảo tag trên bài đăng Key Means)")</f>
        <v>Nguyen Phuong (mẹ Nguyên Bảo tag trên bài đăng Key Means)</v>
      </c>
      <c r="D32" s="383"/>
      <c r="E32" s="383"/>
      <c r="F32" s="383"/>
      <c r="G32" s="383"/>
      <c r="H32" s="383"/>
      <c r="I32" s="401"/>
      <c r="J32" s="558" t="str">
        <f>IFERROR(__xludf.DUMMYFUNCTION("""COMPUTED_VALUE"""),"Link fb")</f>
        <v>Link fb</v>
      </c>
      <c r="K32" s="383"/>
      <c r="L32" s="383"/>
      <c r="M32" s="383" t="str">
        <f>IFERROR(__xludf.DUMMYFUNCTION("""COMPUTED_VALUE"""),"Ánh")</f>
        <v>Ánh</v>
      </c>
      <c r="N32" s="383" t="str">
        <f>IFERROR(__xludf.DUMMYFUNCTION("""COMPUTED_VALUE"""),"Chưa liên lạc được")</f>
        <v>Chưa liên lạc được</v>
      </c>
      <c r="O32" s="383" t="b">
        <f>IFERROR(__xludf.DUMMYFUNCTION("""COMPUTED_VALUE"""),FALSE)</f>
        <v>0</v>
      </c>
      <c r="P32" s="383"/>
      <c r="Q32" s="383"/>
      <c r="R32" s="383"/>
      <c r="S32" s="383" t="str">
        <f>IFERROR(__xludf.DUMMYFUNCTION("""COMPUTED_VALUE"""),"30/6: đã nt cho mẹ, nhưng chưa thấy phản hồi")</f>
        <v>30/6: đã nt cho mẹ, nhưng chưa thấy phản hồi</v>
      </c>
      <c r="T32" s="383"/>
      <c r="U32" s="552"/>
      <c r="V32" s="552"/>
      <c r="W32" s="383"/>
      <c r="X32" s="501"/>
      <c r="Y32" s="501"/>
      <c r="Z32" s="501"/>
      <c r="AA32" s="501"/>
    </row>
    <row r="33" ht="57.75" customHeight="1">
      <c r="A33" s="552">
        <f>IFERROR(__xludf.DUMMYFUNCTION("""COMPUTED_VALUE"""),45108.0)</f>
        <v>45108</v>
      </c>
      <c r="B33" s="383" t="str">
        <f>IFERROR(__xludf.DUMMYFUNCTION("""COMPUTED_VALUE"""),"HV giới thiệu")</f>
        <v>HV giới thiệu</v>
      </c>
      <c r="C33" s="322" t="str">
        <f>IFERROR(__xludf.DUMMYFUNCTION("""COMPUTED_VALUE"""),"Lệ Thanh (mẹ của Phương Nga Vui06 giới thiệu)")</f>
        <v>Lệ Thanh (mẹ của Phương Nga Vui06 giới thiệu)</v>
      </c>
      <c r="D33" s="383" t="str">
        <f>IFERROR(__xludf.DUMMYFUNCTION("""COMPUTED_VALUE"""),"Hoàng Minh Trí ")</f>
        <v>Hoàng Minh Trí </v>
      </c>
      <c r="E33" s="383"/>
      <c r="F33" s="554">
        <f>IFERROR(__xludf.DUMMYFUNCTION("""COMPUTED_VALUE"""),40191.0)</f>
        <v>40191</v>
      </c>
      <c r="G33" s="383" t="str">
        <f>IFERROR(__xludf.DUMMYFUNCTION("""COMPUTED_VALUE"""),"Năm nay lên lớp 8")</f>
        <v>Năm nay lên lớp 8</v>
      </c>
      <c r="H33" s="383"/>
      <c r="I33" s="401" t="str">
        <f>IFERROR(__xludf.DUMMYFUNCTION("""COMPUTED_VALUE"""),"0333306700")</f>
        <v>0333306700</v>
      </c>
      <c r="J33" s="383"/>
      <c r="K33" s="383"/>
      <c r="L33" s="383" t="str">
        <f>IFERROR(__xludf.DUMMYFUNCTION("""COMPUTED_VALUE"""),"Mẹ muốn học lại từ đầu")</f>
        <v>Mẹ muốn học lại từ đầu</v>
      </c>
      <c r="M33" s="383" t="str">
        <f>IFERROR(__xludf.DUMMYFUNCTION("""COMPUTED_VALUE"""),"Linh")</f>
        <v>Linh</v>
      </c>
      <c r="N33" s="383" t="str">
        <f>IFERROR(__xludf.DUMMYFUNCTION("""COMPUTED_VALUE"""),"Đã đóng học phí")</f>
        <v>Đã đóng học phí</v>
      </c>
      <c r="O33" s="383" t="b">
        <f>IFERROR(__xludf.DUMMYFUNCTION("""COMPUTED_VALUE"""),TRUE)</f>
        <v>1</v>
      </c>
      <c r="P33" s="383" t="str">
        <f>IFERROR(__xludf.DUMMYFUNCTION("""COMPUTED_VALUE"""),"Con ngoan hiền, lễ phép. Tập trung khi tham gia buổi test. Thiết bị của con bị nhỏ âm lượng nên không nghe được tốt giáo viên lắm. 
Tốc độ phản xạ: Chậm. Vì vốn từ còn hạn chế.
Con phát âm chưa chính xác, cần điều chỉnh thêm cả ngữ điệu, lưu loát, đặc biệ"&amp;"t là các âm cuối và nối âm.
Con chưa dùng được câu hoàn chỉnh. Chủ yếu dùng từ lẻ để trả lời. Cấu trúc các câu chưa đa dạng.
Con có thể nắm được số từ 1-100. Còn nhầm các số 12, 20,..
Con chưa nắm được bảng chữ cái. Không đánh vần được.
Con cần rèn luyện "&amp;"thêm về từ vựng và ngữ pháp với chương trình: Kèm 1:1 theo SGK, đề xuất học 1-2 buổi theo sách, 1-2 buổi theo GTPX Level 1.")</f>
        <v>Con ngoan hiền, lễ phép. Tập trung khi tham gia buổi test. Thiết bị của con bị nhỏ âm lượng nên không nghe được tốt giáo viên lắm. 
Tốc độ phản xạ: Chậm. Vì vốn từ còn hạn chế.
Con phát âm chưa chính xác, cần điều chỉnh thêm cả ngữ điệu, lưu loát, đặc biệt là các âm cuối và nối âm.
Con chưa dùng được câu hoàn chỉnh. Chủ yếu dùng từ lẻ để trả lời. Cấu trúc các câu chưa đa dạng.
Con có thể nắm được số từ 1-100. Còn nhầm các số 12, 20,..
Con chưa nắm được bảng chữ cái. Không đánh vần được.
Con cần rèn luyện thêm về từ vựng và ngữ pháp với chương trình: Kèm 1:1 theo SGK, đề xuất học 1-2 buổi theo sách, 1-2 buổi theo GTPX Level 1.</v>
      </c>
      <c r="Q33" s="383"/>
      <c r="R33" s="383"/>
      <c r="S33" s="383" t="str">
        <f>IFERROR(__xludf.DUMMYFUNCTION("""COMPUTED_VALUE"""),"1/7: Hẹn lịch test 3/7 lúc 14h
3/7: Trả test + tư vấn
3/7: Mẹ chốt khoá Kèm ngữ pháp 1-1 học 25 buổi
Mẹ đã ck")</f>
        <v>1/7: Hẹn lịch test 3/7 lúc 14h
3/7: Trả test + tư vấn
3/7: Mẹ chốt khoá Kèm ngữ pháp 1-1 học 25 buổi
Mẹ đã ck</v>
      </c>
      <c r="T33" s="383"/>
      <c r="U33" s="552"/>
      <c r="V33" s="552">
        <f>IFERROR(__xludf.DUMMYFUNCTION("""COMPUTED_VALUE"""),45110.0)</f>
        <v>45110</v>
      </c>
      <c r="W33" s="554" t="str">
        <f>IFERROR(__xludf.DUMMYFUNCTION("""COMPUTED_VALUE"""),"Kèm Ngữ pháp 1-1 học 25 buổi")</f>
        <v>Kèm Ngữ pháp 1-1 học 25 buổi</v>
      </c>
      <c r="X33" s="501">
        <f>IFERROR(__xludf.DUMMYFUNCTION("""COMPUTED_VALUE"""),4375000.0)</f>
        <v>4375000</v>
      </c>
      <c r="Y33" s="501">
        <f>IFERROR(__xludf.DUMMYFUNCTION("""COMPUTED_VALUE"""),218000.0)</f>
        <v>218000</v>
      </c>
      <c r="Z33" s="501">
        <f>IFERROR(__xludf.DUMMYFUNCTION("""COMPUTED_VALUE"""),4157000.0)</f>
        <v>4157000</v>
      </c>
      <c r="AA33" s="501"/>
    </row>
    <row r="34" ht="57.75" customHeight="1">
      <c r="A34" s="552">
        <f>IFERROR(__xludf.DUMMYFUNCTION("""COMPUTED_VALUE"""),45108.0)</f>
        <v>45108</v>
      </c>
      <c r="B34" s="383" t="str">
        <f>IFERROR(__xludf.DUMMYFUNCTION("""COMPUTED_VALUE"""),"HV giới thiệu")</f>
        <v>HV giới thiệu</v>
      </c>
      <c r="C34" s="322" t="str">
        <f>IFERROR(__xludf.DUMMYFUNCTION("""COMPUTED_VALUE"""),"Mẹ Hồng Thanh 
(mẹ của Phương Nga Vui06 giới thiệu)")</f>
        <v>Mẹ Hồng Thanh 
(mẹ của Phương Nga Vui06 giới thiệu)</v>
      </c>
      <c r="D34" s="383"/>
      <c r="E34" s="383"/>
      <c r="F34" s="383"/>
      <c r="G34" s="383" t="str">
        <f>IFERROR(__xludf.DUMMYFUNCTION("""COMPUTED_VALUE"""),"Năm nay lên lớp 6")</f>
        <v>Năm nay lên lớp 6</v>
      </c>
      <c r="H34" s="383"/>
      <c r="I34" s="401" t="str">
        <f>IFERROR(__xludf.DUMMYFUNCTION("""COMPUTED_VALUE"""),"0911369055")</f>
        <v>0911369055</v>
      </c>
      <c r="J34" s="383"/>
      <c r="K34" s="383"/>
      <c r="L34" s="383"/>
      <c r="M34" s="383" t="str">
        <f>IFERROR(__xludf.DUMMYFUNCTION("""COMPUTED_VALUE"""),"Linh")</f>
        <v>Linh</v>
      </c>
      <c r="N34" s="383" t="str">
        <f>IFERROR(__xludf.DUMMYFUNCTION("""COMPUTED_VALUE"""),"Từ chối")</f>
        <v>Từ chối</v>
      </c>
      <c r="O34" s="383" t="b">
        <f>IFERROR(__xludf.DUMMYFUNCTION("""COMPUTED_VALUE"""),FALSE)</f>
        <v>0</v>
      </c>
      <c r="P34" s="383"/>
      <c r="Q34" s="383"/>
      <c r="R34" s="383"/>
      <c r="S34" s="383" t="str">
        <f>IFERROR(__xludf.DUMMYFUNCTION("""COMPUTED_VALUE"""),"1/7: Tư vấn và hẹn lịch test
3/7: Mẹ báo đã chọn trung tâm học offline cho con r")</f>
        <v>1/7: Tư vấn và hẹn lịch test
3/7: Mẹ báo đã chọn trung tâm học offline cho con r</v>
      </c>
      <c r="T34" s="383" t="str">
        <f>IFERROR(__xludf.DUMMYFUNCTION("""COMPUTED_VALUE"""),"Ngừng chăm sóc")</f>
        <v>Ngừng chăm sóc</v>
      </c>
      <c r="U34" s="554"/>
      <c r="V34" s="554"/>
      <c r="W34" s="383"/>
      <c r="X34" s="501"/>
      <c r="Y34" s="501"/>
      <c r="Z34" s="501"/>
      <c r="AA34" s="501"/>
    </row>
    <row r="35" ht="57.75" customHeight="1">
      <c r="A35" s="552">
        <f>IFERROR(__xludf.DUMMYFUNCTION("""COMPUTED_VALUE"""),45108.0)</f>
        <v>45108</v>
      </c>
      <c r="B35" s="383" t="str">
        <f>IFERROR(__xludf.DUMMYFUNCTION("""COMPUTED_VALUE"""),"HV giới thiệu")</f>
        <v>HV giới thiệu</v>
      </c>
      <c r="C35" s="322" t="str">
        <f>IFERROR(__xludf.DUMMYFUNCTION("""COMPUTED_VALUE"""),"Hoàng Luân - Chị của Phương Nga VUI06")</f>
        <v>Hoàng Luân - Chị của Phương Nga VUI06</v>
      </c>
      <c r="D35" s="383"/>
      <c r="E35" s="383"/>
      <c r="F35" s="383" t="str">
        <f>IFERROR(__xludf.DUMMYFUNCTION("""COMPUTED_VALUE"""),"16t")</f>
        <v>16t</v>
      </c>
      <c r="G35" s="383"/>
      <c r="H35" s="383"/>
      <c r="I35" s="401" t="str">
        <f>IFERROR(__xludf.DUMMYFUNCTION("""COMPUTED_VALUE"""),"982758736")</f>
        <v>982758736</v>
      </c>
      <c r="J35" s="383"/>
      <c r="K35" s="383"/>
      <c r="L35" s="383" t="str">
        <f>IFERROR(__xludf.DUMMYFUNCTION("""COMPUTED_VALUE"""),"Mất gốc, cần học cấp tốc để đi du học
Chị của Phương Nga VUI06")</f>
        <v>Mất gốc, cần học cấp tốc để đi du học
Chị của Phương Nga VUI06</v>
      </c>
      <c r="M35" s="383" t="str">
        <f>IFERROR(__xludf.DUMMYFUNCTION("""COMPUTED_VALUE"""),"Loan")</f>
        <v>Loan</v>
      </c>
      <c r="N35" s="383" t="str">
        <f>IFERROR(__xludf.DUMMYFUNCTION("""COMPUTED_VALUE"""),"Đã liên lạc lần 1")</f>
        <v>Đã liên lạc lần 1</v>
      </c>
      <c r="O35" s="383" t="b">
        <f>IFERROR(__xludf.DUMMYFUNCTION("""COMPUTED_VALUE"""),FALSE)</f>
        <v>0</v>
      </c>
      <c r="P35" s="383"/>
      <c r="Q35" s="383"/>
      <c r="R35" s="383"/>
      <c r="S35" s="383" t="str">
        <f>IFERROR(__xludf.DUMMYFUNCTION("""COMPUTED_VALUE"""),"1/7: Mẹ hẹn tối gọi lại nói chuyện")</f>
        <v>1/7: Mẹ hẹn tối gọi lại nói chuyện</v>
      </c>
      <c r="T35" s="383"/>
      <c r="U35" s="552"/>
      <c r="V35" s="552"/>
      <c r="W35" s="383"/>
      <c r="X35" s="501"/>
      <c r="Y35" s="501"/>
      <c r="Z35" s="501"/>
      <c r="AA35" s="501"/>
    </row>
    <row r="36" ht="57.75" customHeight="1">
      <c r="A36" s="552">
        <f>IFERROR(__xludf.DUMMYFUNCTION("""COMPUTED_VALUE"""),45110.0)</f>
        <v>45110</v>
      </c>
      <c r="B36" s="383" t="str">
        <f>IFERROR(__xludf.DUMMYFUNCTION("""COMPUTED_VALUE"""),"HV giới thiệu")</f>
        <v>HV giới thiệu</v>
      </c>
      <c r="C36" s="322" t="str">
        <f>IFERROR(__xludf.DUMMYFUNCTION("""COMPUTED_VALUE"""),"Mẹ Cẩm Vân (Mẹ bé Ý Lam Kstart giới thiệu) không thuộc LTKM")</f>
        <v>Mẹ Cẩm Vân (Mẹ bé Ý Lam Kstart giới thiệu) không thuộc LTKM</v>
      </c>
      <c r="D36" s="383" t="str">
        <f>IFERROR(__xludf.DUMMYFUNCTION("""COMPUTED_VALUE"""),"Nguyễn Đăng Khôi ")</f>
        <v>Nguyễn Đăng Khôi </v>
      </c>
      <c r="E36" s="383"/>
      <c r="F36" s="554">
        <f>IFERROR(__xludf.DUMMYFUNCTION("""COMPUTED_VALUE"""),43068.0)</f>
        <v>43068</v>
      </c>
      <c r="G36" s="383"/>
      <c r="H36" s="383"/>
      <c r="I36" s="401" t="str">
        <f>IFERROR(__xludf.DUMMYFUNCTION("""COMPUTED_VALUE"""),"0966291117")</f>
        <v>0966291117</v>
      </c>
      <c r="J36" s="383"/>
      <c r="K36" s="383"/>
      <c r="L36" s="383"/>
      <c r="M36" s="383" t="str">
        <f>IFERROR(__xludf.DUMMYFUNCTION("""COMPUTED_VALUE"""),"Linh")</f>
        <v>Linh</v>
      </c>
      <c r="N36" s="383" t="str">
        <f>IFERROR(__xludf.DUMMYFUNCTION("""COMPUTED_VALUE"""),"Đã đóng học phí")</f>
        <v>Đã đóng học phí</v>
      </c>
      <c r="O36" s="383" t="b">
        <f>IFERROR(__xludf.DUMMYFUNCTION("""COMPUTED_VALUE"""),TRUE)</f>
        <v>1</v>
      </c>
      <c r="P36" s="383" t="str">
        <f>IFERROR(__xludf.DUMMYFUNCTION("""COMPUTED_VALUE"""),"Con ngoan hiền, lễ phép. Tập trung khi tham gia buổi test. 
Tuy nhiên còn còn hơi ngại khi giao tiếp với cô
Tốc độ phản xạ: chưa được nhanh
Vào đầu buổi test con còn khá ngại với cô nên con chưa nói được nhiều. Nhưng khi con làm quen với cô thì con có thể"&amp;" trả lời được một số những câu hỏi về màu sắc và con vật.
Con chưa dùng được câu hoàn chỉnh. Chủ yếu dùng từ lẻ để trả lời. Cấu trúc các câu chưa đa dạng.
Con có thể nắm được số từ 1-100.
Khi cô hỏi con về bảng chữ cái thì con chưa nói được nhiều và con c"&amp;"ũng chưa đánh vần được.
Con cần rèn luyện thêm về từ vựng và ngữ pháp với chương trình: GTPX Level 1.")</f>
        <v>Con ngoan hiền, lễ phép. Tập trung khi tham gia buổi test. 
Tuy nhiên còn còn hơi ngại khi giao tiếp với cô
Tốc độ phản xạ: chưa được nhanh
Vào đầu buổi test con còn khá ngại với cô nên con chưa nói được nhiều. Nhưng khi con làm quen với cô thì con có thể trả lời được một số những câu hỏi về màu sắc và con vật.
Con chưa dùng được câu hoàn chỉnh. Chủ yếu dùng từ lẻ để trả lời. Cấu trúc các câu chưa đa dạng.
Con có thể nắm được số từ 1-100.
Khi cô hỏi con về bảng chữ cái thì con chưa nói được nhiều và con cũng chưa đánh vần được.
Con cần rèn luyện thêm về từ vựng và ngữ pháp với chương trình: GTPX Level 1.</v>
      </c>
      <c r="Q36" s="383"/>
      <c r="R36" s="383"/>
      <c r="S36" s="383" t="str">
        <f>IFERROR(__xludf.DUMMYFUNCTION("""COMPUTED_VALUE"""),"3/7: Đã liên hệ và set lịch test
4/7: Chốt và ck khoá GTPX up1 25b học 1-2")</f>
        <v>3/7: Đã liên hệ và set lịch test
4/7: Chốt và ck khoá GTPX up1 25b học 1-2</v>
      </c>
      <c r="T36" s="383"/>
      <c r="U36" s="552"/>
      <c r="V36" s="552">
        <f>IFERROR(__xludf.DUMMYFUNCTION("""COMPUTED_VALUE"""),45111.0)</f>
        <v>45111</v>
      </c>
      <c r="W36" s="554" t="str">
        <f>IFERROR(__xludf.DUMMYFUNCTION("""COMPUTED_VALUE"""),"GTPX up1 học 25 buổi khoá 1-2")</f>
        <v>GTPX up1 học 25 buổi khoá 1-2</v>
      </c>
      <c r="X36" s="501">
        <f>IFERROR(__xludf.DUMMYFUNCTION("""COMPUTED_VALUE"""),3062000.0)</f>
        <v>3062000</v>
      </c>
      <c r="Y36" s="501">
        <f>IFERROR(__xludf.DUMMYFUNCTION("""COMPUTED_VALUE"""),153100.0)</f>
        <v>153100</v>
      </c>
      <c r="Z36" s="501">
        <f>IFERROR(__xludf.DUMMYFUNCTION("""COMPUTED_VALUE"""),2908900.0)</f>
        <v>2908900</v>
      </c>
      <c r="AA36" s="501"/>
    </row>
    <row r="37" ht="57.75" customHeight="1">
      <c r="A37" s="552">
        <f>IFERROR(__xludf.DUMMYFUNCTION("""COMPUTED_VALUE"""),45111.0)</f>
        <v>45111</v>
      </c>
      <c r="B37" s="383" t="str">
        <f>IFERROR(__xludf.DUMMYFUNCTION("""COMPUTED_VALUE"""),"HV giới thiệu")</f>
        <v>HV giới thiệu</v>
      </c>
      <c r="C37" s="322" t="str">
        <f>IFERROR(__xludf.DUMMYFUNCTION("""COMPUTED_VALUE"""),"Lê Thị Lâm (mẹ Nguyên An - K2_12_01 giới thiệu) thuộc LTKM")</f>
        <v>Lê Thị Lâm (mẹ Nguyên An - K2_12_01 giới thiệu) thuộc LTKM</v>
      </c>
      <c r="D37" s="383" t="str">
        <f>IFERROR(__xludf.DUMMYFUNCTION("""COMPUTED_VALUE"""),"Nguyễn Bảo Chi")</f>
        <v>Nguyễn Bảo Chi</v>
      </c>
      <c r="E37" s="383"/>
      <c r="F37" s="383">
        <f>IFERROR(__xludf.DUMMYFUNCTION("""COMPUTED_VALUE"""),2014.0)</f>
        <v>2014</v>
      </c>
      <c r="G37" s="383" t="str">
        <f>IFERROR(__xludf.DUMMYFUNCTION("""COMPUTED_VALUE"""),"lớp 4")</f>
        <v>lớp 4</v>
      </c>
      <c r="H37" s="383"/>
      <c r="I37" s="401" t="str">
        <f>IFERROR(__xludf.DUMMYFUNCTION("""COMPUTED_VALUE"""),"0973040296")</f>
        <v>0973040296</v>
      </c>
      <c r="J37" s="383"/>
      <c r="K37" s="383"/>
      <c r="L37" s="383"/>
      <c r="M37" s="383" t="str">
        <f>IFERROR(__xludf.DUMMYFUNCTION("""COMPUTED_VALUE"""),"Ánh")</f>
        <v>Ánh</v>
      </c>
      <c r="N37" s="383" t="str">
        <f>IFERROR(__xludf.DUMMYFUNCTION("""COMPUTED_VALUE"""),"Từ chối")</f>
        <v>Từ chối</v>
      </c>
      <c r="O37" s="383" t="b">
        <f>IFERROR(__xludf.DUMMYFUNCTION("""COMPUTED_VALUE"""),FALSE)</f>
        <v>0</v>
      </c>
      <c r="P37" s="383"/>
      <c r="Q37" s="383"/>
      <c r="R37" s="383"/>
      <c r="S37" s="383" t="str">
        <f>IFERROR(__xludf.DUMMYFUNCTION("""COMPUTED_VALUE"""),"4/7: xếp lịch test vào thứ 4. có kq tư vấn tiếp
5/7: mẹ báo con ko chịu học ko chịu tham gia test để mẹ làm việc với con liên lạc sau")</f>
        <v>4/7: xếp lịch test vào thứ 4. có kq tư vấn tiếp
5/7: mẹ báo con ko chịu học ko chịu tham gia test để mẹ làm việc với con liên lạc sau</v>
      </c>
      <c r="T37" s="383" t="str">
        <f>IFERROR(__xludf.DUMMYFUNCTION("""COMPUTED_VALUE"""),"dừng chăm sóc")</f>
        <v>dừng chăm sóc</v>
      </c>
      <c r="U37" s="552"/>
      <c r="V37" s="552"/>
      <c r="W37" s="383"/>
      <c r="X37" s="501"/>
      <c r="Y37" s="501"/>
      <c r="Z37" s="501"/>
      <c r="AA37" s="501"/>
    </row>
    <row r="38" ht="57.75" customHeight="1">
      <c r="A38" s="552">
        <f>IFERROR(__xludf.DUMMYFUNCTION("""COMPUTED_VALUE"""),45111.0)</f>
        <v>45111</v>
      </c>
      <c r="B38" s="383" t="str">
        <f>IFERROR(__xludf.DUMMYFUNCTION("""COMPUTED_VALUE"""),"HV giới thiệu")</f>
        <v>HV giới thiệu</v>
      </c>
      <c r="C38" s="322" t="str">
        <f>IFERROR(__xludf.DUMMYFUNCTION("""COMPUTED_VALUE"""),"Minh Giao (Mẹ Mai Khanh VUI08 giới thiệu)")</f>
        <v>Minh Giao (Mẹ Mai Khanh VUI08 giới thiệu)</v>
      </c>
      <c r="D38" s="383" t="str">
        <f>IFERROR(__xludf.DUMMYFUNCTION("""COMPUTED_VALUE"""),"KHải Huân")</f>
        <v>KHải Huân</v>
      </c>
      <c r="E38" s="383"/>
      <c r="F38" s="383" t="str">
        <f>IFERROR(__xludf.DUMMYFUNCTION("""COMPUTED_VALUE"""),"6t")</f>
        <v>6t</v>
      </c>
      <c r="G38" s="383"/>
      <c r="H38" s="383"/>
      <c r="I38" s="401" t="str">
        <f>IFERROR(__xludf.DUMMYFUNCTION("""COMPUTED_VALUE"""),"0908542756")</f>
        <v>0908542756</v>
      </c>
      <c r="J38" s="383"/>
      <c r="K38" s="383"/>
      <c r="L38" s="383"/>
      <c r="M38" s="383" t="str">
        <f>IFERROR(__xludf.DUMMYFUNCTION("""COMPUTED_VALUE"""),"Ánh")</f>
        <v>Ánh</v>
      </c>
      <c r="N38" s="383" t="str">
        <f>IFERROR(__xludf.DUMMYFUNCTION("""COMPUTED_VALUE"""),"Đã đóng học phí")</f>
        <v>Đã đóng học phí</v>
      </c>
      <c r="O38" s="383" t="b">
        <f>IFERROR(__xludf.DUMMYFUNCTION("""COMPUTED_VALUE"""),TRUE)</f>
        <v>1</v>
      </c>
      <c r="P38" s="383" t="str">
        <f>IFERROR(__xludf.DUMMYFUNCTION("""COMPUTED_VALUE"""),"Con ngoan hiền, lễ phép, tập trung khi tham gia test. 
Tốc độ phản xạ: Đoạn đầu khi tham gia test tốc độ phản xạ của con còn khá chậm nhưng về sau con có cải thiện hơn.
Con trả lời được câu hỏi của cô về tên, tuổi, màu sắc và con vật yêu thích, tuy nhiên "&amp;"con chưa trả được câu hỏi ""How are you?"" và còn nhầm lẫn một chút khi cô hỏi về số lượng thành viên trong gia đình. Con có thể liệt kê được các thành viên trong gia đình.
Con phát âm được các từ cơ bản tuy nhiên nhiều âm còn chưa hoàn thiện, con thiếu n"&amp;"ối âm và độ lưu loát.
Con dùng được ít câu hoàn chỉnh, chủ yếu con dùng từ lẻ để trả lời.
Con mới nắm được số từ 1-20. 
Con nắm được cơ bản bảng chữ cái tuy nhiên có một số từ vựng con nắm chưa chắc như J, T, V, P, I.
Con đánh vần được tuy nhiên tốc độ ch"&amp;"ưa được nhanh.
Con có vốn từ cơ bản về đồ vật, con vật, một số từ vựng về vị trí tuy nhiên con chưa nắm được từ vựng về thời gian, môn học.
Con trả lời được câu hỏi của cô về so sánh hơn và so sánh nhất.
Có một số câu hỏi con dựa trên gợi ý của mẹ để trả "&amp;"lời.
Con cần rèn luyện thêm về từ vựng và ngữ pháp với chương trình: GTPX UP1")</f>
        <v>Con ngoan hiền, lễ phép, tập trung khi tham gia test. 
Tốc độ phản xạ: Đoạn đầu khi tham gia test tốc độ phản xạ của con còn khá chậm nhưng về sau con có cải thiện hơn.
Con trả lời được câu hỏi của cô về tên, tuổi, màu sắc và con vật yêu thích, tuy nhiên con chưa trả được câu hỏi "How are you?" và còn nhầm lẫn một chút khi cô hỏi về số lượng thành viên trong gia đình. Con có thể liệt kê được các thành viên trong gia đình.
Con phát âm được các từ cơ bản tuy nhiên nhiều âm còn chưa hoàn thiện, con thiếu nối âm và độ lưu loát.
Con dùng được ít câu hoàn chỉnh, chủ yếu con dùng từ lẻ để trả lời.
Con mới nắm được số từ 1-20. 
Con nắm được cơ bản bảng chữ cái tuy nhiên có một số từ vựng con nắm chưa chắc như J, T, V, P, I.
Con đánh vần được tuy nhiên tốc độ chưa được nhanh.
Con có vốn từ cơ bản về đồ vật, con vật, một số từ vựng về vị trí tuy nhiên con chưa nắm được từ vựng về thời gian, môn học.
Con trả lời được câu hỏi của cô về so sánh hơn và so sánh nhất.
Có một số câu hỏi con dựa trên gợi ý của mẹ để trả lời.
Con cần rèn luyện thêm về từ vựng và ngữ pháp với chương trình: GTPX UP1</v>
      </c>
      <c r="Q38" s="383" t="str">
        <f>IFERROR(__xludf.DUMMYFUNCTION("""COMPUTED_VALUE"""),"gtpx")</f>
        <v>gtpx</v>
      </c>
      <c r="R38" s="383" t="str">
        <f>IFERROR(__xludf.DUMMYFUNCTION("""COMPUTED_VALUE"""),"2-4-6: 19h30")</f>
        <v>2-4-6: 19h30</v>
      </c>
      <c r="S38" s="383" t="str">
        <f>IFERROR(__xludf.DUMMYFUNCTION("""COMPUTED_VALUE"""),"4/7: con đang học trường quốc tế, học chương trình graphic mong muốn con rèn luyện kĩ năng phản xạ. gửi thông tin xêp lịch test vào tối thứ 6
7/7"": trả kết quả test, sau 25/7 con kêt thúc lớp học trực tiếp sẽ đăng kí, chăm sóc tiếp")</f>
        <v>4/7: con đang học trường quốc tế, học chương trình graphic mong muốn con rèn luyện kĩ năng phản xạ. gửi thông tin xêp lịch test vào tối thứ 6
7/7": trả kết quả test, sau 25/7 con kêt thúc lớp học trực tiếp sẽ đăng kí, chăm sóc tiếp</v>
      </c>
      <c r="T38" s="383" t="str">
        <f>IFERROR(__xludf.DUMMYFUNCTION("""COMPUTED_VALUE"""),"chăm sóc tiếp")</f>
        <v>chăm sóc tiếp</v>
      </c>
      <c r="U38" s="552"/>
      <c r="V38" s="552">
        <f>IFERROR(__xludf.DUMMYFUNCTION("""COMPUTED_VALUE"""),45134.0)</f>
        <v>45134</v>
      </c>
      <c r="W38" s="554" t="str">
        <f>IFERROR(__xludf.DUMMYFUNCTION("""COMPUTED_VALUE"""),"gtpx ")</f>
        <v>gtpx </v>
      </c>
      <c r="X38" s="501">
        <f>IFERROR(__xludf.DUMMYFUNCTION("""COMPUTED_VALUE"""),6124000.0)</f>
        <v>6124000</v>
      </c>
      <c r="Y38" s="501">
        <f>IFERROR(__xludf.DUMMYFUNCTION("""COMPUTED_VALUE"""),600000.0)</f>
        <v>600000</v>
      </c>
      <c r="Z38" s="501">
        <f>IFERROR(__xludf.DUMMYFUNCTION("""COMPUTED_VALUE"""),5524000.0)</f>
        <v>5524000</v>
      </c>
      <c r="AA38" s="501"/>
    </row>
    <row r="39" ht="57.75" customHeight="1">
      <c r="A39" s="552">
        <f>IFERROR(__xludf.DUMMYFUNCTION("""COMPUTED_VALUE"""),45112.0)</f>
        <v>45112</v>
      </c>
      <c r="B39" s="383" t="str">
        <f>IFERROR(__xludf.DUMMYFUNCTION("""COMPUTED_VALUE"""),"HV giới thiệu")</f>
        <v>HV giới thiệu</v>
      </c>
      <c r="C39" s="322" t="str">
        <f>IFERROR(__xludf.DUMMYFUNCTION("""COMPUTED_VALUE"""),"Mẹ Quỳnh Phương - Mẹ Nguyên Bảo giới thiệu")</f>
        <v>Mẹ Quỳnh Phương - Mẹ Nguyên Bảo giới thiệu</v>
      </c>
      <c r="D39" s="383" t="str">
        <f>IFERROR(__xludf.DUMMYFUNCTION("""COMPUTED_VALUE"""),"Hồ Nguyễn Ánh Minh")</f>
        <v>Hồ Nguyễn Ánh Minh</v>
      </c>
      <c r="E39" s="383"/>
      <c r="F39" s="383">
        <f>IFERROR(__xludf.DUMMYFUNCTION("""COMPUTED_VALUE"""),2012.0)</f>
        <v>2012</v>
      </c>
      <c r="G39" s="383"/>
      <c r="H39" s="383"/>
      <c r="I39" s="401" t="str">
        <f>IFERROR(__xludf.DUMMYFUNCTION("""COMPUTED_VALUE"""),"0909 348 811 ")</f>
        <v>0909 348 811 </v>
      </c>
      <c r="J39" s="383"/>
      <c r="K39" s="383"/>
      <c r="L39" s="383"/>
      <c r="M39" s="383" t="str">
        <f>IFERROR(__xludf.DUMMYFUNCTION("""COMPUTED_VALUE"""),"Ánh")</f>
        <v>Ánh</v>
      </c>
      <c r="N39" s="383" t="str">
        <f>IFERROR(__xludf.DUMMYFUNCTION("""COMPUTED_VALUE"""),"Đã test")</f>
        <v>Đã test</v>
      </c>
      <c r="O39" s="383" t="b">
        <f>IFERROR(__xludf.DUMMYFUNCTION("""COMPUTED_VALUE"""),TRUE)</f>
        <v>1</v>
      </c>
      <c r="P39" s="383" t="str">
        <f>IFERROR(__xludf.DUMMYFUNCTION("""COMPUTED_VALUE"""),"Con ngoan hiền, lễ phép. Con tập trung tốt khi tham gia buổi test.
Tốc độ phản xạ: Khá nhanh. Con nói khá tự nhiên và có thể hiểu tốt được những câu hỏi và trả lời ổn.
Con có thể nghe và trả lời những câu hỏi giao tiếp cơ bản về tên, tuổi, nơi ở, sở thích"&amp;",..
Phát âm của con khá ổn tuy nhiên con cần chú ý các âm cuối và nối âm.
Con có thể nắm được số từ 1-1 000 000
Con nắm được số thứ tự.
Con thuộc bảng chữ cái và có thể đánh vần tốt.
Con có vốn từ cơ bản về con vật, đồ vật, môn thể thao, so sánh, thể thao"&amp;", thời tiết,...
Con nắm được thì hiện tại đơn nhưng chưa nắm chắc được kiến thức về những thì khác.
Có có khả năng đọc hiểu tốt và trả lời được các câu hỏi bằng câu đầy đủ. 
Con cần cải thiện thêm kĩ năng nghe hiểu.
Con cần rèn luyện thêm về từ vựng và ng"&amp;"ữ pháp với chương trình : 1/2 GTPX Level 3")</f>
        <v>Con ngoan hiền, lễ phép. Con tập trung tốt khi tham gia buổi test.
Tốc độ phản xạ: Khá nhanh. Con nói khá tự nhiên và có thể hiểu tốt được những câu hỏi và trả lời ổn.
Con có thể nghe và trả lời những câu hỏi giao tiếp cơ bản về tên, tuổi, nơi ở, sở thích,..
Phát âm của con khá ổn tuy nhiên con cần chú ý các âm cuối và nối âm.
Con có thể nắm được số từ 1-1 000 000
Con nắm được số thứ tự.
Con thuộc bảng chữ cái và có thể đánh vần tốt.
Con có vốn từ cơ bản về con vật, đồ vật, môn thể thao, so sánh, thể thao, thời tiết,...
Con nắm được thì hiện tại đơn nhưng chưa nắm chắc được kiến thức về những thì khác.
Có có khả năng đọc hiểu tốt và trả lời được các câu hỏi bằng câu đầy đủ. 
Con cần cải thiện thêm kĩ năng nghe hiểu.
Con cần rèn luyện thêm về từ vựng và ngữ pháp với chương trình : 1/2 GTPX Level 3</v>
      </c>
      <c r="Q39" s="383"/>
      <c r="R39" s="383"/>
      <c r="S39" s="383" t="str">
        <f>IFERROR(__xludf.DUMMYFUNCTION("""COMPUTED_VALUE"""),"5/7: đã gọi dt trao đổi thông tin, về mẹ sắp xếp lịch test sau
7/7: nt hỏi lịch test của con nhưng mẹ chưa phản hồi
8/7: đã liên lạc xếp lịch test vào tối thứ 4
10/7: trả kêt quả test, mẹ lăn lăn giữa onlne và offline vè bạn Minh ko thích học online và hơ"&amp;"i ngán do 2 năm dịch đều học online ")</f>
        <v>5/7: đã gọi dt trao đổi thông tin, về mẹ sắp xếp lịch test sau
7/7: nt hỏi lịch test của con nhưng mẹ chưa phản hồi
8/7: đã liên lạc xếp lịch test vào tối thứ 4
10/7: trả kêt quả test, mẹ lăn lăn giữa onlne và offline vè bạn Minh ko thích học online và hơi ngán do 2 năm dịch đều học online </v>
      </c>
      <c r="T39" s="383" t="str">
        <f>IFERROR(__xludf.DUMMYFUNCTION("""COMPUTED_VALUE"""),"chăm sóc tiếp")</f>
        <v>chăm sóc tiếp</v>
      </c>
      <c r="U39" s="552">
        <f>IFERROR(__xludf.DUMMYFUNCTION("""COMPUTED_VALUE"""),45174.0)</f>
        <v>45174</v>
      </c>
      <c r="V39" s="552"/>
      <c r="W39" s="383"/>
      <c r="X39" s="501"/>
      <c r="Y39" s="501"/>
      <c r="Z39" s="501"/>
      <c r="AA39" s="501"/>
    </row>
    <row r="40" ht="57.75" customHeight="1">
      <c r="A40" s="552">
        <f>IFERROR(__xludf.DUMMYFUNCTION("""COMPUTED_VALUE"""),45118.0)</f>
        <v>45118</v>
      </c>
      <c r="B40" s="383" t="str">
        <f>IFERROR(__xludf.DUMMYFUNCTION("""COMPUTED_VALUE"""),"HV giới thiệu")</f>
        <v>HV giới thiệu</v>
      </c>
      <c r="C40" s="322" t="str">
        <f>IFERROR(__xludf.DUMMYFUNCTION("""COMPUTED_VALUE"""),"Phong Phú Phạm (mẹ Ngọc Sang VUI04 giới thiệu)")</f>
        <v>Phong Phú Phạm (mẹ Ngọc Sang VUI04 giới thiệu)</v>
      </c>
      <c r="D40" s="383" t="str">
        <f>IFERROR(__xludf.DUMMYFUNCTION("""COMPUTED_VALUE"""),"Phạm Đăng Hải Yến")</f>
        <v>Phạm Đăng Hải Yến</v>
      </c>
      <c r="E40" s="383"/>
      <c r="F40" s="383" t="str">
        <f>IFERROR(__xludf.DUMMYFUNCTION("""COMPUTED_VALUE"""),"2014
9t")</f>
        <v>2014
9t</v>
      </c>
      <c r="G40" s="383"/>
      <c r="H40" s="383"/>
      <c r="I40" s="401" t="str">
        <f>IFERROR(__xludf.DUMMYFUNCTION("""COMPUTED_VALUE"""),"bố Phong:0905629379
mẹ Trang: 0915911943")</f>
        <v>bố Phong:0905629379
mẹ Trang: 0915911943</v>
      </c>
      <c r="J40" s="383"/>
      <c r="K40" s="383"/>
      <c r="L40" s="383" t="str">
        <f>IFERROR(__xludf.DUMMYFUNCTION("""COMPUTED_VALUE"""),"chỉ mới học kèm cô giáo trên trường")</f>
        <v>chỉ mới học kèm cô giáo trên trường</v>
      </c>
      <c r="M40" s="383" t="str">
        <f>IFERROR(__xludf.DUMMYFUNCTION("""COMPUTED_VALUE"""),"Ánh")</f>
        <v>Ánh</v>
      </c>
      <c r="N40" s="383" t="str">
        <f>IFERROR(__xludf.DUMMYFUNCTION("""COMPUTED_VALUE"""),"Đã đóng học phí")</f>
        <v>Đã đóng học phí</v>
      </c>
      <c r="O40" s="383" t="b">
        <f>IFERROR(__xludf.DUMMYFUNCTION("""COMPUTED_VALUE"""),TRUE)</f>
        <v>1</v>
      </c>
      <c r="P40" s="383" t="str">
        <f>IFERROR(__xludf.DUMMYFUNCTION("""COMPUTED_VALUE"""),"Hải Yến
Con ngoan hiền, lễ phép.
Con có thể trả lời những câu hỏi cơ bản của cô về tên, tuổi, và sở thích,..
Con rất tập trung khi tham gia test.
Con vui tươi khi tham gia buổi test.
Tốc độ phản xạ: Khá ổn. 
Con dùng được các câu hoàn chỉnh và sử dụng đượ"&amp;"c cấu trúc câu đúng.
Con phát âm được các từ cơ bản, con có chú ý âm cuối nhưng vài từ vẫn bị sót âm cuối và chưa có nối âm khi nói.
Con nắm được đến chữ số hàng trăm.
Con nhầm cách đọc số 59.
Con chưa được số thứ tự. 
Con nắm được bảng chữ cái và đánh vầ"&amp;"n được tốt các từ.
Con có vốn từ vựng cơ bản về con vật, đồ vật, vị trí, thời tiết, môn thể thao, thời gian,..
Con áp dụng được ngữ pháp khi nói tuy nhiên đôi câu còn nhầm lẫn cấu trúc câu.
Con cần cải thiện thêm kiến thức ngữ pháp của con về các thì.
Con"&amp;" cần rèn luyện thêm về từ vựng và cấu trúc với chương trình GTPX Level 3 hoặc Vườn Ươm Ielts level 1")</f>
        <v>Hải Yến
Con ngoan hiền, lễ phép.
Con có thể trả lời những câu hỏi cơ bản của cô về tên, tuổi, và sở thích,..
Con rất tập trung khi tham gia test.
Con vui tươi khi tham gia buổi test.
Tốc độ phản xạ: Khá ổn. 
Con dùng được các câu hoàn chỉnh và sử dụng được cấu trúc câu đúng.
Con phát âm được các từ cơ bản, con có chú ý âm cuối nhưng vài từ vẫn bị sót âm cuối và chưa có nối âm khi nói.
Con nắm được đến chữ số hàng trăm.
Con nhầm cách đọc số 59.
Con chưa được số thứ tự. 
Con nắm được bảng chữ cái và đánh vần được tốt các từ.
Con có vốn từ vựng cơ bản về con vật, đồ vật, vị trí, thời tiết, môn thể thao, thời gian,..
Con áp dụng được ngữ pháp khi nói tuy nhiên đôi câu còn nhầm lẫn cấu trúc câu.
Con cần cải thiện thêm kiến thức ngữ pháp của con về các thì.
Con cần rèn luyện thêm về từ vựng và cấu trúc với chương trình GTPX Level 3 hoặc Vườn Ươm Ielts level 1</v>
      </c>
      <c r="Q40" s="383"/>
      <c r="R40" s="383"/>
      <c r="S40" s="383" t="str">
        <f>IFERROR(__xludf.DUMMYFUNCTION("""COMPUTED_VALUE"""),"11/7: gọi trao đổi hẹn lịch test tối thứ 5")</f>
        <v>11/7: gọi trao đổi hẹn lịch test tối thứ 5</v>
      </c>
      <c r="T40" s="383" t="str">
        <f>IFERROR(__xludf.DUMMYFUNCTION("""COMPUTED_VALUE"""),"nhắc lịch")</f>
        <v>nhắc lịch</v>
      </c>
      <c r="U40" s="552"/>
      <c r="V40" s="552">
        <f>IFERROR(__xludf.DUMMYFUNCTION("""COMPUTED_VALUE"""),45126.0)</f>
        <v>45126</v>
      </c>
      <c r="W40" s="554" t="str">
        <f>IFERROR(__xludf.DUMMYFUNCTION("""COMPUTED_VALUE"""),"vui")</f>
        <v>vui</v>
      </c>
      <c r="X40" s="501">
        <f>IFERROR(__xludf.DUMMYFUNCTION("""COMPUTED_VALUE"""),2558000.0)</f>
        <v>2558000</v>
      </c>
      <c r="Y40" s="501">
        <f>IFERROR(__xludf.DUMMYFUNCTION("""COMPUTED_VALUE"""),0.0)</f>
        <v>0</v>
      </c>
      <c r="Z40" s="501">
        <f>IFERROR(__xludf.DUMMYFUNCTION("""COMPUTED_VALUE"""),2558000.0)</f>
        <v>2558000</v>
      </c>
      <c r="AA40" s="501"/>
    </row>
    <row r="41" ht="57.75" customHeight="1">
      <c r="A41" s="552">
        <f>IFERROR(__xludf.DUMMYFUNCTION("""COMPUTED_VALUE"""),45118.0)</f>
        <v>45118</v>
      </c>
      <c r="B41" s="383" t="str">
        <f>IFERROR(__xludf.DUMMYFUNCTION("""COMPUTED_VALUE"""),"HV giới thiệu")</f>
        <v>HV giới thiệu</v>
      </c>
      <c r="C41" s="322" t="str">
        <f>IFERROR(__xludf.DUMMYFUNCTION("""COMPUTED_VALUE"""),"Phong Phú Phạm (mẹ Ngọc Sang VUI04 giới thiệu)")</f>
        <v>Phong Phú Phạm (mẹ Ngọc Sang VUI04 giới thiệu)</v>
      </c>
      <c r="D41" s="383" t="str">
        <f>IFERROR(__xludf.DUMMYFUNCTION("""COMPUTED_VALUE"""),"Phạm Đăng Gia Hân")</f>
        <v>Phạm Đăng Gia Hân</v>
      </c>
      <c r="E41" s="383"/>
      <c r="F41" s="383">
        <f>IFERROR(__xludf.DUMMYFUNCTION("""COMPUTED_VALUE"""),2008.0)</f>
        <v>2008</v>
      </c>
      <c r="G41" s="383">
        <f>IFERROR(__xludf.DUMMYFUNCTION("""COMPUTED_VALUE"""),10.0)</f>
        <v>10</v>
      </c>
      <c r="H41" s="383"/>
      <c r="I41" s="401" t="str">
        <f>IFERROR(__xludf.DUMMYFUNCTION("""COMPUTED_VALUE"""),"bố Phong:0905629379
mẹ Trang: 0915911943")</f>
        <v>bố Phong:0905629379
mẹ Trang: 0915911943</v>
      </c>
      <c r="J41" s="383"/>
      <c r="K41" s="383"/>
      <c r="L41" s="383" t="str">
        <f>IFERROR(__xludf.DUMMYFUNCTION("""COMPUTED_VALUE"""),"con đang học ielts 6.5 muốn cải thiện thêm và phát triển thêm")</f>
        <v>con đang học ielts 6.5 muốn cải thiện thêm và phát triển thêm</v>
      </c>
      <c r="M41" s="383" t="str">
        <f>IFERROR(__xludf.DUMMYFUNCTION("""COMPUTED_VALUE"""),"Ánh")</f>
        <v>Ánh</v>
      </c>
      <c r="N41" s="383" t="str">
        <f>IFERROR(__xludf.DUMMYFUNCTION("""COMPUTED_VALUE"""),"Đã test")</f>
        <v>Đã test</v>
      </c>
      <c r="O41" s="383" t="b">
        <f>IFERROR(__xludf.DUMMYFUNCTION("""COMPUTED_VALUE"""),TRUE)</f>
        <v>1</v>
      </c>
      <c r="P41" s="383" t="str">
        <f>IFERROR(__xludf.DUMMYFUNCTION("""COMPUTED_VALUE"""),"Con ngoan hiền, lễ phép và tập trung cao khi tham gia buổi test 
Con có thể nghe hiểu tốt và trả lời tốt các câu hỏi trong một lần.
Con viết cách mở rộng câu trả lời của con và cung cấp được nhiều thông tin khi trả lời các câu hỏi của cô.
Khả năng phản xạ"&amp;": Khá nhanh 
Con có vốn từ khá rộng về các chủ đề như sức khỏe, môi trường, công nghệ, sở thích,.. và con có thể dùng được các từ vựng với độ khó khá cao.
Con có khá nhiều ý tưởng khi cô hỏi các chủ đề liên quan đến các vấn đề xã hội và có thể đưa ra được"&amp;" quan điểm của mình. Cần luyện thêm để cách trình bày một vấn đề được logic và chặt chẽ hơn.
Phát âm hay và tự nhiên.
Sử dụng được ngữ pháp khi nói. Vẫn còn cần luyện tập để được chính xác hơn nữa. ")</f>
        <v>Con ngoan hiền, lễ phép và tập trung cao khi tham gia buổi test 
Con có thể nghe hiểu tốt và trả lời tốt các câu hỏi trong một lần.
Con viết cách mở rộng câu trả lời của con và cung cấp được nhiều thông tin khi trả lời các câu hỏi của cô.
Khả năng phản xạ: Khá nhanh 
Con có vốn từ khá rộng về các chủ đề như sức khỏe, môi trường, công nghệ, sở thích,.. và con có thể dùng được các từ vựng với độ khó khá cao.
Con có khá nhiều ý tưởng khi cô hỏi các chủ đề liên quan đến các vấn đề xã hội và có thể đưa ra được quan điểm của mình. Cần luyện thêm để cách trình bày một vấn đề được logic và chặt chẽ hơn.
Phát âm hay và tự nhiên.
Sử dụng được ngữ pháp khi nói. Vẫn còn cần luyện tập để được chính xác hơn nữa. </v>
      </c>
      <c r="Q41" s="383"/>
      <c r="R41" s="383"/>
      <c r="S41" s="383" t="str">
        <f>IFERROR(__xludf.DUMMYFUNCTION("""COMPUTED_VALUE"""),"11/7: gọi trao đổi hẹn lịch test tối thứ 5")</f>
        <v>11/7: gọi trao đổi hẹn lịch test tối thứ 5</v>
      </c>
      <c r="T41" s="383"/>
      <c r="U41" s="552"/>
      <c r="V41" s="552"/>
      <c r="W41" s="383"/>
      <c r="X41" s="501"/>
      <c r="Y41" s="501"/>
      <c r="Z41" s="501"/>
      <c r="AA41" s="501"/>
    </row>
    <row r="42" ht="57.75" customHeight="1">
      <c r="A42" s="552">
        <f>IFERROR(__xludf.DUMMYFUNCTION("""COMPUTED_VALUE"""),45119.0)</f>
        <v>45119</v>
      </c>
      <c r="B42" s="383" t="str">
        <f>IFERROR(__xludf.DUMMYFUNCTION("""COMPUTED_VALUE"""),"HV giới thiệu")</f>
        <v>HV giới thiệu</v>
      </c>
      <c r="C42" s="322" t="str">
        <f>IFERROR(__xludf.DUMMYFUNCTION("""COMPUTED_VALUE"""),"Mẹ Tình (đang học GTPX up5)")</f>
        <v>Mẹ Tình (đang học GTPX up5)</v>
      </c>
      <c r="D42" s="383" t="str">
        <f>IFERROR(__xludf.DUMMYFUNCTION("""COMPUTED_VALUE"""),"Hà Quân - Henry")</f>
        <v>Hà Quân - Henry</v>
      </c>
      <c r="E42" s="383"/>
      <c r="F42" s="383"/>
      <c r="G42" s="383"/>
      <c r="H42" s="383"/>
      <c r="I42" s="401" t="str">
        <f>IFERROR(__xludf.DUMMYFUNCTION("""COMPUTED_VALUE"""),"935880857")</f>
        <v>935880857</v>
      </c>
      <c r="J42" s="383"/>
      <c r="K42" s="383"/>
      <c r="L42" s="383" t="str">
        <f>IFERROR(__xludf.DUMMYFUNCTION("""COMPUTED_VALUE"""),"DĐang học GTPX up 5, muốn học thêm VUI")</f>
        <v>DĐang học GTPX up 5, muốn học thêm VUI</v>
      </c>
      <c r="M42" s="383" t="str">
        <f>IFERROR(__xludf.DUMMYFUNCTION("""COMPUTED_VALUE"""),"Ánh")</f>
        <v>Ánh</v>
      </c>
      <c r="N42" s="383" t="str">
        <f>IFERROR(__xludf.DUMMYFUNCTION("""COMPUTED_VALUE"""),"Đã liên lạc lần 1")</f>
        <v>Đã liên lạc lần 1</v>
      </c>
      <c r="O42" s="383" t="b">
        <f>IFERROR(__xludf.DUMMYFUNCTION("""COMPUTED_VALUE"""),FALSE)</f>
        <v>0</v>
      </c>
      <c r="P42" s="383"/>
      <c r="Q42" s="383"/>
      <c r="R42" s="383"/>
      <c r="S42" s="383" t="str">
        <f>IFERROR(__xludf.DUMMYFUNCTION("""COMPUTED_VALUE"""),"12/7: trao đổi học phí và lịch học ")</f>
        <v>12/7: trao đổi học phí và lịch học </v>
      </c>
      <c r="T42" s="383" t="str">
        <f>IFERROR(__xludf.DUMMYFUNCTION("""COMPUTED_VALUE"""),"chăm sóc tiếp")</f>
        <v>chăm sóc tiếp</v>
      </c>
      <c r="U42" s="552">
        <f>IFERROR(__xludf.DUMMYFUNCTION("""COMPUTED_VALUE"""),45170.0)</f>
        <v>45170</v>
      </c>
      <c r="V42" s="552"/>
      <c r="W42" s="383"/>
      <c r="X42" s="501"/>
      <c r="Y42" s="501"/>
      <c r="Z42" s="501"/>
      <c r="AA42" s="501"/>
    </row>
    <row r="43" ht="57.75" customHeight="1">
      <c r="A43" s="552">
        <f>IFERROR(__xludf.DUMMYFUNCTION("""COMPUTED_VALUE"""),45119.0)</f>
        <v>45119</v>
      </c>
      <c r="B43" s="383" t="str">
        <f>IFERROR(__xludf.DUMMYFUNCTION("""COMPUTED_VALUE"""),"HV giới thiệu")</f>
        <v>HV giới thiệu</v>
      </c>
      <c r="C43" s="322" t="str">
        <f>IFERROR(__xludf.DUMMYFUNCTION("""COMPUTED_VALUE"""),"Mẹ Thúy Hằng (Mẹ Tình (đang học GTPX up5)")</f>
        <v>Mẹ Thúy Hằng (Mẹ Tình (đang học GTPX up5)</v>
      </c>
      <c r="D43" s="383" t="str">
        <f>IFERROR(__xludf.DUMMYFUNCTION("""COMPUTED_VALUE"""),"Fifa- Minh QUân")</f>
        <v>Fifa- Minh QUân</v>
      </c>
      <c r="E43" s="383" t="str">
        <f>IFERROR(__xludf.DUMMYFUNCTION("""COMPUTED_VALUE"""),"FiFa")</f>
        <v>FiFa</v>
      </c>
      <c r="F43" s="383">
        <f>IFERROR(__xludf.DUMMYFUNCTION("""COMPUTED_VALUE"""),2013.0)</f>
        <v>2013</v>
      </c>
      <c r="G43" s="383" t="str">
        <f>IFERROR(__xludf.DUMMYFUNCTION("""COMPUTED_VALUE"""),"Lop 5")</f>
        <v>Lop 5</v>
      </c>
      <c r="H43" s="383"/>
      <c r="I43" s="401" t="str">
        <f>IFERROR(__xludf.DUMMYFUNCTION("""COMPUTED_VALUE"""),"0932438239")</f>
        <v>0932438239</v>
      </c>
      <c r="J43" s="383"/>
      <c r="K43" s="383"/>
      <c r="L43" s="383"/>
      <c r="M43" s="383" t="str">
        <f>IFERROR(__xludf.DUMMYFUNCTION("""COMPUTED_VALUE"""),"Ánh")</f>
        <v>Ánh</v>
      </c>
      <c r="N43" s="383" t="str">
        <f>IFERROR(__xludf.DUMMYFUNCTION("""COMPUTED_VALUE"""),"Đã đóng học phí")</f>
        <v>Đã đóng học phí</v>
      </c>
      <c r="O43" s="383" t="b">
        <f>IFERROR(__xludf.DUMMYFUNCTION("""COMPUTED_VALUE"""),TRUE)</f>
        <v>1</v>
      </c>
      <c r="P43" s="383" t="str">
        <f>IFERROR(__xludf.DUMMYFUNCTION("""COMPUTED_VALUE"""),"Quân 10 years old
Con ngoan hiền, lễ phép, tập trung khi tham gia test. 
Tốc độ phản xạ: Chưa nhanh. Vì vốn từ của con còn hạn chế nên con nghe không hiểu câu hỏi. Con vẫn hoạt bát. 
Con có vốn từ hẹp về các chủ đề: cá nhân, hoạt động, màu sắc, con vật, đ"&amp;"ồ vật, thể thao...
Phát âm còn phải điều chỉnh nhiều. Con thiếu độ lưu loát, ngữ điệu và nối âm khi nói.
Con dùng được một số câu hoàn chỉnh. Tuy nhiên còn chưa nhân biệt được số ít số nhiều. Cấu trúc câu chưa đa dạng. Đa số con dùng it's và I'm...
Con ch"&amp;"ưa nắm được chắc số đếm. Mắc lỗi với số 7,20, 25, hundred,... 
Con chưa nắm được 70% bảng chữ cái. Tốc độ đánh vần chậm và nhầm lẫn nhiều chữ cái.
Kỹ năng đọc hiểu chưa tốt. 
Con cần rèn luyện thêm về từ vựng và ngữ pháp với chương trình : GTPX Level 1.")</f>
        <v>Quân 10 years old
Con ngoan hiền, lễ phép, tập trung khi tham gia test. 
Tốc độ phản xạ: Chưa nhanh. Vì vốn từ của con còn hạn chế nên con nghe không hiểu câu hỏi. Con vẫn hoạt bát. 
Con có vốn từ hẹp về các chủ đề: cá nhân, hoạt động, màu sắc, con vật, đồ vật, thể thao...
Phát âm còn phải điều chỉnh nhiều. Con thiếu độ lưu loát, ngữ điệu và nối âm khi nói.
Con dùng được một số câu hoàn chỉnh. Tuy nhiên còn chưa nhân biệt được số ít số nhiều. Cấu trúc câu chưa đa dạng. Đa số con dùng it's và I'm...
Con chưa nắm được chắc số đếm. Mắc lỗi với số 7,20, 25, hundred,... 
Con chưa nắm được 70% bảng chữ cái. Tốc độ đánh vần chậm và nhầm lẫn nhiều chữ cái.
Kỹ năng đọc hiểu chưa tốt. 
Con cần rèn luyện thêm về từ vựng và ngữ pháp với chương trình : GTPX Level 1.</v>
      </c>
      <c r="Q43" s="383"/>
      <c r="R43" s="383"/>
      <c r="S43" s="383" t="str">
        <f>IFERROR(__xludf.DUMMYFUNCTION("""COMPUTED_VALUE"""),"12/7: gọi trao đổi thông tin hẹn lịch test")</f>
        <v>12/7: gọi trao đổi thông tin hẹn lịch test</v>
      </c>
      <c r="T43" s="383"/>
      <c r="U43" s="552"/>
      <c r="V43" s="552">
        <f>IFERROR(__xludf.DUMMYFUNCTION("""COMPUTED_VALUE"""),45124.0)</f>
        <v>45124</v>
      </c>
      <c r="W43" s="554" t="str">
        <f>IFERROR(__xludf.DUMMYFUNCTION("""COMPUTED_VALUE"""),"gtpx 1-2")</f>
        <v>gtpx 1-2</v>
      </c>
      <c r="X43" s="501">
        <f>IFERROR(__xludf.DUMMYFUNCTION("""COMPUTED_VALUE"""),3062000.0)</f>
        <v>3062000</v>
      </c>
      <c r="Y43" s="501">
        <f>IFERROR(__xludf.DUMMYFUNCTION("""COMPUTED_VALUE"""),0.0)</f>
        <v>0</v>
      </c>
      <c r="Z43" s="501">
        <f>IFERROR(__xludf.DUMMYFUNCTION("""COMPUTED_VALUE"""),3062000.0)</f>
        <v>3062000</v>
      </c>
      <c r="AA43" s="501"/>
    </row>
    <row r="44" ht="57.75" customHeight="1">
      <c r="A44" s="552">
        <f>IFERROR(__xludf.DUMMYFUNCTION("""COMPUTED_VALUE"""),45119.0)</f>
        <v>45119</v>
      </c>
      <c r="B44" s="383" t="str">
        <f>IFERROR(__xludf.DUMMYFUNCTION("""COMPUTED_VALUE"""),"HV giới thiệu")</f>
        <v>HV giới thiệu</v>
      </c>
      <c r="C44" s="322" t="str">
        <f>IFERROR(__xludf.DUMMYFUNCTION("""COMPUTED_VALUE"""),"Mẹ Cà Rốt - Mẹ Tình Hery Up5 giới thiệu")</f>
        <v>Mẹ Cà Rốt - Mẹ Tình Hery Up5 giới thiệu</v>
      </c>
      <c r="D44" s="383" t="str">
        <f>IFERROR(__xludf.DUMMYFUNCTION("""COMPUTED_VALUE"""),"Carrot
Võ Phạm Thảo Ngân (Mina)")</f>
        <v>Carrot
Võ Phạm Thảo Ngân (Mina)</v>
      </c>
      <c r="E44" s="383" t="str">
        <f>IFERROR(__xludf.DUMMYFUNCTION("""COMPUTED_VALUE"""),"Cà Rốt")</f>
        <v>Cà Rốt</v>
      </c>
      <c r="F44" s="383">
        <f>IFERROR(__xludf.DUMMYFUNCTION("""COMPUTED_VALUE"""),2014.0)</f>
        <v>2014</v>
      </c>
      <c r="G44" s="383" t="str">
        <f>IFERROR(__xludf.DUMMYFUNCTION("""COMPUTED_VALUE"""),"9 tuỏi")</f>
        <v>9 tuỏi</v>
      </c>
      <c r="H44" s="383"/>
      <c r="I44" s="401" t="str">
        <f>IFERROR(__xludf.DUMMYFUNCTION("""COMPUTED_VALUE"""),"0983 099 895")</f>
        <v>0983 099 895</v>
      </c>
      <c r="J44" s="383"/>
      <c r="K44" s="383"/>
      <c r="L44" s="383"/>
      <c r="M44" s="383" t="str">
        <f>IFERROR(__xludf.DUMMYFUNCTION("""COMPUTED_VALUE"""),"Ánh")</f>
        <v>Ánh</v>
      </c>
      <c r="N44" s="383" t="str">
        <f>IFERROR(__xludf.DUMMYFUNCTION("""COMPUTED_VALUE"""),"Đã đóng học phí")</f>
        <v>Đã đóng học phí</v>
      </c>
      <c r="O44" s="383" t="b">
        <f>IFERROR(__xludf.DUMMYFUNCTION("""COMPUTED_VALUE"""),TRUE)</f>
        <v>1</v>
      </c>
      <c r="P44" s="383" t="str">
        <f>IFERROR(__xludf.DUMMYFUNCTION("""COMPUTED_VALUE"""),"Con ngoan hiền, lễ phép, tập trung khi tham gia test. 
Tốc độ phản xạ: Chậm. Vì vốn từ của con còn hạn chế.
Con có vốn từ hạn chế về các chủ đề: cá nhân, hoạt động, màu sắc, con vật, đồ vật, thể thao...
Phát âm còn phải điều chỉnh nhiều. Con thiếu độ lưu "&amp;"loát, ngữ điệu và nối âm khi nói.
Con chưa dùng được câu hoàn chỉnh.
Con chưa nắm được số đếm nhiều. 
Con chưa nắm được 80% bảng chữ cái. Tốc độ đánh vần chậm.
Con cần rèn luyện thêm về từ vựng và ngữ pháp với chương trình : GTPX Level 1.")</f>
        <v>Con ngoan hiền, lễ phép, tập trung khi tham gia test. 
Tốc độ phản xạ: Chậm. Vì vốn từ của con còn hạn chế.
Con có vốn từ hạn chế về các chủ đề: cá nhân, hoạt động, màu sắc, con vật, đồ vật, thể thao...
Phát âm còn phải điều chỉnh nhiều. Con thiếu độ lưu loát, ngữ điệu và nối âm khi nói.
Con chưa dùng được câu hoàn chỉnh.
Con chưa nắm được số đếm nhiều. 
Con chưa nắm được 80% bảng chữ cái. Tốc độ đánh vần chậm.
Con cần rèn luyện thêm về từ vựng và ngữ pháp với chương trình : GTPX Level 1.</v>
      </c>
      <c r="Q44" s="383" t="str">
        <f>IFERROR(__xludf.DUMMYFUNCTION("""COMPUTED_VALUE"""),"gtpx 1-2")</f>
        <v>gtpx 1-2</v>
      </c>
      <c r="R44" s="383" t="str">
        <f>IFERROR(__xludf.DUMMYFUNCTION("""COMPUTED_VALUE"""),"chiều 3-5-7:
sáng: trừ sáng 2.3.4")</f>
        <v>chiều 3-5-7:
sáng: trừ sáng 2.3.4</v>
      </c>
      <c r="S44" s="383" t="str">
        <f>IFERROR(__xludf.DUMMYFUNCTION("""COMPUTED_VALUE"""),"12/7: gọi trao đổi thông tin hẹn lịch test")</f>
        <v>12/7: gọi trao đổi thông tin hẹn lịch test</v>
      </c>
      <c r="T44" s="383"/>
      <c r="U44" s="552"/>
      <c r="V44" s="552">
        <f>IFERROR(__xludf.DUMMYFUNCTION("""COMPUTED_VALUE"""),45120.0)</f>
        <v>45120</v>
      </c>
      <c r="W44" s="554" t="str">
        <f>IFERROR(__xludf.DUMMYFUNCTION("""COMPUTED_VALUE"""),"gtpx 1-2")</f>
        <v>gtpx 1-2</v>
      </c>
      <c r="X44" s="501">
        <f>IFERROR(__xludf.DUMMYFUNCTION("""COMPUTED_VALUE"""),6124000.0)</f>
        <v>6124000</v>
      </c>
      <c r="Y44" s="501">
        <f>IFERROR(__xludf.DUMMYFUNCTION("""COMPUTED_VALUE"""),600000.0)</f>
        <v>600000</v>
      </c>
      <c r="Z44" s="501">
        <f>IFERROR(__xludf.DUMMYFUNCTION("""COMPUTED_VALUE"""),5524000.0)</f>
        <v>5524000</v>
      </c>
      <c r="AA44" s="501"/>
    </row>
    <row r="45" ht="57.75" customHeight="1">
      <c r="A45" s="552">
        <f>IFERROR(__xludf.DUMMYFUNCTION("""COMPUTED_VALUE"""),45119.0)</f>
        <v>45119</v>
      </c>
      <c r="B45" s="383" t="str">
        <f>IFERROR(__xludf.DUMMYFUNCTION("""COMPUTED_VALUE"""),"HV giới thiệu")</f>
        <v>HV giới thiệu</v>
      </c>
      <c r="C45" s="322" t="str">
        <f>IFERROR(__xludf.DUMMYFUNCTION("""COMPUTED_VALUE"""),"Con thứ 2 của mẹ Thu Sa")</f>
        <v>Con thứ 2 của mẹ Thu Sa</v>
      </c>
      <c r="D45" s="383"/>
      <c r="E45" s="383"/>
      <c r="F45" s="383" t="str">
        <f>IFERROR(__xludf.DUMMYFUNCTION("""COMPUTED_VALUE"""),"5 tuổi")</f>
        <v>5 tuổi</v>
      </c>
      <c r="G45" s="383"/>
      <c r="H45" s="383"/>
      <c r="I45" s="401" t="str">
        <f>IFERROR(__xludf.DUMMYFUNCTION("""COMPUTED_VALUE"""),"0905890959")</f>
        <v>0905890959</v>
      </c>
      <c r="J45" s="383"/>
      <c r="K45" s="383"/>
      <c r="L45" s="383" t="str">
        <f>IFERROR(__xludf.DUMMYFUNCTION("""COMPUTED_VALUE"""),"Bé chưa từng học trung tâm, mẹ không rõ năng lực tập trung của bé")</f>
        <v>Bé chưa từng học trung tâm, mẹ không rõ năng lực tập trung của bé</v>
      </c>
      <c r="M45" s="383" t="str">
        <f>IFERROR(__xludf.DUMMYFUNCTION("""COMPUTED_VALUE"""),"Linh")</f>
        <v>Linh</v>
      </c>
      <c r="N45" s="383" t="str">
        <f>IFERROR(__xludf.DUMMYFUNCTION("""COMPUTED_VALUE"""),"Đã liên lạc lần 1")</f>
        <v>Đã liên lạc lần 1</v>
      </c>
      <c r="O45" s="383" t="b">
        <f>IFERROR(__xludf.DUMMYFUNCTION("""COMPUTED_VALUE"""),FALSE)</f>
        <v>0</v>
      </c>
      <c r="P45" s="383" t="str">
        <f>IFERROR(__xludf.DUMMYFUNCTION("""COMPUTED_VALUE"""),"Bé sẽ học khoá Starter ")</f>
        <v>Bé sẽ học khoá Starter </v>
      </c>
      <c r="Q45" s="383"/>
      <c r="R45" s="383"/>
      <c r="S45" s="383" t="str">
        <f>IFERROR(__xludf.DUMMYFUNCTION("""COMPUTED_VALUE"""),"12/7: Hẹn lịch test 18h30 ngày 12/7
12/7: Đã test và bé sẽ học lớp Starter")</f>
        <v>12/7: Hẹn lịch test 18h30 ngày 12/7
12/7: Đã test và bé sẽ học lớp Starter</v>
      </c>
      <c r="T45" s="383" t="str">
        <f>IFERROR(__xludf.DUMMYFUNCTION("""COMPUTED_VALUE"""),"Tư vấn khoá học ")</f>
        <v>Tư vấn khoá học </v>
      </c>
      <c r="U45" s="552">
        <f>IFERROR(__xludf.DUMMYFUNCTION("""COMPUTED_VALUE"""),45122.0)</f>
        <v>45122</v>
      </c>
      <c r="V45" s="552"/>
      <c r="W45" s="383"/>
      <c r="X45" s="501"/>
      <c r="Y45" s="501"/>
      <c r="Z45" s="501"/>
      <c r="AA45" s="501"/>
    </row>
    <row r="46" ht="57.75" customHeight="1">
      <c r="A46" s="552">
        <f>IFERROR(__xludf.DUMMYFUNCTION("""COMPUTED_VALUE"""),45119.0)</f>
        <v>45119</v>
      </c>
      <c r="B46" s="383" t="str">
        <f>IFERROR(__xludf.DUMMYFUNCTION("""COMPUTED_VALUE"""),"HV giới thiệu")</f>
        <v>HV giới thiệu</v>
      </c>
      <c r="C46" s="322" t="str">
        <f>IFERROR(__xludf.DUMMYFUNCTION("""COMPUTED_VALUE"""),"Mẹ Yên An (Mẹ Nguyên Bảo giới thiệu qua thầy)")</f>
        <v>Mẹ Yên An (Mẹ Nguyên Bảo giới thiệu qua thầy)</v>
      </c>
      <c r="D46" s="383" t="str">
        <f>IFERROR(__xludf.DUMMYFUNCTION("""COMPUTED_VALUE"""),"Nguyễn Trí Nam ")</f>
        <v>Nguyễn Trí Nam </v>
      </c>
      <c r="E46" s="383"/>
      <c r="F46" s="554">
        <f>IFERROR(__xludf.DUMMYFUNCTION("""COMPUTED_VALUE"""),41650.0)</f>
        <v>41650</v>
      </c>
      <c r="G46" s="383">
        <f>IFERROR(__xludf.DUMMYFUNCTION("""COMPUTED_VALUE"""),4.0)</f>
        <v>4</v>
      </c>
      <c r="H46" s="383"/>
      <c r="I46" s="401" t="str">
        <f>IFERROR(__xludf.DUMMYFUNCTION("""COMPUTED_VALUE"""),"Số mẹ: 0989886221
Số bố: 0937067612")</f>
        <v>Số mẹ: 0989886221
Số bố: 0937067612</v>
      </c>
      <c r="J46" s="383"/>
      <c r="K46" s="383" t="str">
        <f>IFERROR(__xludf.DUMMYFUNCTION("""COMPUTED_VALUE"""),"Yên An")</f>
        <v>Yên An</v>
      </c>
      <c r="L46" s="383" t="str">
        <f>IFERROR(__xludf.DUMMYFUNCTION("""COMPUTED_VALUE"""),"Bé học chương trình cơ bản. Nghe tốt nhưng k có môi trường để nói và tương tác")</f>
        <v>Bé học chương trình cơ bản. Nghe tốt nhưng k có môi trường để nói và tương tác</v>
      </c>
      <c r="M46" s="383" t="str">
        <f>IFERROR(__xludf.DUMMYFUNCTION("""COMPUTED_VALUE"""),"Linh")</f>
        <v>Linh</v>
      </c>
      <c r="N46" s="383" t="str">
        <f>IFERROR(__xludf.DUMMYFUNCTION("""COMPUTED_VALUE"""),"Đã đóng học phí")</f>
        <v>Đã đóng học phí</v>
      </c>
      <c r="O46" s="383" t="b">
        <f>IFERROR(__xludf.DUMMYFUNCTION("""COMPUTED_VALUE"""),TRUE)</f>
        <v>1</v>
      </c>
      <c r="P46" s="383" t="str">
        <f>IFERROR(__xludf.DUMMYFUNCTION("""COMPUTED_VALUE"""),"Trí Nam
Con ngoan hiền, lễ phép.
Con có thể trả lời những câu hỏi cơ bản của cô về tên, tuổi, và sở thích,..
Con rất tập trung khi tham gia test.
Tốc độ phản xạ: Khá ổn. 
Con dùng được các câu hoàn chỉnh và sử dụng được cấu trúc câu đúng.
Con phát âm được"&amp;" các từ cơ bản, con có chú ý âm cuối nhưng vài từ vẫn bị sót âm cuối và chưa có nối âm khi nói.
Con nắm được đến chữ số hàng trăm.
Con nắm được số thứ tự. 
Con nắm được bảng chữ cái và đánh vần được tốt các từ.
Con có vốn từ vựng cơ bản về con vật, đồ vật"&amp;", vị trí, thời tiết, môn thể thao, thời gian,..
Con áp dụng được ngữ pháp khi nói tuy nhiên đôi câu còn nhầm lẫn cấu trúc câu.
Con cần cải thiện thêm kiến thức ngữ pháp của con về các thì.
Con cần rèn luyện thêm về từ vựng và cấu trúc với chương trình GTP"&amp;"X Level 3")</f>
        <v>Trí Nam
Con ngoan hiền, lễ phép.
Con có thể trả lời những câu hỏi cơ bản của cô về tên, tuổi, và sở thích,..
Con rất tập trung khi tham gia test.
Tốc độ phản xạ: Khá ổn. 
Con dùng được các câu hoàn chỉnh và sử dụng được cấu trúc câu đúng.
Con phát âm được các từ cơ bản, con có chú ý âm cuối nhưng vài từ vẫn bị sót âm cuối và chưa có nối âm khi nói.
Con nắm được đến chữ số hàng trăm.
Con nắm được số thứ tự. 
Con nắm được bảng chữ cái và đánh vần được tốt các từ.
Con có vốn từ vựng cơ bản về con vật, đồ vật, vị trí, thời tiết, môn thể thao, thời gian,..
Con áp dụng được ngữ pháp khi nói tuy nhiên đôi câu còn nhầm lẫn cấu trúc câu.
Con cần cải thiện thêm kiến thức ngữ pháp của con về các thì.
Con cần rèn luyện thêm về từ vựng và cấu trúc với chương trình GTPX Level 3</v>
      </c>
      <c r="Q46" s="383"/>
      <c r="R46" s="383"/>
      <c r="S46" s="383" t="str">
        <f>IFERROR(__xludf.DUMMYFUNCTION("""COMPUTED_VALUE"""),"12/7:  Đã nhắn tin tư vấn toàn bộ các lộ trình, hẹn test lúc 18h-18h30 ngày 13/7
14/7: Trả test, mẹ chốt khoá GTPX up 3 học kèm 1-2 học 50 buổi")</f>
        <v>12/7:  Đã nhắn tin tư vấn toàn bộ các lộ trình, hẹn test lúc 18h-18h30 ngày 13/7
14/7: Trả test, mẹ chốt khoá GTPX up 3 học kèm 1-2 học 50 buổi</v>
      </c>
      <c r="T46" s="383"/>
      <c r="U46" s="552"/>
      <c r="V46" s="552">
        <f>IFERROR(__xludf.DUMMYFUNCTION("""COMPUTED_VALUE"""),45122.0)</f>
        <v>45122</v>
      </c>
      <c r="W46" s="554" t="str">
        <f>IFERROR(__xludf.DUMMYFUNCTION("""COMPUTED_VALUE"""),"GTPX UP3 kèm 1-2 học 50 buổi")</f>
        <v>GTPX UP3 kèm 1-2 học 50 buổi</v>
      </c>
      <c r="X46" s="501">
        <f>IFERROR(__xludf.DUMMYFUNCTION("""COMPUTED_VALUE"""),6124000.0)</f>
        <v>6124000</v>
      </c>
      <c r="Y46" s="501">
        <f>IFERROR(__xludf.DUMMYFUNCTION("""COMPUTED_VALUE"""),765720.0)</f>
        <v>765720</v>
      </c>
      <c r="Z46" s="501">
        <f>IFERROR(__xludf.DUMMYFUNCTION("""COMPUTED_VALUE"""),5358280.0)</f>
        <v>5358280</v>
      </c>
      <c r="AA46" s="501"/>
    </row>
    <row r="47" ht="57.75" customHeight="1">
      <c r="A47" s="552">
        <f>IFERROR(__xludf.DUMMYFUNCTION("""COMPUTED_VALUE"""),45120.0)</f>
        <v>45120</v>
      </c>
      <c r="B47" s="383" t="str">
        <f>IFERROR(__xludf.DUMMYFUNCTION("""COMPUTED_VALUE"""),"HV giới thiệu")</f>
        <v>HV giới thiệu</v>
      </c>
      <c r="C47" s="322" t="str">
        <f>IFERROR(__xludf.DUMMYFUNCTION("""COMPUTED_VALUE"""),"Hoàng Giang (Mẹ bé Trí Nam giới thiệu)")</f>
        <v>Hoàng Giang (Mẹ bé Trí Nam giới thiệu)</v>
      </c>
      <c r="D47" s="383" t="str">
        <f>IFERROR(__xludf.DUMMYFUNCTION("""COMPUTED_VALUE"""),"Nguyễn Hoàng Minh Thư")</f>
        <v>Nguyễn Hoàng Minh Thư</v>
      </c>
      <c r="E47" s="383"/>
      <c r="F47" s="383" t="str">
        <f>IFERROR(__xludf.DUMMYFUNCTION("""COMPUTED_VALUE"""),"8 tuổi")</f>
        <v>8 tuổi</v>
      </c>
      <c r="G47" s="383"/>
      <c r="H47" s="383"/>
      <c r="I47" s="401" t="str">
        <f>IFERROR(__xludf.DUMMYFUNCTION("""COMPUTED_VALUE"""),"0914049048")</f>
        <v>0914049048</v>
      </c>
      <c r="J47" s="383"/>
      <c r="K47" s="383"/>
      <c r="L47" s="383"/>
      <c r="M47" s="383" t="str">
        <f>IFERROR(__xludf.DUMMYFUNCTION("""COMPUTED_VALUE"""),"Linh")</f>
        <v>Linh</v>
      </c>
      <c r="N47" s="383" t="str">
        <f>IFERROR(__xludf.DUMMYFUNCTION("""COMPUTED_VALUE"""),"Từ chối")</f>
        <v>Từ chối</v>
      </c>
      <c r="O47" s="383" t="b">
        <f>IFERROR(__xludf.DUMMYFUNCTION("""COMPUTED_VALUE"""),TRUE)</f>
        <v>1</v>
      </c>
      <c r="P47" s="383" t="str">
        <f>IFERROR(__xludf.DUMMYFUNCTION("""COMPUTED_VALUE"""),"Minh Thư
Con ngoan hiền, lễ phép.
Con tập trung khi tham gia test.
Tốc độ phản xạ: Khá ổn
Con có thể trả lời những câu hỏi cơ bản về thông tin cá nhân, sở thích, thành viên gia đình,..
 Con cần luyện thêm về cách phát triển chủ đề khi giao tiếp và đặt câu"&amp;" hỏi.
Con có thể phát âm cơ bản nhưng cần cải thiện thêm phát âm âm cuối và nối âm.
Con có thể nắm được đến các số hàng trăm.
Con nắm được bảng chữ cái và đánh vần được tốt các từ.
Con có vốn từ vựng cơ bản về con vật, đồ vật, so sánh, vị trí, thời gian, "&amp;"thời tiết,...
Con có thể đọc hiểu và trả lời được đúng các câu hỏi liên quan đến bài đọc hiểu.
Con nắm chưa được nhiều kiến thức ngữ pháp về các thì.
Con cần rèn luyện thêm về từ vựng và cấu trúc với chương trình: 1/2 GTPX UP2")</f>
        <v>Minh Thư
Con ngoan hiền, lễ phép.
Con tập trung khi tham gia test.
Tốc độ phản xạ: Khá ổn
Con có thể trả lời những câu hỏi cơ bản về thông tin cá nhân, sở thích, thành viên gia đình,..
 Con cần luyện thêm về cách phát triển chủ đề khi giao tiếp và đặt câu hỏi.
Con có thể phát âm cơ bản nhưng cần cải thiện thêm phát âm âm cuối và nối âm.
Con có thể nắm được đến các số hàng trăm.
Con nắm được bảng chữ cái và đánh vần được tốt các từ.
Con có vốn từ vựng cơ bản về con vật, đồ vật, so sánh, vị trí, thời gian, thời tiết,...
Con có thể đọc hiểu và trả lời được đúng các câu hỏi liên quan đến bài đọc hiểu.
Con nắm chưa được nhiều kiến thức ngữ pháp về các thì.
Con cần rèn luyện thêm về từ vựng và cấu trúc với chương trình: 1/2 GTPX UP2</v>
      </c>
      <c r="Q47" s="383"/>
      <c r="R47" s="383"/>
      <c r="S47" s="383" t="str">
        <f>IFERROR(__xludf.DUMMYFUNCTION("""COMPUTED_VALUE"""),"13/7: Hẹn lịch test 15/7 lúc 14h30
15/7: Trả test
17/7: Mẹ cân nhắc 
4/8: Từ chối")</f>
        <v>13/7: Hẹn lịch test 15/7 lúc 14h30
15/7: Trả test
17/7: Mẹ cân nhắc 
4/8: Từ chối</v>
      </c>
      <c r="T47" s="383" t="str">
        <f>IFERROR(__xludf.DUMMYFUNCTION("""COMPUTED_VALUE"""),"Ngừng chăm sóc")</f>
        <v>Ngừng chăm sóc</v>
      </c>
      <c r="U47" s="552"/>
      <c r="V47" s="552"/>
      <c r="W47" s="383"/>
      <c r="X47" s="501"/>
      <c r="Y47" s="501"/>
      <c r="Z47" s="501"/>
      <c r="AA47" s="501"/>
    </row>
    <row r="48" ht="57.75" customHeight="1">
      <c r="A48" s="552">
        <f>IFERROR(__xludf.DUMMYFUNCTION("""COMPUTED_VALUE"""),45125.0)</f>
        <v>45125</v>
      </c>
      <c r="B48" s="383" t="str">
        <f>IFERROR(__xludf.DUMMYFUNCTION("""COMPUTED_VALUE"""),"HV giới thiệu")</f>
        <v>HV giới thiệu</v>
      </c>
      <c r="C48" s="322" t="str">
        <f>IFERROR(__xludf.DUMMYFUNCTION("""COMPUTED_VALUE"""),"mẹ tên Hằng (mẹ Tuyền giới thiệu) ko thuộc LTKM")</f>
        <v>mẹ tên Hằng (mẹ Tuyền giới thiệu) ko thuộc LTKM</v>
      </c>
      <c r="D48" s="383" t="str">
        <f>IFERROR(__xludf.DUMMYFUNCTION("""COMPUTED_VALUE""")," Nguyễn Hoàng Quân")</f>
        <v> Nguyễn Hoàng Quân</v>
      </c>
      <c r="E48" s="383" t="str">
        <f>IFERROR(__xludf.DUMMYFUNCTION("""COMPUTED_VALUE"""),"Tom")</f>
        <v>Tom</v>
      </c>
      <c r="F48" s="383">
        <f>IFERROR(__xludf.DUMMYFUNCTION("""COMPUTED_VALUE"""),2011.0)</f>
        <v>2011</v>
      </c>
      <c r="G48" s="383">
        <f>IFERROR(__xludf.DUMMYFUNCTION("""COMPUTED_VALUE"""),7.0)</f>
        <v>7</v>
      </c>
      <c r="H48" s="383" t="str">
        <f>IFERROR(__xludf.DUMMYFUNCTION("""COMPUTED_VALUE"""),"Huế")</f>
        <v>Huế</v>
      </c>
      <c r="I48" s="401" t="str">
        <f>IFERROR(__xludf.DUMMYFUNCTION("""COMPUTED_VALUE"""),"0931931323")</f>
        <v>0931931323</v>
      </c>
      <c r="J48" s="383"/>
      <c r="K48" s="383"/>
      <c r="L48" s="383"/>
      <c r="M48" s="383" t="str">
        <f>IFERROR(__xludf.DUMMYFUNCTION("""COMPUTED_VALUE"""),"Ánh")</f>
        <v>Ánh</v>
      </c>
      <c r="N48" s="383" t="str">
        <f>IFERROR(__xludf.DUMMYFUNCTION("""COMPUTED_VALUE"""),"Đã đóng học phí")</f>
        <v>Đã đóng học phí</v>
      </c>
      <c r="O48" s="383" t="b">
        <f>IFERROR(__xludf.DUMMYFUNCTION("""COMPUTED_VALUE"""),TRUE)</f>
        <v>1</v>
      </c>
      <c r="P48" s="383" t="str">
        <f>IFERROR(__xludf.DUMMYFUNCTION("""COMPUTED_VALUE"""),"Con ngoan hiền, lễ phép. 
Con tập trung khi tham gia buổi test.
Tốc độ phản xạ: Còn khá chậm
Con có thể trả lời câu hỏi của cô về tên, màu sắc yêu thích, thành viên trong gia đình nhưng con chưa trả lời câu hỏi cô về tuổi, sức khỏe, sở thích,...
Con cần c"&amp;"ải thiện thêm phát âm, đặc biệt là âm cuối.
Con ít dùng câu hoàn chỉnh khi trả lời, đa phần con dùng từ lẻ để trả lời.
Con có thể nắm được số từ 1-20.
Con nhớ chưa tốt cách đọc số 12 và con còn nhầm lẫn cách đọc số 20.
Con thuộc bảng chữ cái. Đánh vần với"&amp;" tốc độ vừa phải.
Con có vốn từ chưa được nhiều về các chủ đề: con vật, đồ vật, thể thao, vị trí,..
Khả năng đọc hiểu của con còn khá yếu, con chưa trả lời được các câu hỏi liên quan đến đoạn văn.
Con cần rèn luyện thêm về từ vựng và ngữ pháp với chương t"&amp;"rình : GTPX Level 1.")</f>
        <v>Con ngoan hiền, lễ phép. 
Con tập trung khi tham gia buổi test.
Tốc độ phản xạ: Còn khá chậm
Con có thể trả lời câu hỏi của cô về tên, màu sắc yêu thích, thành viên trong gia đình nhưng con chưa trả lời câu hỏi cô về tuổi, sức khỏe, sở thích,...
Con cần cải thiện thêm phát âm, đặc biệt là âm cuối.
Con ít dùng câu hoàn chỉnh khi trả lời, đa phần con dùng từ lẻ để trả lời.
Con có thể nắm được số từ 1-20.
Con nhớ chưa tốt cách đọc số 12 và con còn nhầm lẫn cách đọc số 20.
Con thuộc bảng chữ cái. Đánh vần với tốc độ vừa phải.
Con có vốn từ chưa được nhiều về các chủ đề: con vật, đồ vật, thể thao, vị trí,..
Khả năng đọc hiểu của con còn khá yếu, con chưa trả lời được các câu hỏi liên quan đến đoạn văn.
Con cần rèn luyện thêm về từ vựng và ngữ pháp với chương trình : GTPX Level 1.</v>
      </c>
      <c r="Q48" s="383"/>
      <c r="R48" s="383"/>
      <c r="S48" s="383" t="str">
        <f>IFERROR(__xludf.DUMMYFUNCTION("""COMPUTED_VALUE"""),"18/7: gọi knm, gửi thông tin khóa học
19/7: liên lạc xếp lịch test cho con vào chiều thứ 5
20/7: đã trả kết quả test. mẹ chọn lớp 1-2. nhắc đóng học phí")</f>
        <v>18/7: gọi knm, gửi thông tin khóa học
19/7: liên lạc xếp lịch test cho con vào chiều thứ 5
20/7: đã trả kết quả test. mẹ chọn lớp 1-2. nhắc đóng học phí</v>
      </c>
      <c r="T48" s="383" t="str">
        <f>IFERROR(__xludf.DUMMYFUNCTION("""COMPUTED_VALUE"""),"nhắc đóng học phí")</f>
        <v>nhắc đóng học phí</v>
      </c>
      <c r="U48" s="552"/>
      <c r="V48" s="552">
        <f>IFERROR(__xludf.DUMMYFUNCTION("""COMPUTED_VALUE"""),45128.0)</f>
        <v>45128</v>
      </c>
      <c r="W48" s="554" t="str">
        <f>IFERROR(__xludf.DUMMYFUNCTION("""COMPUTED_VALUE"""),"gtpx")</f>
        <v>gtpx</v>
      </c>
      <c r="X48" s="501">
        <f>IFERROR(__xludf.DUMMYFUNCTION("""COMPUTED_VALUE"""),6124000.0)</f>
        <v>6124000</v>
      </c>
      <c r="Y48" s="501">
        <f>IFERROR(__xludf.DUMMYFUNCTION("""COMPUTED_VALUE"""),765720.0)</f>
        <v>765720</v>
      </c>
      <c r="Z48" s="501">
        <f>IFERROR(__xludf.DUMMYFUNCTION("""COMPUTED_VALUE"""),5358280.0)</f>
        <v>5358280</v>
      </c>
      <c r="AA48" s="501"/>
    </row>
    <row r="49" ht="57.75" customHeight="1">
      <c r="A49" s="552">
        <f>IFERROR(__xludf.DUMMYFUNCTION("""COMPUTED_VALUE"""),45126.0)</f>
        <v>45126</v>
      </c>
      <c r="B49" s="383" t="str">
        <f>IFERROR(__xludf.DUMMYFUNCTION("""COMPUTED_VALUE"""),"HV giới thiệu")</f>
        <v>HV giới thiệu</v>
      </c>
      <c r="C49" s="322" t="str">
        <f>IFERROR(__xludf.DUMMYFUNCTION("""COMPUTED_VALUE"""),"Thanh Vân - Mẹ Minh Hiếu giới thiệu")</f>
        <v>Thanh Vân - Mẹ Minh Hiếu giới thiệu</v>
      </c>
      <c r="D49" s="383" t="str">
        <f>IFERROR(__xludf.DUMMYFUNCTION("""COMPUTED_VALUE"""),"Tạ Đức Nam")</f>
        <v>Tạ Đức Nam</v>
      </c>
      <c r="E49" s="383"/>
      <c r="F49" s="383">
        <f>IFERROR(__xludf.DUMMYFUNCTION("""COMPUTED_VALUE"""),2013.0)</f>
        <v>2013</v>
      </c>
      <c r="G49" s="383">
        <f>IFERROR(__xludf.DUMMYFUNCTION("""COMPUTED_VALUE"""),5.0)</f>
        <v>5</v>
      </c>
      <c r="H49" s="383"/>
      <c r="I49" s="401" t="str">
        <f>IFERROR(__xludf.DUMMYFUNCTION("""COMPUTED_VALUE"""),"0905 499 930")</f>
        <v>0905 499 930</v>
      </c>
      <c r="J49" s="383"/>
      <c r="K49" s="383"/>
      <c r="L49" s="383"/>
      <c r="M49" s="383" t="str">
        <f>IFERROR(__xludf.DUMMYFUNCTION("""COMPUTED_VALUE"""),"Ánh")</f>
        <v>Ánh</v>
      </c>
      <c r="N49" s="383" t="str">
        <f>IFERROR(__xludf.DUMMYFUNCTION("""COMPUTED_VALUE"""),"Đã đóng học phí")</f>
        <v>Đã đóng học phí</v>
      </c>
      <c r="O49" s="383" t="b">
        <f>IFERROR(__xludf.DUMMYFUNCTION("""COMPUTED_VALUE"""),TRUE)</f>
        <v>1</v>
      </c>
      <c r="P49" s="383" t="str">
        <f>IFERROR(__xludf.DUMMYFUNCTION("""COMPUTED_VALUE"""),"Con ngoan hiền, lễ phép. 
Con tập trung khi tham gia buổi test. Tuy nhiên còn được nhận sự hỗ trợ từ bố/mẹ khá nhiều. 
Tốc độ phản xạ: Chưa nhanh.
Con có thể trả lời câu hỏi của cô về tên, màu sắc yêu thích, thành viên trong gia đình. Tuy nhiên chưa mở rộ"&amp;"ng được chủ đề giao tiếp.
Con phát âm khá tự nhiên nhưng còn xót âm cuối nhiều.
Con ít dùng câu hoàn chỉnh khi trả lời, đa phần con dùng từ lẻ để trả lời.
Con có thể nắm được số từ 1-100. Còn nhầm một vài số như 50,...
Con thuộc hết bảng chữ cái. Đánh vần"&amp;" với tốc độ khá nhanh.
Con có vốn từ chưa được nhiều về các chủ đề: con vật, đồ vật, thể thao, vị trí,..
Con chưa đọc hiểu được tốt bài đọc.
Con cần rèn luyện thêm về từ vựng và ngữ pháp với chương trình : GTPX Level 2.")</f>
        <v>Con ngoan hiền, lễ phép. 
Con tập trung khi tham gia buổi test. Tuy nhiên còn được nhận sự hỗ trợ từ bố/mẹ khá nhiều. 
Tốc độ phản xạ: Chưa nhanh.
Con có thể trả lời câu hỏi của cô về tên, màu sắc yêu thích, thành viên trong gia đình. Tuy nhiên chưa mở rộng được chủ đề giao tiếp.
Con phát âm khá tự nhiên nhưng còn xót âm cuối nhiều.
Con ít dùng câu hoàn chỉnh khi trả lời, đa phần con dùng từ lẻ để trả lời.
Con có thể nắm được số từ 1-100. Còn nhầm một vài số như 50,...
Con thuộc hết bảng chữ cái. Đánh vần với tốc độ khá nhanh.
Con có vốn từ chưa được nhiều về các chủ đề: con vật, đồ vật, thể thao, vị trí,..
Con chưa đọc hiểu được tốt bài đọc.
Con cần rèn luyện thêm về từ vựng và ngữ pháp với chương trình : GTPX Level 2.</v>
      </c>
      <c r="Q49" s="383"/>
      <c r="R49" s="383"/>
      <c r="S49" s="383" t="str">
        <f>IFERROR(__xludf.DUMMYFUNCTION("""COMPUTED_VALUE"""),"19/7: gọi trao đổi, hẹn lịch test vào tối thứ 5")</f>
        <v>19/7: gọi trao đổi, hẹn lịch test vào tối thứ 5</v>
      </c>
      <c r="T49" s="383"/>
      <c r="U49" s="552"/>
      <c r="V49" s="552">
        <f>IFERROR(__xludf.DUMMYFUNCTION("""COMPUTED_VALUE"""),45129.0)</f>
        <v>45129</v>
      </c>
      <c r="W49" s="554" t="str">
        <f>IFERROR(__xludf.DUMMYFUNCTION("""COMPUTED_VALUE"""),"gtpx 1-2")</f>
        <v>gtpx 1-2</v>
      </c>
      <c r="X49" s="501">
        <f>IFERROR(__xludf.DUMMYFUNCTION("""COMPUTED_VALUE"""),6124000.0)</f>
        <v>6124000</v>
      </c>
      <c r="Y49" s="501">
        <f>IFERROR(__xludf.DUMMYFUNCTION("""COMPUTED_VALUE"""),935470.0)</f>
        <v>935470</v>
      </c>
      <c r="Z49" s="501">
        <f>IFERROR(__xludf.DUMMYFUNCTION("""COMPUTED_VALUE"""),2000000.0)</f>
        <v>2000000</v>
      </c>
      <c r="AA49" s="501"/>
    </row>
    <row r="50" ht="57.75" customHeight="1">
      <c r="A50" s="552"/>
      <c r="B50" s="383" t="str">
        <f>IFERROR(__xludf.DUMMYFUNCTION("""COMPUTED_VALUE"""),"HV giới thiệu")</f>
        <v>HV giới thiệu</v>
      </c>
      <c r="C50" s="322" t="str">
        <f>IFERROR(__xludf.DUMMYFUNCTION("""COMPUTED_VALUE"""),"Thanh Vân - Mẹ Minh Hiếu giới thiệu")</f>
        <v>Thanh Vân - Mẹ Minh Hiếu giới thiệu</v>
      </c>
      <c r="D50" s="383" t="str">
        <f>IFERROR(__xludf.DUMMYFUNCTION("""COMPUTED_VALUE"""),"Tạ Đức Nam")</f>
        <v>Tạ Đức Nam</v>
      </c>
      <c r="E50" s="383"/>
      <c r="F50" s="383">
        <f>IFERROR(__xludf.DUMMYFUNCTION("""COMPUTED_VALUE"""),2013.0)</f>
        <v>2013</v>
      </c>
      <c r="G50" s="383">
        <f>IFERROR(__xludf.DUMMYFUNCTION("""COMPUTED_VALUE"""),5.0)</f>
        <v>5</v>
      </c>
      <c r="H50" s="383"/>
      <c r="I50" s="401" t="str">
        <f>IFERROR(__xludf.DUMMYFUNCTION("""COMPUTED_VALUE"""),"0905 499 930")</f>
        <v>0905 499 930</v>
      </c>
      <c r="J50" s="383"/>
      <c r="K50" s="383"/>
      <c r="L50" s="383"/>
      <c r="M50" s="383" t="str">
        <f>IFERROR(__xludf.DUMMYFUNCTION("""COMPUTED_VALUE"""),"Ánh")</f>
        <v>Ánh</v>
      </c>
      <c r="N50" s="383" t="str">
        <f>IFERROR(__xludf.DUMMYFUNCTION("""COMPUTED_VALUE"""),"Đã đóng học phí")</f>
        <v>Đã đóng học phí</v>
      </c>
      <c r="O50" s="383" t="b">
        <f>IFERROR(__xludf.DUMMYFUNCTION("""COMPUTED_VALUE"""),TRUE)</f>
        <v>1</v>
      </c>
      <c r="P50" s="383" t="str">
        <f>IFERROR(__xludf.DUMMYFUNCTION("""COMPUTED_VALUE"""),"Con ngoan hiền, lễ phép. 
Con tập trung khi tham gia buổi test. Tuy nhiên còn được nhận sự hỗ trợ từ bố/mẹ khá nhiều. 
Tốc độ phản xạ: Chưa nhanh.
Con có thể trả lời câu hỏi của cô về tên, màu sắc yêu thích, thành viên trong gia đình. Tuy nhiên chưa mở rộ"&amp;"ng được chủ đề giao tiếp.
Con phát âm khá tự nhiên nhưng còn xót âm cuối nhiều.
Con ít dùng câu hoàn chỉnh khi trả lời, đa phần con dùng từ lẻ để trả lời.
Con có thể nắm được số từ 1-100. Còn nhầm một vài số như 50,...
Con thuộc hết bảng chữ cái. Đánh vần"&amp;" với tốc độ khá nhanh.
Con có vốn từ chưa được nhiều về các chủ đề: con vật, đồ vật, thể thao, vị trí,..
Con chưa đọc hiểu được tốt bài đọc.
Con cần rèn luyện thêm về từ vựng và ngữ pháp với chương trình : GTPX Level 2.")</f>
        <v>Con ngoan hiền, lễ phép. 
Con tập trung khi tham gia buổi test. Tuy nhiên còn được nhận sự hỗ trợ từ bố/mẹ khá nhiều. 
Tốc độ phản xạ: Chưa nhanh.
Con có thể trả lời câu hỏi của cô về tên, màu sắc yêu thích, thành viên trong gia đình. Tuy nhiên chưa mở rộng được chủ đề giao tiếp.
Con phát âm khá tự nhiên nhưng còn xót âm cuối nhiều.
Con ít dùng câu hoàn chỉnh khi trả lời, đa phần con dùng từ lẻ để trả lời.
Con có thể nắm được số từ 1-100. Còn nhầm một vài số như 50,...
Con thuộc hết bảng chữ cái. Đánh vần với tốc độ khá nhanh.
Con có vốn từ chưa được nhiều về các chủ đề: con vật, đồ vật, thể thao, vị trí,..
Con chưa đọc hiểu được tốt bài đọc.
Con cần rèn luyện thêm về từ vựng và ngữ pháp với chương trình : GTPX Level 2.</v>
      </c>
      <c r="Q50" s="383"/>
      <c r="R50" s="383"/>
      <c r="S50" s="383" t="str">
        <f>IFERROR(__xludf.DUMMYFUNCTION("""COMPUTED_VALUE"""),"19/7: gọi trao đổi, hẹn lịch test vào tối thứ 5")</f>
        <v>19/7: gọi trao đổi, hẹn lịch test vào tối thứ 5</v>
      </c>
      <c r="T50" s="383"/>
      <c r="U50" s="552"/>
      <c r="V50" s="552">
        <f>IFERROR(__xludf.DUMMYFUNCTION("""COMPUTED_VALUE"""),45164.0)</f>
        <v>45164</v>
      </c>
      <c r="W50" s="554" t="str">
        <f>IFERROR(__xludf.DUMMYFUNCTION("""COMPUTED_VALUE"""),"gtpx 1-2
Đóng phần còn lại")</f>
        <v>gtpx 1-2
Đóng phần còn lại</v>
      </c>
      <c r="X50" s="501"/>
      <c r="Y50" s="501"/>
      <c r="Z50" s="501">
        <f>IFERROR(__xludf.DUMMYFUNCTION("""COMPUTED_VALUE"""),3188000.0)</f>
        <v>3188000</v>
      </c>
      <c r="AA50" s="501"/>
    </row>
    <row r="51" ht="57.75" customHeight="1">
      <c r="A51" s="552">
        <f>IFERROR(__xludf.DUMMYFUNCTION("""COMPUTED_VALUE"""),45093.0)</f>
        <v>45093</v>
      </c>
      <c r="B51" s="383" t="str">
        <f>IFERROR(__xludf.DUMMYFUNCTION("""COMPUTED_VALUE"""),"HV giới thiệu")</f>
        <v>HV giới thiệu</v>
      </c>
      <c r="C51" s="322" t="str">
        <f>IFERROR(__xludf.DUMMYFUNCTION("""COMPUTED_VALUE"""),"Mẹ Vân Sally (mẹ Harey giới thiệu, gửi thông tin qua thầy)")</f>
        <v>Mẹ Vân Sally (mẹ Harey giới thiệu, gửi thông tin qua thầy)</v>
      </c>
      <c r="D51" s="383" t="str">
        <f>IFERROR(__xludf.DUMMYFUNCTION("""COMPUTED_VALUE"""),"Nguyễn Hồng Phúc")</f>
        <v>Nguyễn Hồng Phúc</v>
      </c>
      <c r="E51" s="383" t="str">
        <f>IFERROR(__xludf.DUMMYFUNCTION("""COMPUTED_VALUE"""),"Tony")</f>
        <v>Tony</v>
      </c>
      <c r="F51" s="554">
        <f>IFERROR(__xludf.DUMMYFUNCTION("""COMPUTED_VALUE"""),42257.0)</f>
        <v>42257</v>
      </c>
      <c r="G51" s="383"/>
      <c r="H51" s="383"/>
      <c r="I51" s="401" t="str">
        <f>IFERROR(__xludf.DUMMYFUNCTION("""COMPUTED_VALUE"""),"0905682899")</f>
        <v>0905682899</v>
      </c>
      <c r="J51" s="383"/>
      <c r="K51" s="383"/>
      <c r="L51" s="383"/>
      <c r="M51" s="383" t="str">
        <f>IFERROR(__xludf.DUMMYFUNCTION("""COMPUTED_VALUE"""),"Yến")</f>
        <v>Yến</v>
      </c>
      <c r="N51" s="383" t="str">
        <f>IFERROR(__xludf.DUMMYFUNCTION("""COMPUTED_VALUE"""),"Đã đóng học phí")</f>
        <v>Đã đóng học phí</v>
      </c>
      <c r="O51" s="383" t="b">
        <f>IFERROR(__xludf.DUMMYFUNCTION("""COMPUTED_VALUE"""),TRUE)</f>
        <v>1</v>
      </c>
      <c r="P51" s="383" t="str">
        <f>IFERROR(__xludf.DUMMYFUNCTION("""COMPUTED_VALUE"""),"Con ngoan hiền, lễ phép. 
Con tập trung khi tham gia buổi test. Tuy nhiên còn được nhận sự hỗ trợ từ mẹ khá nhiều. 
Tốc độ phản xạ: Chưa nhanh.
Con có thể trả lời câu hỏi của cô về tên, màu sắc yêu thích, thành viên trong gia đình nhưng các chủ đề khó hơn"&amp;" con chưa đáp được.
Con phát âm khá tự nhiên nhưng còn xót âm cuối nhiều.
Con ít dùng câu hoàn chỉnh khi trả lời, đa phần con dùng từ lẻ để trả lời.
Con có thể nắm được số từ 1-11.
Con nhớ chưa tốt cách đọc số 12 và con còn nhầm lẫn cách đọc số 20.
Con ch"&amp;"ưa thuộc hết bảng chữ cái. Đánh vần với tốc độ chậm.
Con có vốn từ chưa được nhiều về các chủ đề: con vật, đồ vật, thể thao, vị trí,..
Con chưa đọc được chữ nhiều.
Con cần rèn luyện thêm về từ vựng và ngữ pháp với chương trình : GTPX Level 1.")</f>
        <v>Con ngoan hiền, lễ phép. 
Con tập trung khi tham gia buổi test. Tuy nhiên còn được nhận sự hỗ trợ từ mẹ khá nhiều. 
Tốc độ phản xạ: Chưa nhanh.
Con có thể trả lời câu hỏi của cô về tên, màu sắc yêu thích, thành viên trong gia đình nhưng các chủ đề khó hơn con chưa đáp được.
Con phát âm khá tự nhiên nhưng còn xót âm cuối nhiều.
Con ít dùng câu hoàn chỉnh khi trả lời, đa phần con dùng từ lẻ để trả lời.
Con có thể nắm được số từ 1-11.
Con nhớ chưa tốt cách đọc số 12 và con còn nhầm lẫn cách đọc số 20.
Con chưa thuộc hết bảng chữ cái. Đánh vần với tốc độ chậm.
Con có vốn từ chưa được nhiều về các chủ đề: con vật, đồ vật, thể thao, vị trí,..
Con chưa đọc được chữ nhiều.
Con cần rèn luyện thêm về từ vựng và ngữ pháp với chương trình : GTPX Level 1.</v>
      </c>
      <c r="Q51" s="383"/>
      <c r="R51" s="383"/>
      <c r="S51" s="383" t="str">
        <f>IFERROR(__xludf.DUMMYFUNCTION("""COMPUTED_VALUE"""),"16/6: đã liên hệ và chia sẻ nhưng do không để ý tắt điện thoại làm phụ huynh khó chịu nen chưa hẹn được lịch test cho bé
19/7: Mẹ hẹn test 9h sáng 20/7 test
20/7: Mẹ bảo học phí cao, mẹ tự dạy cho bé cũng được
11/8: Mẹ chốt khoá GTPX Up1 kèm 1-2 học 25b, "&amp;"CHỜ MẸ CK
14/8: LINH CHUYỂN QUA C. ÁNH")</f>
        <v>16/6: đã liên hệ và chia sẻ nhưng do không để ý tắt điện thoại làm phụ huynh khó chịu nen chưa hẹn được lịch test cho bé
19/7: Mẹ hẹn test 9h sáng 20/7 test
20/7: Mẹ bảo học phí cao, mẹ tự dạy cho bé cũng được
11/8: Mẹ chốt khoá GTPX Up1 kèm 1-2 học 25b, CHỜ MẸ CK
14/8: LINH CHUYỂN QUA C. ÁNH</v>
      </c>
      <c r="T51" s="383" t="str">
        <f>IFERROR(__xludf.DUMMYFUNCTION("""COMPUTED_VALUE"""),"Chờ mẹ ck")</f>
        <v>Chờ mẹ ck</v>
      </c>
      <c r="U51" s="552"/>
      <c r="V51" s="552">
        <f>IFERROR(__xludf.DUMMYFUNCTION("""COMPUTED_VALUE"""),45165.0)</f>
        <v>45165</v>
      </c>
      <c r="W51" s="554" t="str">
        <f>IFERROR(__xludf.DUMMYFUNCTION("""COMPUTED_VALUE"""),"gtpx 1-2")</f>
        <v>gtpx 1-2</v>
      </c>
      <c r="X51" s="501">
        <f>IFERROR(__xludf.DUMMYFUNCTION("""COMPUTED_VALUE"""),3062000.0)</f>
        <v>3062000</v>
      </c>
      <c r="Y51" s="501">
        <f>IFERROR(__xludf.DUMMYFUNCTION("""COMPUTED_VALUE"""),306200.0)</f>
        <v>306200</v>
      </c>
      <c r="Z51" s="501">
        <f>IFERROR(__xludf.DUMMYFUNCTION("""COMPUTED_VALUE"""),2755800.0)</f>
        <v>2755800</v>
      </c>
      <c r="AA51" s="501"/>
    </row>
    <row r="52" ht="57.75" customHeight="1">
      <c r="A52" s="552">
        <f>IFERROR(__xludf.DUMMYFUNCTION("""COMPUTED_VALUE"""),45128.0)</f>
        <v>45128</v>
      </c>
      <c r="B52" s="383" t="str">
        <f>IFERROR(__xludf.DUMMYFUNCTION("""COMPUTED_VALUE"""),"HV giới thiệu")</f>
        <v>HV giới thiệu</v>
      </c>
      <c r="C52" s="322" t="str">
        <f>IFERROR(__xludf.DUMMYFUNCTION("""COMPUTED_VALUE"""),"Cao Bá Thái (Bố Cao Tuệ Lâm VUI06)")</f>
        <v>Cao Bá Thái (Bố Cao Tuệ Lâm VUI06)</v>
      </c>
      <c r="D52" s="383" t="str">
        <f>IFERROR(__xludf.DUMMYFUNCTION("""COMPUTED_VALUE"""),"Cao Tuệ Minh Nhật")</f>
        <v>Cao Tuệ Minh Nhật</v>
      </c>
      <c r="E52" s="383"/>
      <c r="F52" s="554">
        <f>IFERROR(__xludf.DUMMYFUNCTION("""COMPUTED_VALUE"""),42830.0)</f>
        <v>42830</v>
      </c>
      <c r="G52" s="383"/>
      <c r="H52" s="383"/>
      <c r="I52" s="401" t="str">
        <f>IFERROR(__xludf.DUMMYFUNCTION("""COMPUTED_VALUE"""),"988825768")</f>
        <v>988825768</v>
      </c>
      <c r="J52" s="383"/>
      <c r="K52" s="383"/>
      <c r="L52" s="383" t="str">
        <f>IFERROR(__xludf.DUMMYFUNCTION("""COMPUTED_VALUE"""),"Đăng ký cho bé thứ 2 học giao tiếp")</f>
        <v>Đăng ký cho bé thứ 2 học giao tiếp</v>
      </c>
      <c r="M52" s="383" t="str">
        <f>IFERROR(__xludf.DUMMYFUNCTION("""COMPUTED_VALUE"""),"Linh")</f>
        <v>Linh</v>
      </c>
      <c r="N52" s="383" t="str">
        <f>IFERROR(__xludf.DUMMYFUNCTION("""COMPUTED_VALUE"""),"Đã đóng học phí")</f>
        <v>Đã đóng học phí</v>
      </c>
      <c r="O52" s="383" t="b">
        <f>IFERROR(__xludf.DUMMYFUNCTION("""COMPUTED_VALUE"""),TRUE)</f>
        <v>1</v>
      </c>
      <c r="P52" s="383" t="str">
        <f>IFERROR(__xludf.DUMMYFUNCTION("""COMPUTED_VALUE"""),"Con ngoan hiền, lễ phép. 
Con tập trung khi tham gia buổi test. Chủ động trong xuốt quá trình test.
Tốc độ phản xạ: Khá tốt.
Con có thể trả lời câu hỏi của cô về tên, màu sắc yêu thích, thành viên trong gia đình,...
Con phát âm khá tự nhiên, có âm cuối. 
"&amp;"Con dùng được một số cấu trúc cơ bản.
Con có thể nắm được số từ 1-12.
Con chưa thuộc hết bảng chữ cái. Nắm được khoảng 65%. Chưa đánh vần được.
Con có vốn từ cơ bản về các chủ đề: con vật, đồ vật, thể thao, vị trí,..
Con chưa đọc được chữ nhiều.
Con cần r"&amp;"èn luyện thêm về từ vựng và ngữ pháp với chương trình : GTPX Level 1.")</f>
        <v>Con ngoan hiền, lễ phép. 
Con tập trung khi tham gia buổi test. Chủ động trong xuốt quá trình test.
Tốc độ phản xạ: Khá tốt.
Con có thể trả lời câu hỏi của cô về tên, màu sắc yêu thích, thành viên trong gia đình,...
Con phát âm khá tự nhiên, có âm cuối. 
Con dùng được một số cấu trúc cơ bản.
Con có thể nắm được số từ 1-12.
Con chưa thuộc hết bảng chữ cái. Nắm được khoảng 65%. Chưa đánh vần được.
Con có vốn từ cơ bản về các chủ đề: con vật, đồ vật, thể thao, vị trí,..
Con chưa đọc được chữ nhiều.
Con cần rèn luyện thêm về từ vựng và ngữ pháp với chương trình : GTPX Level 1.</v>
      </c>
      <c r="Q52" s="383"/>
      <c r="R52" s="383"/>
      <c r="S52" s="383" t="str">
        <f>IFERROR(__xludf.DUMMYFUNCTION("""COMPUTED_VALUE"""),"21/7: Đã tư vấn và hẹn test 16h15 ngày 22/7
22/7: Trả test học GTPX up1
23/7: Bố chuyển khoản khoá GTPX up1 kèm 1-2 học 50b")</f>
        <v>21/7: Đã tư vấn và hẹn test 16h15 ngày 22/7
22/7: Trả test học GTPX up1
23/7: Bố chuyển khoản khoá GTPX up1 kèm 1-2 học 50b</v>
      </c>
      <c r="T52" s="383"/>
      <c r="U52" s="552"/>
      <c r="V52" s="552">
        <f>IFERROR(__xludf.DUMMYFUNCTION("""COMPUTED_VALUE"""),45130.0)</f>
        <v>45130</v>
      </c>
      <c r="W52" s="554" t="str">
        <f>IFERROR(__xludf.DUMMYFUNCTION("""COMPUTED_VALUE"""),"GTPX UP1 kèm 1-2 học 50b")</f>
        <v>GTPX UP1 kèm 1-2 học 50b</v>
      </c>
      <c r="X52" s="501">
        <f>IFERROR(__xludf.DUMMYFUNCTION("""COMPUTED_VALUE"""),6124000.0)</f>
        <v>6124000</v>
      </c>
      <c r="Y52" s="501">
        <f>IFERROR(__xludf.DUMMYFUNCTION("""COMPUTED_VALUE"""),765720.0)</f>
        <v>765720</v>
      </c>
      <c r="Z52" s="501">
        <f>IFERROR(__xludf.DUMMYFUNCTION("""COMPUTED_VALUE"""),5358280.0)</f>
        <v>5358280</v>
      </c>
      <c r="AA52" s="501"/>
    </row>
    <row r="53" ht="57.75" customHeight="1">
      <c r="A53" s="552">
        <f>IFERROR(__xludf.DUMMYFUNCTION("""COMPUTED_VALUE"""),45128.0)</f>
        <v>45128</v>
      </c>
      <c r="B53" s="383" t="str">
        <f>IFERROR(__xludf.DUMMYFUNCTION("""COMPUTED_VALUE"""),"HV giới thiệu")</f>
        <v>HV giới thiệu</v>
      </c>
      <c r="C53" s="322"/>
      <c r="D53" s="383" t="str">
        <f>IFERROR(__xludf.DUMMYFUNCTION("""COMPUTED_VALUE"""),"Bá Tùng")</f>
        <v>Bá Tùng</v>
      </c>
      <c r="E53" s="383"/>
      <c r="F53" s="383"/>
      <c r="G53" s="383"/>
      <c r="H53" s="383"/>
      <c r="I53" s="401"/>
      <c r="J53" s="383"/>
      <c r="K53" s="383"/>
      <c r="L53" s="383" t="str">
        <f>IFERROR(__xludf.DUMMYFUNCTION("""COMPUTED_VALUE"""),"Hàng xóm của bố Thái - bé Minh Nhật")</f>
        <v>Hàng xóm của bố Thái - bé Minh Nhật</v>
      </c>
      <c r="M53" s="383" t="str">
        <f>IFERROR(__xludf.DUMMYFUNCTION("""COMPUTED_VALUE"""),"Linh")</f>
        <v>Linh</v>
      </c>
      <c r="N53" s="383" t="str">
        <f>IFERROR(__xludf.DUMMYFUNCTION("""COMPUTED_VALUE"""),"Từ chối")</f>
        <v>Từ chối</v>
      </c>
      <c r="O53" s="383" t="b">
        <f>IFERROR(__xludf.DUMMYFUNCTION("""COMPUTED_VALUE"""),FALSE)</f>
        <v>0</v>
      </c>
      <c r="P53" s="383"/>
      <c r="Q53" s="383"/>
      <c r="R53" s="383"/>
      <c r="S53" s="383" t="str">
        <f>IFERROR(__xludf.DUMMYFUNCTION("""COMPUTED_VALUE"""),"21/7: Hẹn test 22/7 lúc 18h30
22/7: Trả test bé học khoá Starter
24/7: Bố từ chối để 1 năm nữa r học vì bé chưa chuẩn bị sẵn sàng tinh thần để tham gia khoá học")</f>
        <v>21/7: Hẹn test 22/7 lúc 18h30
22/7: Trả test bé học khoá Starter
24/7: Bố từ chối để 1 năm nữa r học vì bé chưa chuẩn bị sẵn sàng tinh thần để tham gia khoá học</v>
      </c>
      <c r="T53" s="383" t="str">
        <f>IFERROR(__xludf.DUMMYFUNCTION("""COMPUTED_VALUE"""),"Ngừng tư vấn 1 năm")</f>
        <v>Ngừng tư vấn 1 năm</v>
      </c>
      <c r="U53" s="552"/>
      <c r="V53" s="552"/>
      <c r="W53" s="383"/>
      <c r="X53" s="501"/>
      <c r="Y53" s="501"/>
      <c r="Z53" s="501"/>
      <c r="AA53" s="501"/>
    </row>
    <row r="54" ht="57.75" customHeight="1">
      <c r="A54" s="552">
        <f>IFERROR(__xludf.DUMMYFUNCTION("""COMPUTED_VALUE"""),45128.0)</f>
        <v>45128</v>
      </c>
      <c r="B54" s="383" t="str">
        <f>IFERROR(__xludf.DUMMYFUNCTION("""COMPUTED_VALUE"""),"HV giới thiệu")</f>
        <v>HV giới thiệu</v>
      </c>
      <c r="C54" s="322" t="str">
        <f>IFERROR(__xludf.DUMMYFUNCTION("""COMPUTED_VALUE"""),"Trần Loan (Mẹ Trần Tuyết Chiêu giới thiệu qua fanpage kids)")</f>
        <v>Trần Loan (Mẹ Trần Tuyết Chiêu giới thiệu qua fanpage kids)</v>
      </c>
      <c r="D54" s="383" t="str">
        <f>IFERROR(__xludf.DUMMYFUNCTION("""COMPUTED_VALUE"""),"Thanh Tâm")</f>
        <v>Thanh Tâm</v>
      </c>
      <c r="E54" s="383"/>
      <c r="F54" s="383">
        <f>IFERROR(__xludf.DUMMYFUNCTION("""COMPUTED_VALUE"""),2006.0)</f>
        <v>2006</v>
      </c>
      <c r="G54" s="383">
        <f>IFERROR(__xludf.DUMMYFUNCTION("""COMPUTED_VALUE"""),11.0)</f>
        <v>11</v>
      </c>
      <c r="H54" s="383"/>
      <c r="I54" s="401"/>
      <c r="J54" s="383"/>
      <c r="K54" s="383"/>
      <c r="L54" s="383"/>
      <c r="M54" s="383" t="str">
        <f>IFERROR(__xludf.DUMMYFUNCTION("""COMPUTED_VALUE"""),"Ánh")</f>
        <v>Ánh</v>
      </c>
      <c r="N54" s="383" t="str">
        <f>IFERROR(__xludf.DUMMYFUNCTION("""COMPUTED_VALUE"""),"Đã liên lạc lần 1")</f>
        <v>Đã liên lạc lần 1</v>
      </c>
      <c r="O54" s="383" t="b">
        <f>IFERROR(__xludf.DUMMYFUNCTION("""COMPUTED_VALUE"""),FALSE)</f>
        <v>0</v>
      </c>
      <c r="P54" s="383"/>
      <c r="Q54" s="383"/>
      <c r="R54" s="383"/>
      <c r="S54" s="383" t="str">
        <f>IFERROR(__xludf.DUMMYFUNCTION("""COMPUTED_VALUE"""),"21/7: đã gọi trao đổi thông tin, hẹn lịch test tối thứ 2")</f>
        <v>21/7: đã gọi trao đổi thông tin, hẹn lịch test tối thứ 2</v>
      </c>
      <c r="T54" s="383"/>
      <c r="U54" s="552"/>
      <c r="V54" s="552"/>
      <c r="W54" s="383"/>
      <c r="X54" s="501"/>
      <c r="Y54" s="501"/>
      <c r="Z54" s="501"/>
      <c r="AA54" s="501"/>
    </row>
    <row r="55" ht="57.75" customHeight="1">
      <c r="A55" s="552">
        <f>IFERROR(__xludf.DUMMYFUNCTION("""COMPUTED_VALUE"""),45128.0)</f>
        <v>45128</v>
      </c>
      <c r="B55" s="383" t="str">
        <f>IFERROR(__xludf.DUMMYFUNCTION("""COMPUTED_VALUE"""),"HV giới thiệu")</f>
        <v>HV giới thiệu</v>
      </c>
      <c r="C55" s="322" t="str">
        <f>IFERROR(__xludf.DUMMYFUNCTION("""COMPUTED_VALUE"""),"Trần Loan (Mẹ Trần Tuyết Chiêu giới thiệu qua fanpage kids)")</f>
        <v>Trần Loan (Mẹ Trần Tuyết Chiêu giới thiệu qua fanpage kids)</v>
      </c>
      <c r="D55" s="383" t="str">
        <f>IFERROR(__xludf.DUMMYFUNCTION("""COMPUTED_VALUE"""),"Thanh Phước")</f>
        <v>Thanh Phước</v>
      </c>
      <c r="E55" s="383" t="str">
        <f>IFERROR(__xludf.DUMMYFUNCTION("""COMPUTED_VALUE"""),"Phillip")</f>
        <v>Phillip</v>
      </c>
      <c r="F55" s="383">
        <f>IFERROR(__xludf.DUMMYFUNCTION("""COMPUTED_VALUE"""),2014.0)</f>
        <v>2014</v>
      </c>
      <c r="G55" s="383">
        <f>IFERROR(__xludf.DUMMYFUNCTION("""COMPUTED_VALUE"""),4.0)</f>
        <v>4</v>
      </c>
      <c r="H55" s="383"/>
      <c r="I55" s="401" t="str">
        <f>IFERROR(__xludf.DUMMYFUNCTION("""COMPUTED_VALUE"""),"0347866626")</f>
        <v>0347866626</v>
      </c>
      <c r="J55" s="383"/>
      <c r="K55" s="383"/>
      <c r="L55" s="383" t="str">
        <f>IFERROR(__xludf.DUMMYFUNCTION("""COMPUTED_VALUE"""),"9t học lớp 4")</f>
        <v>9t học lớp 4</v>
      </c>
      <c r="M55" s="383" t="str">
        <f>IFERROR(__xludf.DUMMYFUNCTION("""COMPUTED_VALUE"""),"Ánh")</f>
        <v>Ánh</v>
      </c>
      <c r="N55" s="383" t="str">
        <f>IFERROR(__xludf.DUMMYFUNCTION("""COMPUTED_VALUE"""),"Đã test")</f>
        <v>Đã test</v>
      </c>
      <c r="O55" s="383" t="b">
        <f>IFERROR(__xludf.DUMMYFUNCTION("""COMPUTED_VALUE"""),TRUE)</f>
        <v>1</v>
      </c>
      <c r="P55" s="383" t="str">
        <f>IFERROR(__xludf.DUMMYFUNCTION("""COMPUTED_VALUE"""),"Con ngoan hiền, lễ phép, tập trung khi tham gia test. 
Tốc độ phản xạ: Chưa được nhanh. 
Con có thể trả lời được các câu hỏi các câu hỏi về các thông tin cá nhân cơ bản, sở thích, tuy nhiên khi cô hỏi ""How are you?"" thì con lại chưa hiểu câu hỏi và chưa"&amp;" biết cách trả lời.
Phát âm còn phải điều chỉnh. Chưa có âm cuối và chưa nối âm.
Con dùng được câu hoàn chỉnh nhiều nhưng nhiều cấu trúc câu con dùng chưa đúng.
Con có thể nắm được đến các chữ số hàng chục trong phạm vi 40 số đầu.
Con nắm được tốt bảng ch"&amp;"ữ cái và có thể đánh vần tốt.
Con có những vốn từ tương đối về các chủ đề: hoạt động, màu sắc, con vật, đồ vật, thể thao...
Con cần rèn luyện thêm về từ vựng và cấu trúc câu với chương trình : GTPX Level 2")</f>
        <v>Con ngoan hiền, lễ phép, tập trung khi tham gia test. 
Tốc độ phản xạ: Chưa được nhanh. 
Con có thể trả lời được các câu hỏi các câu hỏi về các thông tin cá nhân cơ bản, sở thích, tuy nhiên khi cô hỏi "How are you?" thì con lại chưa hiểu câu hỏi và chưa biết cách trả lời.
Phát âm còn phải điều chỉnh. Chưa có âm cuối và chưa nối âm.
Con dùng được câu hoàn chỉnh nhiều nhưng nhiều cấu trúc câu con dùng chưa đúng.
Con có thể nắm được đến các chữ số hàng chục trong phạm vi 40 số đầu.
Con nắm được tốt bảng chữ cái và có thể đánh vần tốt.
Con có những vốn từ tương đối về các chủ đề: hoạt động, màu sắc, con vật, đồ vật, thể thao...
Con cần rèn luyện thêm về từ vựng và cấu trúc câu với chương trình : GTPX Level 2</v>
      </c>
      <c r="Q55" s="383"/>
      <c r="R55" s="383"/>
      <c r="S55" s="383" t="str">
        <f>IFERROR(__xludf.DUMMYFUNCTION("""COMPUTED_VALUE"""),"21/7: đã gọi trao đổi thông tin, hẹn lịch test tối thứ 2
22/7: đã trả kết quả test, mẹ đang cân nhắc, do con còn đang lở dơ học ở trung tâm cũ. 
25/7: mẹ từ chối vì chờ con học xong trung tâm cũ sẽ quay lại ạ")</f>
        <v>21/7: đã gọi trao đổi thông tin, hẹn lịch test tối thứ 2
22/7: đã trả kết quả test, mẹ đang cân nhắc, do con còn đang lở dơ học ở trung tâm cũ. 
25/7: mẹ từ chối vì chờ con học xong trung tâm cũ sẽ quay lại ạ</v>
      </c>
      <c r="T55" s="383"/>
      <c r="U55" s="552"/>
      <c r="V55" s="552"/>
      <c r="W55" s="383"/>
      <c r="X55" s="501"/>
      <c r="Y55" s="501"/>
      <c r="Z55" s="501"/>
      <c r="AA55" s="501"/>
    </row>
    <row r="56" ht="57.75" customHeight="1">
      <c r="A56" s="552">
        <f>IFERROR(__xludf.DUMMYFUNCTION("""COMPUTED_VALUE"""),45131.0)</f>
        <v>45131</v>
      </c>
      <c r="B56" s="383" t="str">
        <f>IFERROR(__xludf.DUMMYFUNCTION("""COMPUTED_VALUE"""),"HV giới thiệu")</f>
        <v>HV giới thiệu</v>
      </c>
      <c r="C56" s="322" t="str">
        <f>IFERROR(__xludf.DUMMYFUNCTION("""COMPUTED_VALUE"""),"Mẹ Phuong Nga VUI giới thiệu")</f>
        <v>Mẹ Phuong Nga VUI giới thiệu</v>
      </c>
      <c r="D56" s="383" t="str">
        <f>IFERROR(__xludf.DUMMYFUNCTION("""COMPUTED_VALUE"""),"Võ Hoàng Trang Ngọc")</f>
        <v>Võ Hoàng Trang Ngọc</v>
      </c>
      <c r="E56" s="383"/>
      <c r="F56" s="383">
        <f>IFERROR(__xludf.DUMMYFUNCTION("""COMPUTED_VALUE"""),2007.0)</f>
        <v>2007</v>
      </c>
      <c r="G56" s="383">
        <f>IFERROR(__xludf.DUMMYFUNCTION("""COMPUTED_VALUE"""),11.0)</f>
        <v>11</v>
      </c>
      <c r="H56" s="383"/>
      <c r="I56" s="401" t="str">
        <f>IFERROR(__xludf.DUMMYFUNCTION("""COMPUTED_VALUE""")," 0868216305")</f>
        <v> 0868216305</v>
      </c>
      <c r="J56" s="383"/>
      <c r="K56" s="383">
        <f>IFERROR(__xludf.DUMMYFUNCTION("""COMPUTED_VALUE"""),8.68216305E8)</f>
        <v>868216305</v>
      </c>
      <c r="L56" s="383"/>
      <c r="M56" s="383" t="str">
        <f>IFERROR(__xludf.DUMMYFUNCTION("""COMPUTED_VALUE"""),"Ánh")</f>
        <v>Ánh</v>
      </c>
      <c r="N56" s="383" t="str">
        <f>IFERROR(__xludf.DUMMYFUNCTION("""COMPUTED_VALUE"""),"Đã đóng học phí")</f>
        <v>Đã đóng học phí</v>
      </c>
      <c r="O56" s="383" t="b">
        <f>IFERROR(__xludf.DUMMYFUNCTION("""COMPUTED_VALUE"""),TRUE)</f>
        <v>1</v>
      </c>
      <c r="P56" s="383"/>
      <c r="Q56" s="383" t="str">
        <f>IFERROR(__xludf.DUMMYFUNCTION("""COMPUTED_VALUE"""),"gtpx")</f>
        <v>gtpx</v>
      </c>
      <c r="R56" s="383" t="str">
        <f>IFERROR(__xludf.DUMMYFUNCTION("""COMPUTED_VALUE"""),"thứ 2- thứ 6: 19h30-20h30")</f>
        <v>thứ 2- thứ 6: 19h30-20h30</v>
      </c>
      <c r="S56" s="383" t="str">
        <f>IFERROR(__xludf.DUMMYFUNCTION("""COMPUTED_VALUE"""),"24/7: đã trao đổi cụ thể hẹn tối chuyển khoản")</f>
        <v>24/7: đã trao đổi cụ thể hẹn tối chuyển khoản</v>
      </c>
      <c r="T56" s="383"/>
      <c r="U56" s="552"/>
      <c r="V56" s="552">
        <f>IFERROR(__xludf.DUMMYFUNCTION("""COMPUTED_VALUE"""),45131.0)</f>
        <v>45131</v>
      </c>
      <c r="W56" s="554" t="str">
        <f>IFERROR(__xludf.DUMMYFUNCTION("""COMPUTED_VALUE"""),"gtpx ")</f>
        <v>gtpx </v>
      </c>
      <c r="X56" s="501">
        <f>IFERROR(__xludf.DUMMYFUNCTION("""COMPUTED_VALUE"""),8750000.0)</f>
        <v>8750000</v>
      </c>
      <c r="Y56" s="501">
        <f>IFERROR(__xludf.DUMMYFUNCTION("""COMPUTED_VALUE"""),1038000.0)</f>
        <v>1038000</v>
      </c>
      <c r="Z56" s="501">
        <f>IFERROR(__xludf.DUMMYFUNCTION("""COMPUTED_VALUE"""),7712000.0)</f>
        <v>7712000</v>
      </c>
      <c r="AA56" s="501"/>
    </row>
    <row r="57" ht="57.75" customHeight="1">
      <c r="A57" s="552">
        <f>IFERROR(__xludf.DUMMYFUNCTION("""COMPUTED_VALUE"""),45132.0)</f>
        <v>45132</v>
      </c>
      <c r="B57" s="383" t="str">
        <f>IFERROR(__xludf.DUMMYFUNCTION("""COMPUTED_VALUE"""),"HV giới thiệu")</f>
        <v>HV giới thiệu</v>
      </c>
      <c r="C57" s="322" t="str">
        <f>IFERROR(__xludf.DUMMYFUNCTION("""COMPUTED_VALUE"""),"Thường Tán (Mẹ Thu Sa của bé Gia Hân VUI08 giới thiệu)")</f>
        <v>Thường Tán (Mẹ Thu Sa của bé Gia Hân VUI08 giới thiệu)</v>
      </c>
      <c r="D57" s="383" t="str">
        <f>IFERROR(__xludf.DUMMYFUNCTION("""COMPUTED_VALUE"""),"Nguyễn Văn Hoàng Vương")</f>
        <v>Nguyễn Văn Hoàng Vương</v>
      </c>
      <c r="E57" s="383"/>
      <c r="F57" s="554">
        <f>IFERROR(__xludf.DUMMYFUNCTION("""COMPUTED_VALUE"""),40453.0)</f>
        <v>40453</v>
      </c>
      <c r="G57" s="383">
        <f>IFERROR(__xludf.DUMMYFUNCTION("""COMPUTED_VALUE"""),8.0)</f>
        <v>8</v>
      </c>
      <c r="H57" s="383"/>
      <c r="I57" s="401" t="str">
        <f>IFERROR(__xludf.DUMMYFUNCTION("""COMPUTED_VALUE"""),"0932577360")</f>
        <v>0932577360</v>
      </c>
      <c r="J57" s="383"/>
      <c r="K57" s="383"/>
      <c r="L57" s="383"/>
      <c r="M57" s="383" t="str">
        <f>IFERROR(__xludf.DUMMYFUNCTION("""COMPUTED_VALUE"""),"Linh")</f>
        <v>Linh</v>
      </c>
      <c r="N57" s="383" t="str">
        <f>IFERROR(__xludf.DUMMYFUNCTION("""COMPUTED_VALUE"""),"Đã đóng học phí")</f>
        <v>Đã đóng học phí</v>
      </c>
      <c r="O57" s="383" t="b">
        <f>IFERROR(__xludf.DUMMYFUNCTION("""COMPUTED_VALUE"""),TRUE)</f>
        <v>1</v>
      </c>
      <c r="P57" s="383" t="str">
        <f>IFERROR(__xludf.DUMMYFUNCTION("""COMPUTED_VALUE"""),"Con ngoan hiền, lễ phép. Con tập trung tốt khi tham gia buổi test.
Tốc độ phản xạ: Chưa nhanh lắm vì vốn từ còn hạn chế nên con nghe chưa tốt. 
Con có thể nghe và trả lời những câu hỏi giao tiếp cơ bản về tên, tuổi, nơi ở, sở thích,... Câu trả lời của con"&amp;" còn đơn giản và chưa mở rộng chủ đề giao tiếp được. 
Phát âm của con cần được luyện thêm nhiều.
Con nắm được các kiến thức cơ bản về thì hiện tại đơn, tuy nhiên con cần cải thiện thêm kiên thức về các thì khác. 
Con có thể nắm được số từ 1-10 000.
Con th"&amp;"uộc bảng chữ cái và có thể đánh vần tốt.
Con có kĩ năng đọc hiểu khá.
Con làm được 50% bài kiểm tra của level UP4. 
Con cần rèn luyện thêm về từ vựng và ngữ pháp với chương trình: GTPX 1/2 Level 4")</f>
        <v>Con ngoan hiền, lễ phép. Con tập trung tốt khi tham gia buổi test.
Tốc độ phản xạ: Chưa nhanh lắm vì vốn từ còn hạn chế nên con nghe chưa tốt. 
Con có thể nghe và trả lời những câu hỏi giao tiếp cơ bản về tên, tuổi, nơi ở, sở thích,... Câu trả lời của con còn đơn giản và chưa mở rộng chủ đề giao tiếp được. 
Phát âm của con cần được luyện thêm nhiều.
Con nắm được các kiến thức cơ bản về thì hiện tại đơn, tuy nhiên con cần cải thiện thêm kiên thức về các thì khác. 
Con có thể nắm được số từ 1-10 000.
Con thuộc bảng chữ cái và có thể đánh vần tốt.
Con có kĩ năng đọc hiểu khá.
Con làm được 50% bài kiểm tra của level UP4. 
Con cần rèn luyện thêm về từ vựng và ngữ pháp với chương trình: GTPX 1/2 Level 4</v>
      </c>
      <c r="Q57" s="383"/>
      <c r="R57" s="383"/>
      <c r="S57" s="383" t="str">
        <f>IFERROR(__xludf.DUMMYFUNCTION("""COMPUTED_VALUE"""),"25/7: Hẹn test 19h ngày 26/7
26/7: Trả test
27/7: Mẹ chốt khoá GTPX 1/2 up4 kèm 1-2 học 50 buổi")</f>
        <v>25/7: Hẹn test 19h ngày 26/7
26/7: Trả test
27/7: Mẹ chốt khoá GTPX 1/2 up4 kèm 1-2 học 50 buổi</v>
      </c>
      <c r="T57" s="383"/>
      <c r="U57" s="552"/>
      <c r="V57" s="552">
        <f>IFERROR(__xludf.DUMMYFUNCTION("""COMPUTED_VALUE"""),45134.0)</f>
        <v>45134</v>
      </c>
      <c r="W57" s="554" t="str">
        <f>IFERROR(__xludf.DUMMYFUNCTION("""COMPUTED_VALUE"""),"GTPX 1/2 up4 kèm 1-2 học 50b")</f>
        <v>GTPX 1/2 up4 kèm 1-2 học 50b</v>
      </c>
      <c r="X57" s="501">
        <f>IFERROR(__xludf.DUMMYFUNCTION("""COMPUTED_VALUE"""),6124000.0)</f>
        <v>6124000</v>
      </c>
      <c r="Y57" s="501">
        <f>IFERROR(__xludf.DUMMYFUNCTION("""COMPUTED_VALUE"""),764000.0)</f>
        <v>764000</v>
      </c>
      <c r="Z57" s="501">
        <f>IFERROR(__xludf.DUMMYFUNCTION("""COMPUTED_VALUE"""),5360000.0)</f>
        <v>5360000</v>
      </c>
      <c r="AA57" s="501"/>
    </row>
    <row r="58" ht="57.75" customHeight="1">
      <c r="A58" s="552">
        <f>IFERROR(__xludf.DUMMYFUNCTION("""COMPUTED_VALUE"""),45135.0)</f>
        <v>45135</v>
      </c>
      <c r="B58" s="383" t="str">
        <f>IFERROR(__xludf.DUMMYFUNCTION("""COMPUTED_VALUE"""),"HV giới thiệu")</f>
        <v>HV giới thiệu</v>
      </c>
      <c r="C58" s="322" t="str">
        <f>IFERROR(__xludf.DUMMYFUNCTION("""COMPUTED_VALUE"""),"Thắm Đô Thành
- Mẹ Khánh Hà giới thiệu")</f>
        <v>Thắm Đô Thành
- Mẹ Khánh Hà giới thiệu</v>
      </c>
      <c r="D58" s="383" t="str">
        <f>IFERROR(__xludf.DUMMYFUNCTION("""COMPUTED_VALUE"""),"Hoàng Tuệ Lâm")</f>
        <v>Hoàng Tuệ Lâm</v>
      </c>
      <c r="E58" s="383"/>
      <c r="F58" s="383">
        <f>IFERROR(__xludf.DUMMYFUNCTION("""COMPUTED_VALUE"""),2013.0)</f>
        <v>2013</v>
      </c>
      <c r="G58" s="383">
        <f>IFERROR(__xludf.DUMMYFUNCTION("""COMPUTED_VALUE"""),5.0)</f>
        <v>5</v>
      </c>
      <c r="H58" s="383"/>
      <c r="I58" s="401" t="str">
        <f>IFERROR(__xludf.DUMMYFUNCTION("""COMPUTED_VALUE"""),"0973999018")</f>
        <v>0973999018</v>
      </c>
      <c r="J58" s="383"/>
      <c r="K58" s="383"/>
      <c r="L58" s="383"/>
      <c r="M58" s="383" t="str">
        <f>IFERROR(__xludf.DUMMYFUNCTION("""COMPUTED_VALUE"""),"Ánh")</f>
        <v>Ánh</v>
      </c>
      <c r="N58" s="383" t="str">
        <f>IFERROR(__xludf.DUMMYFUNCTION("""COMPUTED_VALUE"""),"Đã test")</f>
        <v>Đã test</v>
      </c>
      <c r="O58" s="383" t="b">
        <f>IFERROR(__xludf.DUMMYFUNCTION("""COMPUTED_VALUE"""),TRUE)</f>
        <v>1</v>
      </c>
      <c r="P58" s="383" t="str">
        <f>IFERROR(__xludf.DUMMYFUNCTION("""COMPUTED_VALUE"""),"Con ngoan hiền, lễ phép, tự tin trong giao tiếp. 
Con rất tập trung khi tham gia test. Thông minh và tiếp thu nhanh.
Con nghe hiểu khá tốt các câu hỏi của cô.
Tốc độ phản xạ: Nhanh. 
Con phát âm khá tốt, tự nhiên, con có âm cuối. Tuy nhiên vẫn cần điều ch"&amp;"ỉnh thêm các âm khó như /th/ /dg/...
Con nắm được số đếm từ 1 -900.
Con nắm được 95% bảng chữ cái. Tốc độ đánh vần nhanh. Còn nhầm J và G. 
Có vốn từ tương đối về các chủ đề: thông tin cá nhân, đồ dùng, màu sắc, hoạt động, động vật, so sánh, thể thao.... "&amp;"
Con nói được câu đầy đủ. Con áp dụng được ngữ pháp cơ bản. Cần luyện thêm về cách áp dụng ngữ pháp vào giao tiếp.
Con cần rèn luyện thêm về từ vựng và cấu trúc với chương trình GTPX 1/2 Level 3. Bắt đầu từ nửa sau khoá UP3")</f>
        <v>Con ngoan hiền, lễ phép, tự tin trong giao tiếp. 
Con rất tập trung khi tham gia test. Thông minh và tiếp thu nhanh.
Con nghe hiểu khá tốt các câu hỏi của cô.
Tốc độ phản xạ: Nhanh. 
Con phát âm khá tốt, tự nhiên, con có âm cuối. Tuy nhiên vẫn cần điều chỉnh thêm các âm khó như /th/ /dg/...
Con nắm được số đếm từ 1 -900.
Con nắm được 95% bảng chữ cái. Tốc độ đánh vần nhanh. Còn nhầm J và G. 
Có vốn từ tương đối về các chủ đề: thông tin cá nhân, đồ dùng, màu sắc, hoạt động, động vật, so sánh, thể thao.... 
Con nói được câu đầy đủ. Con áp dụng được ngữ pháp cơ bản. Cần luyện thêm về cách áp dụng ngữ pháp vào giao tiếp.
Con cần rèn luyện thêm về từ vựng và cấu trúc với chương trình GTPX 1/2 Level 3. Bắt đầu từ nửa sau khoá UP3</v>
      </c>
      <c r="Q58" s="383"/>
      <c r="R58" s="383"/>
      <c r="S58" s="383" t="str">
        <f>IFERROR(__xludf.DUMMYFUNCTION("""COMPUTED_VALUE"""),"28/07: Mẹ đang bận, hẹn trưa gọi
28/7: Đã liên hệ và hẹn lịch test
29/7: Hẹn test 20h ngày 1/8
1/8: Mẹ báo bận, hẹn ngày khác
8/8: Mẹ báo là bé bận chưa học thời gian này (Bé nâng từ 1/2 up3 lên up4)
14/8: LINH CHUYỂN QUA C. ÁNH")</f>
        <v>28/07: Mẹ đang bận, hẹn trưa gọi
28/7: Đã liên hệ và hẹn lịch test
29/7: Hẹn test 20h ngày 1/8
1/8: Mẹ báo bận, hẹn ngày khác
8/8: Mẹ báo là bé bận chưa học thời gian này (Bé nâng từ 1/2 up3 lên up4)
14/8: LINH CHUYỂN QUA C. ÁNH</v>
      </c>
      <c r="T58" s="383" t="str">
        <f>IFERROR(__xludf.DUMMYFUNCTION("""COMPUTED_VALUE"""),"20/8/2023 liên hệ lại")</f>
        <v>20/8/2023 liên hệ lại</v>
      </c>
      <c r="U58" s="552"/>
      <c r="V58" s="552"/>
      <c r="W58" s="383"/>
      <c r="X58" s="501"/>
      <c r="Y58" s="501"/>
      <c r="Z58" s="501"/>
      <c r="AA58" s="501"/>
    </row>
    <row r="59" ht="57.75" customHeight="1">
      <c r="A59" s="552">
        <f>IFERROR(__xludf.DUMMYFUNCTION("""COMPUTED_VALUE"""),45136.0)</f>
        <v>45136</v>
      </c>
      <c r="B59" s="383" t="str">
        <f>IFERROR(__xludf.DUMMYFUNCTION("""COMPUTED_VALUE"""),"HV giới thiệu")</f>
        <v>HV giới thiệu</v>
      </c>
      <c r="C59" s="322" t="str">
        <f>IFERROR(__xludf.DUMMYFUNCTION("""COMPUTED_VALUE"""),"mẹ tên Nga (chị của mẹ Lộc) - data thầy đưa về")</f>
        <v>mẹ tên Nga (chị của mẹ Lộc) - data thầy đưa về</v>
      </c>
      <c r="D59" s="383" t="str">
        <f>IFERROR(__xludf.DUMMYFUNCTION("""COMPUTED_VALUE"""),"Bùi Bảo Bảo")</f>
        <v>Bùi Bảo Bảo</v>
      </c>
      <c r="E59" s="383"/>
      <c r="F59" s="383"/>
      <c r="G59" s="383">
        <f>IFERROR(__xludf.DUMMYFUNCTION("""COMPUTED_VALUE"""),1.0)</f>
        <v>1</v>
      </c>
      <c r="H59" s="383"/>
      <c r="I59" s="383">
        <f>IFERROR(__xludf.DUMMYFUNCTION("""COMPUTED_VALUE"""),9.77429322E8)</f>
        <v>977429322</v>
      </c>
      <c r="J59" s="383"/>
      <c r="K59" s="383"/>
      <c r="L59" s="383" t="str">
        <f>IFERROR(__xludf.DUMMYFUNCTION("""COMPUTED_VALUE"""),"Vẫn chưa biết từ phụ huynh nào giới thiệu")</f>
        <v>Vẫn chưa biết từ phụ huynh nào giới thiệu</v>
      </c>
      <c r="M59" s="383" t="str">
        <f>IFERROR(__xludf.DUMMYFUNCTION("""COMPUTED_VALUE"""),"Linh")</f>
        <v>Linh</v>
      </c>
      <c r="N59" s="383" t="str">
        <f>IFERROR(__xludf.DUMMYFUNCTION("""COMPUTED_VALUE"""),"Từ chối")</f>
        <v>Từ chối</v>
      </c>
      <c r="O59" s="383" t="b">
        <f>IFERROR(__xludf.DUMMYFUNCTION("""COMPUTED_VALUE"""),TRUE)</f>
        <v>1</v>
      </c>
      <c r="P59" s="383" t="str">
        <f>IFERROR(__xludf.DUMMYFUNCTION("""COMPUTED_VALUE"""),"Con ngoan hiền, lễ phép. Con tập trung khi tham gia buổi test.
Tốc độ phản xạ: Khá ổn. 
Con có thể nghe và trả lời những câu hỏi giao tiếp cơ bản về tên, tuổi, màu sắc, sở thích,,...
Con nói được câu hoàn chỉnh tuy nhiên còn cần đa dạng thêm cấu trúc.
Con"&amp;" có thể nắm được số từ 1-20
Con thuộc bảng chữ cái. Đánh vần với tốc độ chưa nhanh.
Một số chữ cái con nắm chưa chắc như H, R, Y
Con có vốn từ cơ bản về đồ vật, con vật, nhưng con chưa xác định được các từ vựng chỉ vị trí, môn thể thao,...
Con có thể trả "&amp;"lời câu hỏi của cô về so sánh các con vật.
Đôi lúc con chưa hiểu rõ câu hỏi của cô nên trả lời chưa đúng trọng tâm.
Con cần rèn luyện thêm về từ vựng và ngữ pháp với chương trình : GTPX Level 1.")</f>
        <v>Con ngoan hiền, lễ phép. Con tập trung khi tham gia buổi test.
Tốc độ phản xạ: Khá ổn. 
Con có thể nghe và trả lời những câu hỏi giao tiếp cơ bản về tên, tuổi, màu sắc, sở thích,,...
Con nói được câu hoàn chỉnh tuy nhiên còn cần đa dạng thêm cấu trúc.
Con có thể nắm được số từ 1-20
Con thuộc bảng chữ cái. Đánh vần với tốc độ chưa nhanh.
Một số chữ cái con nắm chưa chắc như H, R, Y
Con có vốn từ cơ bản về đồ vật, con vật, nhưng con chưa xác định được các từ vựng chỉ vị trí, môn thể thao,...
Con có thể trả lời câu hỏi của cô về so sánh các con vật.
Đôi lúc con chưa hiểu rõ câu hỏi của cô nên trả lời chưa đúng trọng tâm.
Con cần rèn luyện thêm về từ vựng và ngữ pháp với chương trình : GTPX Level 1.</v>
      </c>
      <c r="Q59" s="383"/>
      <c r="R59" s="383"/>
      <c r="S59" s="383" t="str">
        <f>IFERROR(__xludf.DUMMYFUNCTION("""COMPUTED_VALUE"""),"29/7: Hẹn test 16h30 ngày 29/7
31/7: Mẹ bảo học phí cao, mẹ theo k nổi")</f>
        <v>29/7: Hẹn test 16h30 ngày 29/7
31/7: Mẹ bảo học phí cao, mẹ theo k nổi</v>
      </c>
      <c r="T59" s="383" t="str">
        <f>IFERROR(__xludf.DUMMYFUNCTION("""COMPUTED_VALUE"""),"Ngừng tư vấn")</f>
        <v>Ngừng tư vấn</v>
      </c>
      <c r="U59" s="552"/>
      <c r="V59" s="552"/>
      <c r="W59" s="383"/>
      <c r="X59" s="501"/>
      <c r="Y59" s="501"/>
      <c r="Z59" s="501"/>
      <c r="AA59" s="501"/>
    </row>
    <row r="60" ht="57.75" customHeight="1">
      <c r="A60" s="552">
        <f>IFERROR(__xludf.DUMMYFUNCTION("""COMPUTED_VALUE"""),45142.0)</f>
        <v>45142</v>
      </c>
      <c r="B60" s="383" t="str">
        <f>IFERROR(__xludf.DUMMYFUNCTION("""COMPUTED_VALUE"""),"HV giới thiệu")</f>
        <v>HV giới thiệu</v>
      </c>
      <c r="C60" s="322" t="str">
        <f>IFERROR(__xludf.DUMMYFUNCTION("""COMPUTED_VALUE"""),"Thanh Nga (Mẹ Sa - Gia Hân) giới thiệu")</f>
        <v>Thanh Nga (Mẹ Sa - Gia Hân) giới thiệu</v>
      </c>
      <c r="D60" s="383" t="str">
        <f>IFERROR(__xludf.DUMMYFUNCTION("""COMPUTED_VALUE"""),"Lê Giáng My")</f>
        <v>Lê Giáng My</v>
      </c>
      <c r="E60" s="383"/>
      <c r="F60" s="383"/>
      <c r="G60" s="383"/>
      <c r="H60" s="383"/>
      <c r="I60" s="401" t="str">
        <f>IFERROR(__xludf.DUMMYFUNCTION("""COMPUTED_VALUE"""),"0905806339")</f>
        <v>0905806339</v>
      </c>
      <c r="J60" s="383"/>
      <c r="K60" s="383"/>
      <c r="L60" s="383"/>
      <c r="M60" s="383" t="str">
        <f>IFERROR(__xludf.DUMMYFUNCTION("""COMPUTED_VALUE"""),"Ánh")</f>
        <v>Ánh</v>
      </c>
      <c r="N60" s="383" t="str">
        <f>IFERROR(__xludf.DUMMYFUNCTION("""COMPUTED_VALUE"""),"Đã test")</f>
        <v>Đã test</v>
      </c>
      <c r="O60" s="383" t="b">
        <f>IFERROR(__xludf.DUMMYFUNCTION("""COMPUTED_VALUE"""),TRUE)</f>
        <v>1</v>
      </c>
      <c r="P60" s="383" t="str">
        <f>IFERROR(__xludf.DUMMYFUNCTION("""COMPUTED_VALUE"""),"Con ngoan hiền, lễ phép. Con tập trung khi tham gia test.
Tốc độ phản xạ: Khá ổn, tuy nhiên có môt số câu hỏi con cần thời gian suy nghĩ hơi lâu mới trả lời được
Con nghe hiểu tốt các câu hỏi của cô và trả lời được ở mức căn bản. Con có ý thức sử dụng câu"&amp;" đầy đủ khi nói và biết cách áp dụng đúng thì khi nói.
Con chưa mở rộng được ý trong khi giao tiếp.
Có vốn từ tốt về các chủ đề: thông tin cá nhân, đồ dùng, màu sắc, hoạt động, động vật, so sánh, thể thao.... 
Con phát âm khá, tuy nhiên con cần cải thiện "&amp;"thêm âm cuối và nối âm. 
Con cần cải thiện thêm độ lưu loát và ngữ điệu.
Con nắm được đến chữ số hàng triệu và nắm được số thứ tự.
Con nắm được kiến thức về thì tuy nhiên con cần xem lại kiến thức về thì quá khứ đơn.
Con có khả năng đọc hiểu khá ổn tuy nh"&amp;"iên con hơi mất thời gian để suy nghĩ và cân nhắc các câu trả lời.
Con cần rèn luyện thêm về từ vựng và cấu trúc với chương trình GTPX Level 6")</f>
        <v>Con ngoan hiền, lễ phép. Con tập trung khi tham gia test.
Tốc độ phản xạ: Khá ổn, tuy nhiên có môt số câu hỏi con cần thời gian suy nghĩ hơi lâu mới trả lời được
Con nghe hiểu tốt các câu hỏi của cô và trả lời được ở mức căn bản. Con có ý thức sử dụng câu đầy đủ khi nói và biết cách áp dụng đúng thì khi nói.
Con chưa mở rộng được ý trong khi giao tiếp.
Có vốn từ tốt về các chủ đề: thông tin cá nhân, đồ dùng, màu sắc, hoạt động, động vật, so sánh, thể thao.... 
Con phát âm khá, tuy nhiên con cần cải thiện thêm âm cuối và nối âm. 
Con cần cải thiện thêm độ lưu loát và ngữ điệu.
Con nắm được đến chữ số hàng triệu và nắm được số thứ tự.
Con nắm được kiến thức về thì tuy nhiên con cần xem lại kiến thức về thì quá khứ đơn.
Con có khả năng đọc hiểu khá ổn tuy nhiên con hơi mất thời gian để suy nghĩ và cân nhắc các câu trả lời.
Con cần rèn luyện thêm về từ vựng và cấu trúc với chương trình GTPX Level 6</v>
      </c>
      <c r="Q60" s="383"/>
      <c r="R60" s="383"/>
      <c r="S60" s="383" t="str">
        <f>IFERROR(__xludf.DUMMYFUNCTION("""COMPUTED_VALUE"""),"4/8: Gửi thông tin cho mẹ
5/8: Hẹn test 16h ngày 5/8
5/8: Đã trả test, mẹ bảo để mẹ hỏi bé lại đã 
14/8: LINH CHUYỂN QUA")</f>
        <v>4/8: Gửi thông tin cho mẹ
5/8: Hẹn test 16h ngày 5/8
5/8: Đã trả test, mẹ bảo để mẹ hỏi bé lại đã 
14/8: LINH CHUYỂN QUA</v>
      </c>
      <c r="T60" s="383"/>
      <c r="U60" s="552"/>
      <c r="V60" s="552"/>
      <c r="W60" s="383"/>
      <c r="X60" s="501"/>
      <c r="Y60" s="501"/>
      <c r="Z60" s="501"/>
      <c r="AA60" s="501"/>
    </row>
    <row r="61" ht="57.75" customHeight="1">
      <c r="A61" s="552">
        <f>IFERROR(__xludf.DUMMYFUNCTION("""COMPUTED_VALUE"""),45146.0)</f>
        <v>45146</v>
      </c>
      <c r="B61" s="383" t="str">
        <f>IFERROR(__xludf.DUMMYFUNCTION("""COMPUTED_VALUE"""),"HV giới thiệu")</f>
        <v>HV giới thiệu</v>
      </c>
      <c r="C61" s="322" t="str">
        <f>IFERROR(__xludf.DUMMYFUNCTION("""COMPUTED_VALUE"""),"Anh Thư (Mẹ Thanh Vân - Tạ Đức Nam giới thiệu)")</f>
        <v>Anh Thư (Mẹ Thanh Vân - Tạ Đức Nam giới thiệu)</v>
      </c>
      <c r="D61" s="383" t="str">
        <f>IFERROR(__xludf.DUMMYFUNCTION("""COMPUTED_VALUE"""),"Bích Ngân")</f>
        <v>Bích Ngân</v>
      </c>
      <c r="E61" s="383"/>
      <c r="F61" s="383">
        <f>IFERROR(__xludf.DUMMYFUNCTION("""COMPUTED_VALUE"""),2013.0)</f>
        <v>2013</v>
      </c>
      <c r="G61" s="383">
        <f>IFERROR(__xludf.DUMMYFUNCTION("""COMPUTED_VALUE"""),5.0)</f>
        <v>5</v>
      </c>
      <c r="H61" s="383"/>
      <c r="I61" s="401" t="str">
        <f>IFERROR(__xludf.DUMMYFUNCTION("""COMPUTED_VALUE"""),"0933316274")</f>
        <v>0933316274</v>
      </c>
      <c r="J61" s="383"/>
      <c r="K61" s="383"/>
      <c r="L61" s="383" t="str">
        <f>IFERROR(__xludf.DUMMYFUNCTION("""COMPUTED_VALUE"""),"Chưa gửi thông tin chương trình lan tỏa")</f>
        <v>Chưa gửi thông tin chương trình lan tỏa</v>
      </c>
      <c r="M61" s="383" t="str">
        <f>IFERROR(__xludf.DUMMYFUNCTION("""COMPUTED_VALUE"""),"Ánh")</f>
        <v>Ánh</v>
      </c>
      <c r="N61" s="383" t="str">
        <f>IFERROR(__xludf.DUMMYFUNCTION("""COMPUTED_VALUE"""),"Đã đóng học phí")</f>
        <v>Đã đóng học phí</v>
      </c>
      <c r="O61" s="383" t="b">
        <f>IFERROR(__xludf.DUMMYFUNCTION("""COMPUTED_VALUE"""),TRUE)</f>
        <v>1</v>
      </c>
      <c r="P61" s="383" t="str">
        <f>IFERROR(__xludf.DUMMYFUNCTION("""COMPUTED_VALUE"""),"Con ngoan hiền, lễ phép. Con tập trung khá tốt khi tham gia buổi test.
Tốc độ phản xạ: Chưa nhanh. Con chưa tập được thói quen suy nghĩ và trả lời bằng tiếng Anh.
Con có thể nghe và trả lời những câu hỏi giao tiếp cơ bản về tên, tuổi, nơi ở, sở thích,.. 
"&amp;"Con cần luyện thêm nhiều về phát âm: cả ngữ điệu, lưu loát và độ chính xác.
Con chưa sử dụng câu hoàn chỉnh nhiều. Cấu trúc câu đơn giản.
Con có thể nắm được số từ 1-100. Còn nhầm lẫn một vài số như 12, 20,...
Con chưa nắm được số thứ tự.
Con thuộc 95% bả"&amp;"ng chữ cái và có thể đánh vần tương đối nhanh. Còn nhầm J và G. 
Con có vốn từ cơ bản về các chủ đề như đồ ăn, các thành viên trong gia đình, đồ vật,...
Có có khả năng đọc hiểu khá và trả lời được đúng khoảng 50-60% các câu của các dạng bài tập cơ bản.
Co"&amp;"n cần rèn luyện thêm về từ vựng và cấu trúc với chương trình: 1/2 GTPX Level 2")</f>
        <v>Con ngoan hiền, lễ phép. Con tập trung khá tốt khi tham gia buổi test.
Tốc độ phản xạ: Chưa nhanh. Con chưa tập được thói quen suy nghĩ và trả lời bằng tiếng Anh.
Con có thể nghe và trả lời những câu hỏi giao tiếp cơ bản về tên, tuổi, nơi ở, sở thích,.. 
Con cần luyện thêm nhiều về phát âm: cả ngữ điệu, lưu loát và độ chính xác.
Con chưa sử dụng câu hoàn chỉnh nhiều. Cấu trúc câu đơn giản.
Con có thể nắm được số từ 1-100. Còn nhầm lẫn một vài số như 12, 20,...
Con chưa nắm được số thứ tự.
Con thuộc 95% bảng chữ cái và có thể đánh vần tương đối nhanh. Còn nhầm J và G. 
Con có vốn từ cơ bản về các chủ đề như đồ ăn, các thành viên trong gia đình, đồ vật,...
Có có khả năng đọc hiểu khá và trả lời được đúng khoảng 50-60% các câu của các dạng bài tập cơ bản.
Con cần rèn luyện thêm về từ vựng và cấu trúc với chương trình: 1/2 GTPX Level 2</v>
      </c>
      <c r="Q61" s="383"/>
      <c r="R61" s="383" t="str">
        <f>IFERROR(__xludf.DUMMYFUNCTION("""COMPUTED_VALUE""")," ")</f>
        <v> </v>
      </c>
      <c r="S61" s="383" t="str">
        <f>IFERROR(__xludf.DUMMYFUNCTION("""COMPUTED_VALUE"""),"7/8: trao dổi hẹn lịch test tối thứ 3.9/8: trả kq test
11/8: nhắc đóng học phí.")</f>
        <v>7/8: trao dổi hẹn lịch test tối thứ 3.9/8: trả kq test
11/8: nhắc đóng học phí.</v>
      </c>
      <c r="T61" s="383" t="str">
        <f>IFERROR(__xludf.DUMMYFUNCTION("""COMPUTED_VALUE"""),"nhắc học phí")</f>
        <v>nhắc học phí</v>
      </c>
      <c r="U61" s="552"/>
      <c r="V61" s="552">
        <f>IFERROR(__xludf.DUMMYFUNCTION("""COMPUTED_VALUE"""),45152.0)</f>
        <v>45152</v>
      </c>
      <c r="W61" s="554" t="str">
        <f>IFERROR(__xludf.DUMMYFUNCTION("""COMPUTED_VALUE"""),"gtpx")</f>
        <v>gtpx</v>
      </c>
      <c r="X61" s="501">
        <f>IFERROR(__xludf.DUMMYFUNCTION("""COMPUTED_VALUE"""),4375000.0)</f>
        <v>4375000</v>
      </c>
      <c r="Y61" s="501">
        <f>IFERROR(__xludf.DUMMYFUNCTION("""COMPUTED_VALUE"""),131250.0)</f>
        <v>131250</v>
      </c>
      <c r="Z61" s="501">
        <f>IFERROR(__xludf.DUMMYFUNCTION("""COMPUTED_VALUE"""),4243750.0)</f>
        <v>4243750</v>
      </c>
      <c r="AA61" s="501"/>
    </row>
    <row r="62" ht="57.75" customHeight="1">
      <c r="A62" s="552">
        <f>IFERROR(__xludf.DUMMYFUNCTION("""COMPUTED_VALUE"""),45146.0)</f>
        <v>45146</v>
      </c>
      <c r="B62" s="383" t="str">
        <f>IFERROR(__xludf.DUMMYFUNCTION("""COMPUTED_VALUE"""),"HV giới thiệu")</f>
        <v>HV giới thiệu</v>
      </c>
      <c r="C62" s="322" t="str">
        <f>IFERROR(__xludf.DUMMYFUNCTION("""COMPUTED_VALUE"""),"Tố Uyên ( mẹ của Đầu Mạnh Khang giới thiệu)")</f>
        <v>Tố Uyên ( mẹ của Đầu Mạnh Khang giới thiệu)</v>
      </c>
      <c r="D62" s="383" t="str">
        <f>IFERROR(__xludf.DUMMYFUNCTION("""COMPUTED_VALUE"""),"Dương Hoàng Ân")</f>
        <v>Dương Hoàng Ân</v>
      </c>
      <c r="E62" s="383"/>
      <c r="F62" s="383"/>
      <c r="G62" s="383">
        <f>IFERROR(__xludf.DUMMYFUNCTION("""COMPUTED_VALUE"""),6.0)</f>
        <v>6</v>
      </c>
      <c r="H62" s="383"/>
      <c r="I62" s="401" t="str">
        <f>IFERROR(__xludf.DUMMYFUNCTION("""COMPUTED_VALUE"""),"0822608456")</f>
        <v>0822608456</v>
      </c>
      <c r="J62" s="383"/>
      <c r="K62" s="383"/>
      <c r="L62" s="383" t="str">
        <f>IFERROR(__xludf.DUMMYFUNCTION("""COMPUTED_VALUE"""),"Mẹ muốn bé học cả giao tiếp + ngữ pháp")</f>
        <v>Mẹ muốn bé học cả giao tiếp + ngữ pháp</v>
      </c>
      <c r="M62" s="383" t="str">
        <f>IFERROR(__xludf.DUMMYFUNCTION("""COMPUTED_VALUE"""),"Yến")</f>
        <v>Yến</v>
      </c>
      <c r="N62" s="383" t="str">
        <f>IFERROR(__xludf.DUMMYFUNCTION("""COMPUTED_VALUE"""),"Đã đóng học phí")</f>
        <v>Đã đóng học phí</v>
      </c>
      <c r="O62" s="383" t="b">
        <f>IFERROR(__xludf.DUMMYFUNCTION("""COMPUTED_VALUE"""),TRUE)</f>
        <v>1</v>
      </c>
      <c r="P62" s="383" t="str">
        <f>IFERROR(__xludf.DUMMYFUNCTION("""COMPUTED_VALUE"""),"Con ngoan hiền, lễ phép. Con tập trung khá tốt khi tham gia buổi test.
Tốc độ phản xạ: Chưa nhanh. Con còn khá lúng túng khi sử dụng đúng các cấu trúc câu để trả lời câu hỏi.
Con có thể nghe và trả lời những câu hỏi giao tiếp cơ bản về tên, màu sắc và con"&amp;" vật yêu thích nhưng khi cô hỏi về tuổi thì con chưa trả lời được ngay.
Con cần luyện thêm nhiều về phát âm: cả ngữ điệu, lưu loát và độ chính xác.
Con có thể nắm được đến chữ số hàng trăm. Còn nhầm lẫn một vài số như 12, 59,...
Con chưa nắm được số thứ t"&amp;"ự.
Con thuộc 70% bảng chữ cái nhưng đánh vần chưa được nhanh. 
Con còn phải nhẩm lại nhiều lần bảng chữ cái thì mới trả lời được câu hỏi của cô.
Con có vốn từ cơ bản về các chủ đề như đồ ăn, đồ vật, nhưng con còn nhầm lẫn giữa các từ vựng chủ đề trang phụ"&amp;"c.
Có có khả năng đọc hiểu cơ bản và trả lời được đúng khoảng 50-60% các câu của các dạng bài tập cơ bản.
Con chưa nắm chắc kiến thức về các thì.
Con cần rèn luyện thêm về từ vựng và cấu trúc với chương trình: GTPX Level 2")</f>
        <v>Con ngoan hiền, lễ phép. Con tập trung khá tốt khi tham gia buổi test.
Tốc độ phản xạ: Chưa nhanh. Con còn khá lúng túng khi sử dụng đúng các cấu trúc câu để trả lời câu hỏi.
Con có thể nghe và trả lời những câu hỏi giao tiếp cơ bản về tên, màu sắc và con vật yêu thích nhưng khi cô hỏi về tuổi thì con chưa trả lời được ngay.
Con cần luyện thêm nhiều về phát âm: cả ngữ điệu, lưu loát và độ chính xác.
Con có thể nắm được đến chữ số hàng trăm. Còn nhầm lẫn một vài số như 12, 59,...
Con chưa nắm được số thứ tự.
Con thuộc 70% bảng chữ cái nhưng đánh vần chưa được nhanh. 
Con còn phải nhẩm lại nhiều lần bảng chữ cái thì mới trả lời được câu hỏi của cô.
Con có vốn từ cơ bản về các chủ đề như đồ ăn, đồ vật, nhưng con còn nhầm lẫn giữa các từ vựng chủ đề trang phục.
Có có khả năng đọc hiểu cơ bản và trả lời được đúng khoảng 50-60% các câu của các dạng bài tập cơ bản.
Con chưa nắm chắc kiến thức về các thì.
Con cần rèn luyện thêm về từ vựng và cấu trúc với chương trình: GTPX Level 2</v>
      </c>
      <c r="Q62" s="383" t="str">
        <f>IFERROR(__xludf.DUMMYFUNCTION("""COMPUTED_VALUE"""),"GTPX UP2 1 KÈM 2")</f>
        <v>GTPX UP2 1 KÈM 2</v>
      </c>
      <c r="R62" s="383" t="str">
        <f>IFERROR(__xludf.DUMMYFUNCTION("""COMPUTED_VALUE"""),"2-4-6, 19H30")</f>
        <v>2-4-6, 19H30</v>
      </c>
      <c r="S62" s="383" t="str">
        <f>IFERROR(__xludf.DUMMYFUNCTION("""COMPUTED_VALUE"""),"8/8: Hẹn 19h tối ngày 9/8 test
10/8: Đã trả test")</f>
        <v>8/8: Hẹn 19h tối ngày 9/8 test
10/8: Đã trả test</v>
      </c>
      <c r="T62" s="383" t="str">
        <f>IFERROR(__xludf.DUMMYFUNCTION("""COMPUTED_VALUE"""),"Tư vấn")</f>
        <v>Tư vấn</v>
      </c>
      <c r="U62" s="552"/>
      <c r="V62" s="552">
        <f>IFERROR(__xludf.DUMMYFUNCTION("""COMPUTED_VALUE"""),45154.0)</f>
        <v>45154</v>
      </c>
      <c r="W62" s="554" t="str">
        <f>IFERROR(__xludf.DUMMYFUNCTION("""COMPUTED_VALUE"""),"GTPX up2")</f>
        <v>GTPX up2</v>
      </c>
      <c r="X62" s="501">
        <f>IFERROR(__xludf.DUMMYFUNCTION("""COMPUTED_VALUE"""),3062000.0)</f>
        <v>3062000</v>
      </c>
      <c r="Y62" s="501">
        <f>IFERROR(__xludf.DUMMYFUNCTION("""COMPUTED_VALUE"""),0.0)</f>
        <v>0</v>
      </c>
      <c r="Z62" s="501">
        <f>IFERROR(__xludf.DUMMYFUNCTION("""COMPUTED_VALUE"""),3062000.0)</f>
        <v>3062000</v>
      </c>
      <c r="AA62" s="501"/>
    </row>
    <row r="63" ht="57.75" customHeight="1">
      <c r="A63" s="552">
        <f>IFERROR(__xludf.DUMMYFUNCTION("""COMPUTED_VALUE"""),45147.0)</f>
        <v>45147</v>
      </c>
      <c r="B63" s="383" t="str">
        <f>IFERROR(__xludf.DUMMYFUNCTION("""COMPUTED_VALUE"""),"HV giới thiệu")</f>
        <v>HV giới thiệu</v>
      </c>
      <c r="C63" s="322" t="str">
        <f>IFERROR(__xludf.DUMMYFUNCTION("""COMPUTED_VALUE"""),"Kim Thuý (mẹ Long Quân)")</f>
        <v>Kim Thuý (mẹ Long Quân)</v>
      </c>
      <c r="D63" s="383" t="str">
        <f>IFERROR(__xludf.DUMMYFUNCTION("""COMPUTED_VALUE"""),"Huyền Anh")</f>
        <v>Huyền Anh</v>
      </c>
      <c r="E63" s="383"/>
      <c r="F63" s="383"/>
      <c r="G63" s="383">
        <f>IFERROR(__xludf.DUMMYFUNCTION("""COMPUTED_VALUE"""),4.0)</f>
        <v>4</v>
      </c>
      <c r="H63" s="383"/>
      <c r="I63" s="401" t="str">
        <f>IFERROR(__xludf.DUMMYFUNCTION("""COMPUTED_VALUE"""),"0988083226")</f>
        <v>0988083226</v>
      </c>
      <c r="J63" s="383"/>
      <c r="K63" s="383"/>
      <c r="L63" s="383" t="str">
        <f>IFERROR(__xludf.DUMMYFUNCTION("""COMPUTED_VALUE"""),"Mẹ muốn tư vấn khoá GTPX")</f>
        <v>Mẹ muốn tư vấn khoá GTPX</v>
      </c>
      <c r="M63" s="383" t="str">
        <f>IFERROR(__xludf.DUMMYFUNCTION("""COMPUTED_VALUE"""),"Ánh")</f>
        <v>Ánh</v>
      </c>
      <c r="N63" s="383" t="str">
        <f>IFERROR(__xludf.DUMMYFUNCTION("""COMPUTED_VALUE"""),"Đã đóng học phí")</f>
        <v>Đã đóng học phí</v>
      </c>
      <c r="O63" s="383" t="b">
        <f>IFERROR(__xludf.DUMMYFUNCTION("""COMPUTED_VALUE"""),TRUE)</f>
        <v>1</v>
      </c>
      <c r="P63" s="383" t="str">
        <f>IFERROR(__xludf.DUMMYFUNCTION("""COMPUTED_VALUE"""),"Con ngoan hiền, lễ phép. Con tập trung tốt khi tham gia buổi test.
Tốc độ phản xạ: Khá ổn
Con có thể nghe và trả lời những câu hỏi giao tiếp cơ bản về tên, tuổi, nơi ở, sở thích, thành viên trong gia đình,..
Nhưng khi cô hỏi con miêu tả về mẹ thì con cần "&amp;"những câu hỏi nhỏ của cô liên quan đến chủ đề thì con mới trả lời được.
Con cần cố gắng mở rộng thêm chủ đề khi nói.
Con phát âm được các từ cơ bản, con có chú ý phát âm âm cuối nhưng chưa có nối âm khi nói.
Con có thể giao tiếp bằng các câu hoàn chỉnh vớ"&amp;"i các cấu trúc câu cơ bản.
Con có thể nắm được đến chữ số hàng trăm.
Con nắm được tốt về số thứ tự.
Con thuộc bảng chữ cái và có thể đánh vần tốt.
Con có vốn từ cơ bản về các chủ đề như con vật, vị trí, đồ vật, so sánh nhưng con cần cải thiện thêm vốn từ "&amp;"về môn thể thao và thời tiết.
Có có khả năng đọc hiểu khá ổn và trả lời được đúng hầu hết các câu của các dạng bài tập cơ bản.
Con cần rèn luyện thêm về từ vựng và ngữ pháp với chương trình : 1/2 GTPX Level 3")</f>
        <v>Con ngoan hiền, lễ phép. Con tập trung tốt khi tham gia buổi test.
Tốc độ phản xạ: Khá ổn
Con có thể nghe và trả lời những câu hỏi giao tiếp cơ bản về tên, tuổi, nơi ở, sở thích, thành viên trong gia đình,..
Nhưng khi cô hỏi con miêu tả về mẹ thì con cần những câu hỏi nhỏ của cô liên quan đến chủ đề thì con mới trả lời được.
Con cần cố gắng mở rộng thêm chủ đề khi nói.
Con phát âm được các từ cơ bản, con có chú ý phát âm âm cuối nhưng chưa có nối âm khi nói.
Con có thể giao tiếp bằng các câu hoàn chỉnh với các cấu trúc câu cơ bản.
Con có thể nắm được đến chữ số hàng trăm.
Con nắm được tốt về số thứ tự.
Con thuộc bảng chữ cái và có thể đánh vần tốt.
Con có vốn từ cơ bản về các chủ đề như con vật, vị trí, đồ vật, so sánh nhưng con cần cải thiện thêm vốn từ về môn thể thao và thời tiết.
Có có khả năng đọc hiểu khá ổn và trả lời được đúng hầu hết các câu của các dạng bài tập cơ bản.
Con cần rèn luyện thêm về từ vựng và ngữ pháp với chương trình : 1/2 GTPX Level 3</v>
      </c>
      <c r="Q63" s="383" t="str">
        <f>IFERROR(__xludf.DUMMYFUNCTION("""COMPUTED_VALUE"""),"gtpx")</f>
        <v>gtpx</v>
      </c>
      <c r="R63" s="383" t="str">
        <f>IFERROR(__xludf.DUMMYFUNCTION("""COMPUTED_VALUE"""),"2-4-6: 19h30")</f>
        <v>2-4-6: 19h30</v>
      </c>
      <c r="S63" s="383" t="str">
        <f>IFERROR(__xludf.DUMMYFUNCTION("""COMPUTED_VALUE"""),"9/8: Hẹn test 10/8, lúc 18h tối
10/8: đã trả kq test, mẹ chốt khóa học")</f>
        <v>9/8: Hẹn test 10/8, lúc 18h tối
10/8: đã trả kq test, mẹ chốt khóa học</v>
      </c>
      <c r="T63" s="383"/>
      <c r="U63" s="552"/>
      <c r="V63" s="552">
        <f>IFERROR(__xludf.DUMMYFUNCTION("""COMPUTED_VALUE"""),45149.0)</f>
        <v>45149</v>
      </c>
      <c r="W63" s="554" t="str">
        <f>IFERROR(__xludf.DUMMYFUNCTION("""COMPUTED_VALUE"""),"gtpx")</f>
        <v>gtpx</v>
      </c>
      <c r="X63" s="501">
        <f>IFERROR(__xludf.DUMMYFUNCTION("""COMPUTED_VALUE"""),3062000.0)</f>
        <v>3062000</v>
      </c>
      <c r="Y63" s="501">
        <f>IFERROR(__xludf.DUMMYFUNCTION("""COMPUTED_VALUE"""),91860.0)</f>
        <v>91860</v>
      </c>
      <c r="Z63" s="501">
        <f>IFERROR(__xludf.DUMMYFUNCTION("""COMPUTED_VALUE"""),2970140.0)</f>
        <v>2970140</v>
      </c>
      <c r="AA63" s="501"/>
    </row>
    <row r="64" ht="57.75" customHeight="1">
      <c r="A64" s="552">
        <f>IFERROR(__xludf.DUMMYFUNCTION("""COMPUTED_VALUE"""),45148.0)</f>
        <v>45148</v>
      </c>
      <c r="B64" s="383" t="str">
        <f>IFERROR(__xludf.DUMMYFUNCTION("""COMPUTED_VALUE"""),"HV giới thiệu")</f>
        <v>HV giới thiệu</v>
      </c>
      <c r="C64" s="322" t="str">
        <f>IFERROR(__xludf.DUMMYFUNCTION("""COMPUTED_VALUE"""),"Nhã Uyên (mẹ Apu giới thiệu)")</f>
        <v>Nhã Uyên (mẹ Apu giới thiệu)</v>
      </c>
      <c r="D64" s="383" t="str">
        <f>IFERROR(__xludf.DUMMYFUNCTION("""COMPUTED_VALUE"""),"đinh phạm minh ngọc")</f>
        <v>đinh phạm minh ngọc</v>
      </c>
      <c r="E64" s="383"/>
      <c r="F64" s="383" t="str">
        <f>IFERROR(__xludf.DUMMYFUNCTION("""COMPUTED_VALUE"""),"9 tuôi")</f>
        <v>9 tuôi</v>
      </c>
      <c r="G64" s="383">
        <f>IFERROR(__xludf.DUMMYFUNCTION("""COMPUTED_VALUE"""),4.0)</f>
        <v>4</v>
      </c>
      <c r="H64" s="383"/>
      <c r="I64" s="401" t="str">
        <f>IFERROR(__xludf.DUMMYFUNCTION("""COMPUTED_VALUE"""),"84 911393533")</f>
        <v>84 911393533</v>
      </c>
      <c r="J64" s="383"/>
      <c r="K64" s="383"/>
      <c r="L64" s="383" t="str">
        <f>IFERROR(__xludf.DUMMYFUNCTION("""COMPUTED_VALUE"""),"Mẹ Nhật Vy giới thiệu - Mẹ quan tâm lớp phát âm xịn sò")</f>
        <v>Mẹ Nhật Vy giới thiệu - Mẹ quan tâm lớp phát âm xịn sò</v>
      </c>
      <c r="M64" s="383" t="str">
        <f>IFERROR(__xludf.DUMMYFUNCTION("""COMPUTED_VALUE"""),"Ánh")</f>
        <v>Ánh</v>
      </c>
      <c r="N64" s="383" t="str">
        <f>IFERROR(__xludf.DUMMYFUNCTION("""COMPUTED_VALUE"""),"Đã liên lạc lần 1")</f>
        <v>Đã liên lạc lần 1</v>
      </c>
      <c r="O64" s="383" t="b">
        <f>IFERROR(__xludf.DUMMYFUNCTION("""COMPUTED_VALUE"""),FALSE)</f>
        <v>0</v>
      </c>
      <c r="P64" s="383"/>
      <c r="Q64" s="383"/>
      <c r="R64" s="383"/>
      <c r="S64" s="383" t="str">
        <f>IFERROR(__xludf.DUMMYFUNCTION("""COMPUTED_VALUE"""),"10/8: gọi trao đổi đang hẹn xếp lịch test vào cuối tuần thứ 7
14/8: nt trao đổi hẹn lịch test
15/8: nt lại trao đổi lịch test hướng con qua lớp gtpx")</f>
        <v>10/8: gọi trao đổi đang hẹn xếp lịch test vào cuối tuần thứ 7
14/8: nt trao đổi hẹn lịch test
15/8: nt lại trao đổi lịch test hướng con qua lớp gtpx</v>
      </c>
      <c r="T64" s="383" t="str">
        <f>IFERROR(__xludf.DUMMYFUNCTION("""COMPUTED_VALUE"""),"chăm sóc tiếp")</f>
        <v>chăm sóc tiếp</v>
      </c>
      <c r="U64" s="552">
        <f>IFERROR(__xludf.DUMMYFUNCTION("""COMPUTED_VALUE"""),45162.0)</f>
        <v>45162</v>
      </c>
      <c r="V64" s="552"/>
      <c r="W64" s="383"/>
      <c r="X64" s="501"/>
      <c r="Y64" s="501"/>
      <c r="Z64" s="501"/>
      <c r="AA64" s="501"/>
    </row>
    <row r="65" ht="57.75" customHeight="1">
      <c r="A65" s="552">
        <f>IFERROR(__xludf.DUMMYFUNCTION("""COMPUTED_VALUE"""),45150.0)</f>
        <v>45150</v>
      </c>
      <c r="B65" s="383" t="str">
        <f>IFERROR(__xludf.DUMMYFUNCTION("""COMPUTED_VALUE"""),"HV giới thiệu")</f>
        <v>HV giới thiệu</v>
      </c>
      <c r="C65" s="322" t="str">
        <f>IFERROR(__xludf.DUMMYFUNCTION("""COMPUTED_VALUE"""),"mẹ Teresa Nguyen (Mẹ Nguyệt - Nhật Vy - k4_13_02 giới thiệu)")</f>
        <v>mẹ Teresa Nguyen (Mẹ Nguyệt - Nhật Vy - k4_13_02 giới thiệu)</v>
      </c>
      <c r="D65" s="383" t="str">
        <f>IFERROR(__xludf.DUMMYFUNCTION("""COMPUTED_VALUE"""),"Thanh Quỳnh")</f>
        <v>Thanh Quỳnh</v>
      </c>
      <c r="E65" s="383"/>
      <c r="F65" s="383" t="str">
        <f>IFERROR(__xludf.DUMMYFUNCTION("""COMPUTED_VALUE"""),"2011
12 tuổi")</f>
        <v>2011
12 tuổi</v>
      </c>
      <c r="G65" s="383">
        <f>IFERROR(__xludf.DUMMYFUNCTION("""COMPUTED_VALUE"""),7.0)</f>
        <v>7</v>
      </c>
      <c r="H65" s="383" t="str">
        <f>IFERROR(__xludf.DUMMYFUNCTION("""COMPUTED_VALUE"""),"đồng nai")</f>
        <v>đồng nai</v>
      </c>
      <c r="I65" s="401" t="str">
        <f>IFERROR(__xludf.DUMMYFUNCTION("""COMPUTED_VALUE"""),"0834183866")</f>
        <v>0834183866</v>
      </c>
      <c r="J65" s="383"/>
      <c r="K65" s="383"/>
      <c r="L65" s="383"/>
      <c r="M65" s="383" t="str">
        <f>IFERROR(__xludf.DUMMYFUNCTION("""COMPUTED_VALUE"""),"Ánh")</f>
        <v>Ánh</v>
      </c>
      <c r="N65" s="383" t="str">
        <f>IFERROR(__xludf.DUMMYFUNCTION("""COMPUTED_VALUE"""),"Đã đóng học phí")</f>
        <v>Đã đóng học phí</v>
      </c>
      <c r="O65" s="383" t="b">
        <f>IFERROR(__xludf.DUMMYFUNCTION("""COMPUTED_VALUE"""),TRUE)</f>
        <v>1</v>
      </c>
      <c r="P65" s="401" t="str">
        <f>IFERROR(__xludf.DUMMYFUNCTION("""COMPUTED_VALUE"""),"Con ngoan hiền, lễ phép. Con tập trung khi tham gia test.
Tốc độ phản xạ: Khá nhanh. 
Con nghe hiểu tốt các câu hỏi của cô và trả lời được ở mức căn bản. Con có ý thức sử dụng câu đầy đủ và áp dụng cấu trúc câu vào giao tiếp.
Con cần cố gắng mở rộng ý tưở"&amp;"ng khi giao tiếp.
Có vốn từ khá tốt về các chủ đề: thông tin cá nhân, đồ dùng, màu sắc, hoạt động, động vật, đồ dùng học tập, vị trí, con vật...
Con phát âm khá, tuy nhiên con cần cải thiện thêm âm cuối, nối âm và độ lưu loát.
Con nắm được từ số 1 -100 00"&amp;"0, con nắm được số thứ tự.
Con nắm được bảng chữ cái. Tốc độ đánh vần khá  nhanh.
Con có thể làm được cái bài nghe hiểu ở mức độ cơ bản tuy nhiên đối với những bài có độ khó cao hơn thì con làm chưa được tốt lắm.
Con có kĩ năng đọc hiểu khá tốt và có thể "&amp;"trả lời đúng gần hết những câu hỏi cô cho.
Con cần rèn luyện thêm về từ vựng và cấu trúc với chương trình GTPX Level 5")</f>
        <v>Con ngoan hiền, lễ phép. Con tập trung khi tham gia test.
Tốc độ phản xạ: Khá nhanh. 
Con nghe hiểu tốt các câu hỏi của cô và trả lời được ở mức căn bản. Con có ý thức sử dụng câu đầy đủ và áp dụng cấu trúc câu vào giao tiếp.
Con cần cố gắng mở rộng ý tưởng khi giao tiếp.
Có vốn từ khá tốt về các chủ đề: thông tin cá nhân, đồ dùng, màu sắc, hoạt động, động vật, đồ dùng học tập, vị trí, con vật...
Con phát âm khá, tuy nhiên con cần cải thiện thêm âm cuối, nối âm và độ lưu loát.
Con nắm được từ số 1 -100 000, con nắm được số thứ tự.
Con nắm được bảng chữ cái. Tốc độ đánh vần khá  nhanh.
Con có thể làm được cái bài nghe hiểu ở mức độ cơ bản tuy nhiên đối với những bài có độ khó cao hơn thì con làm chưa được tốt lắm.
Con có kĩ năng đọc hiểu khá tốt và có thể trả lời đúng gần hết những câu hỏi cô cho.
Con cần rèn luyện thêm về từ vựng và cấu trúc với chương trình GTPX Level 5</v>
      </c>
      <c r="Q65" s="401"/>
      <c r="R65" s="383"/>
      <c r="S65" s="383" t="str">
        <f>IFERROR(__xludf.DUMMYFUNCTION("""COMPUTED_VALUE"""),"14/8: gọi mẹ bận hẹn gọi lại lúc trưa, đã gọi lại mẹ quan tâm lớp gtpx cho cả 2 bạn và xếp lịch  test vào tối thứ 2 tuần sau
16/8: xếp lại lịch test vào khung giờ 14h30 thứ 2 ạ
21/8: trả kq test, chốt khóa học")</f>
        <v>14/8: gọi mẹ bận hẹn gọi lại lúc trưa, đã gọi lại mẹ quan tâm lớp gtpx cho cả 2 bạn và xếp lịch  test vào tối thứ 2 tuần sau
16/8: xếp lại lịch test vào khung giờ 14h30 thứ 2 ạ
21/8: trả kq test, chốt khóa học</v>
      </c>
      <c r="T65" s="383" t="str">
        <f>IFERROR(__xludf.DUMMYFUNCTION("""COMPUTED_VALUE"""),"hẹn lịch test")</f>
        <v>hẹn lịch test</v>
      </c>
      <c r="U65" s="552"/>
      <c r="V65" s="552">
        <f>IFERROR(__xludf.DUMMYFUNCTION("""COMPUTED_VALUE"""),45160.0)</f>
        <v>45160</v>
      </c>
      <c r="W65" s="554" t="str">
        <f>IFERROR(__xludf.DUMMYFUNCTION("""COMPUTED_VALUE"""),"gtpx")</f>
        <v>gtpx</v>
      </c>
      <c r="X65" s="501">
        <f>IFERROR(__xludf.DUMMYFUNCTION("""COMPUTED_VALUE"""),6124000.0)</f>
        <v>6124000</v>
      </c>
      <c r="Y65" s="501">
        <f>IFERROR(__xludf.DUMMYFUNCTION("""COMPUTED_VALUE"""),896120.0)</f>
        <v>896120</v>
      </c>
      <c r="Z65" s="501">
        <f>IFERROR(__xludf.DUMMYFUNCTION("""COMPUTED_VALUE"""),5227880.0)</f>
        <v>5227880</v>
      </c>
      <c r="AA65" s="501"/>
    </row>
    <row r="66" ht="57.75" customHeight="1">
      <c r="A66" s="552">
        <f>IFERROR(__xludf.DUMMYFUNCTION("""COMPUTED_VALUE"""),45151.0)</f>
        <v>45151</v>
      </c>
      <c r="B66" s="383" t="str">
        <f>IFERROR(__xludf.DUMMYFUNCTION("""COMPUTED_VALUE"""),"HV giới thiệu")</f>
        <v>HV giới thiệu</v>
      </c>
      <c r="C66" s="322" t="str">
        <f>IFERROR(__xludf.DUMMYFUNCTION("""COMPUTED_VALUE"""),"mẹ Teresa Nguyen (Mẹ Nguyệt - Nhật Vy - k4_13_02 giới thiệu)")</f>
        <v>mẹ Teresa Nguyen (Mẹ Nguyệt - Nhật Vy - k4_13_02 giới thiệu)</v>
      </c>
      <c r="D66" s="383" t="str">
        <f>IFERROR(__xludf.DUMMYFUNCTION("""COMPUTED_VALUE"""),"Thanh Trúc")</f>
        <v>Thanh Trúc</v>
      </c>
      <c r="E66" s="383"/>
      <c r="F66" s="383" t="str">
        <f>IFERROR(__xludf.DUMMYFUNCTION("""COMPUTED_VALUE""")," 2015
8 tuôi")</f>
        <v> 2015
8 tuôi</v>
      </c>
      <c r="G66" s="383">
        <f>IFERROR(__xludf.DUMMYFUNCTION("""COMPUTED_VALUE"""),3.0)</f>
        <v>3</v>
      </c>
      <c r="H66" s="383"/>
      <c r="I66" s="401" t="str">
        <f>IFERROR(__xludf.DUMMYFUNCTION("""COMPUTED_VALUE"""),"0834183866")</f>
        <v>0834183866</v>
      </c>
      <c r="J66" s="383"/>
      <c r="K66" s="383"/>
      <c r="L66" s="383"/>
      <c r="M66" s="383" t="str">
        <f>IFERROR(__xludf.DUMMYFUNCTION("""COMPUTED_VALUE"""),"Ánh")</f>
        <v>Ánh</v>
      </c>
      <c r="N66" s="383" t="str">
        <f>IFERROR(__xludf.DUMMYFUNCTION("""COMPUTED_VALUE"""),"Đã đóng học phí")</f>
        <v>Đã đóng học phí</v>
      </c>
      <c r="O66" s="383" t="b">
        <f>IFERROR(__xludf.DUMMYFUNCTION("""COMPUTED_VALUE"""),TRUE)</f>
        <v>1</v>
      </c>
      <c r="P66" s="383" t="str">
        <f>IFERROR(__xludf.DUMMYFUNCTION("""COMPUTED_VALUE"""),"
Con ngoan hiền, lễ phép.
Con có thể trả lời những câu hỏi cơ bản của cô về tên, tuổi, và sở thích,.. tuy nhiên con chưa hiểu được một số câu hỏi của cô nên trả lời chưa được tốt.
Con rất tập trung khi tham gia test.
Tốc độ phản xạ: Khá ổn. 
Con dùng được"&amp;" câu hoàn chỉnh khi nói nhưng có một vài câu trả lời con có xu hướng dùng từ lẻ để trả lời.
Con phát âm được các từ cơ bản, nhưng con còn bị sót âm cuối và chưa có nối âm khi nói.
Con nắm được từ 1-100,
Con chưa nắm được số thứ tự. 
Con nắm được bảng chữ "&amp;"cái và đánh vần được tốt các từ.
Con cần cố gắng cải thiện thêm kĩ năng nghe hiểu và đọc hiểu của con. 
Con cần rèn luyện thêm về từ vựng và cấu trúc với chương trình GTPX Level 3")</f>
        <v>
Con ngoan hiền, lễ phép.
Con có thể trả lời những câu hỏi cơ bản của cô về tên, tuổi, và sở thích,.. tuy nhiên con chưa hiểu được một số câu hỏi của cô nên trả lời chưa được tốt.
Con rất tập trung khi tham gia test.
Tốc độ phản xạ: Khá ổn. 
Con dùng được câu hoàn chỉnh khi nói nhưng có một vài câu trả lời con có xu hướng dùng từ lẻ để trả lời.
Con phát âm được các từ cơ bản, nhưng con còn bị sót âm cuối và chưa có nối âm khi nói.
Con nắm được từ 1-100,
Con chưa nắm được số thứ tự. 
Con nắm được bảng chữ cái và đánh vần được tốt các từ.
Con cần cố gắng cải thiện thêm kĩ năng nghe hiểu và đọc hiểu của con. 
Con cần rèn luyện thêm về từ vựng và cấu trúc với chương trình GTPX Level 3</v>
      </c>
      <c r="Q66" s="383"/>
      <c r="R66" s="383"/>
      <c r="S66" s="383" t="str">
        <f>IFERROR(__xludf.DUMMYFUNCTION("""COMPUTED_VALUE"""),"14/8: gọi mẹ bận hẹn gọi lại lúc trưa, đã gọi lại mẹ quan tâm lớp gtpx cho cả 2 bạn và xếp lịch  test vào tối thứ 2 tuần sau
16/8: xếp lại lịch test vào khung giờ 14h30 ạ
trả kq test và chốt khóa học")</f>
        <v>14/8: gọi mẹ bận hẹn gọi lại lúc trưa, đã gọi lại mẹ quan tâm lớp gtpx cho cả 2 bạn và xếp lịch  test vào tối thứ 2 tuần sau
16/8: xếp lại lịch test vào khung giờ 14h30 ạ
trả kq test và chốt khóa học</v>
      </c>
      <c r="T66" s="383" t="str">
        <f>IFERROR(__xludf.DUMMYFUNCTION("""COMPUTED_VALUE"""),"chăm sóc tiếp")</f>
        <v>chăm sóc tiếp</v>
      </c>
      <c r="U66" s="552"/>
      <c r="V66" s="552">
        <f>IFERROR(__xludf.DUMMYFUNCTION("""COMPUTED_VALUE"""),45160.0)</f>
        <v>45160</v>
      </c>
      <c r="W66" s="554" t="str">
        <f>IFERROR(__xludf.DUMMYFUNCTION("""COMPUTED_VALUE"""),"gtpx")</f>
        <v>gtpx</v>
      </c>
      <c r="X66" s="501">
        <f>IFERROR(__xludf.DUMMYFUNCTION("""COMPUTED_VALUE"""),6124000.0)</f>
        <v>6124000</v>
      </c>
      <c r="Y66" s="501">
        <f>IFERROR(__xludf.DUMMYFUNCTION("""COMPUTED_VALUE"""),896120.0)</f>
        <v>896120</v>
      </c>
      <c r="Z66" s="501">
        <f>IFERROR(__xludf.DUMMYFUNCTION("""COMPUTED_VALUE"""),5227880.0)</f>
        <v>5227880</v>
      </c>
      <c r="AA66" s="501"/>
    </row>
    <row r="67" ht="57.75" customHeight="1">
      <c r="A67" s="552">
        <f>IFERROR(__xludf.DUMMYFUNCTION("""COMPUTED_VALUE"""),45162.0)</f>
        <v>45162</v>
      </c>
      <c r="B67" s="383" t="str">
        <f>IFERROR(__xludf.DUMMYFUNCTION("""COMPUTED_VALUE"""),"HV giới thiệu")</f>
        <v>HV giới thiệu</v>
      </c>
      <c r="C67" s="322" t="str">
        <f>IFERROR(__xludf.DUMMYFUNCTION("""COMPUTED_VALUE"""),"Mẹ Ly (Mẹ Thảo Phan - Thảo My - K1_12_07 giới thiệu)")</f>
        <v>Mẹ Ly (Mẹ Thảo Phan - Thảo My - K1_12_07 giới thiệu)</v>
      </c>
      <c r="D67" s="383" t="str">
        <f>IFERROR(__xludf.DUMMYFUNCTION("""COMPUTED_VALUE"""),"Viên An")</f>
        <v>Viên An</v>
      </c>
      <c r="E67" s="383"/>
      <c r="F67" s="383">
        <f>IFERROR(__xludf.DUMMYFUNCTION("""COMPUTED_VALUE"""),2017.0)</f>
        <v>2017</v>
      </c>
      <c r="G67" s="383"/>
      <c r="H67" s="383"/>
      <c r="I67" s="401" t="str">
        <f>IFERROR(__xludf.DUMMYFUNCTION("""COMPUTED_VALUE"""),"0905977032")</f>
        <v>0905977032</v>
      </c>
      <c r="J67" s="383"/>
      <c r="K67" s="383"/>
      <c r="L67" s="383"/>
      <c r="M67" s="383" t="str">
        <f>IFERROR(__xludf.DUMMYFUNCTION("""COMPUTED_VALUE"""),"Ánh")</f>
        <v>Ánh</v>
      </c>
      <c r="N67" s="383" t="str">
        <f>IFERROR(__xludf.DUMMYFUNCTION("""COMPUTED_VALUE"""),"Đã đóng học phí")</f>
        <v>Đã đóng học phí</v>
      </c>
      <c r="O67" s="383" t="b">
        <f>IFERROR(__xludf.DUMMYFUNCTION("""COMPUTED_VALUE"""),TRUE)</f>
        <v>1</v>
      </c>
      <c r="P67" s="383" t="str">
        <f>IFERROR(__xludf.DUMMYFUNCTION("""COMPUTED_VALUE""")," Con ngoan hiền, lễ phép. Con khá tập trung khi tham gia buổi test.
Tốc độ phản xạ: Chưa nhanh. Vì vốn từ hạn chế nên con không nghe được. Còn phụ thuộc vào mẹ dịch lại tiếng Việt.
Con cần luyện thêm nhiều về phát âm: cả ngữ điệu, lưu loát và độ chính xác"&amp;".
Con chưa sử dụng câu hoàn chỉnh.
Con có thể nắm được số dưới 10 
Con thuộc bảng chữ cái theo bài hát nhung chưa đánh vần được.
Có vốn từ cơ bản về màu sắc, động vật, đồ vật,...
Con cần rèn luyện thêm về từ vựng và cấu trúc với chương trình: GTPX 1/2 Sta"&amp;"rter (hoặc Starter)")</f>
        <v> Con ngoan hiền, lễ phép. Con khá tập trung khi tham gia buổi test.
Tốc độ phản xạ: Chưa nhanh. Vì vốn từ hạn chế nên con không nghe được. Còn phụ thuộc vào mẹ dịch lại tiếng Việt.
Con cần luyện thêm nhiều về phát âm: cả ngữ điệu, lưu loát và độ chính xác.
Con chưa sử dụng câu hoàn chỉnh.
Con có thể nắm được số dưới 10 
Con thuộc bảng chữ cái theo bài hát nhung chưa đánh vần được.
Có vốn từ cơ bản về màu sắc, động vật, đồ vật,...
Con cần rèn luyện thêm về từ vựng và cấu trúc với chương trình: GTPX 1/2 Starter (hoặc Starter)</v>
      </c>
      <c r="Q67" s="383"/>
      <c r="R67" s="383"/>
      <c r="S67" s="383" t="str">
        <f>IFERROR(__xludf.DUMMYFUNCTION("""COMPUTED_VALUE"""),"24/8: gọi trao đổi và nt trao đổi về thông tin khóa học để mẹ tham khảo thông tin trước. sau đó mới xếp lịch test cho con. con chưa biết mặt chữ
29/8: nt hẹn sắp xếp lại lịch test. 5/9 xếp lịch test tối thứ 5")</f>
        <v>24/8: gọi trao đổi và nt trao đổi về thông tin khóa học để mẹ tham khảo thông tin trước. sau đó mới xếp lịch test cho con. con chưa biết mặt chữ
29/8: nt hẹn sắp xếp lại lịch test. 5/9 xếp lịch test tối thứ 5</v>
      </c>
      <c r="T67" s="383"/>
      <c r="U67" s="552"/>
      <c r="V67" s="552">
        <f>IFERROR(__xludf.DUMMYFUNCTION("""COMPUTED_VALUE"""),45180.0)</f>
        <v>45180</v>
      </c>
      <c r="W67" s="554" t="str">
        <f>IFERROR(__xludf.DUMMYFUNCTION("""COMPUTED_VALUE"""),"gtpx")</f>
        <v>gtpx</v>
      </c>
      <c r="X67" s="501">
        <f>IFERROR(__xludf.DUMMYFUNCTION("""COMPUTED_VALUE"""),6124000.0)</f>
        <v>6124000</v>
      </c>
      <c r="Y67" s="501">
        <f>IFERROR(__xludf.DUMMYFUNCTION("""COMPUTED_VALUE"""),612000.0)</f>
        <v>612000</v>
      </c>
      <c r="Z67" s="501">
        <f>IFERROR(__xludf.DUMMYFUNCTION("""COMPUTED_VALUE"""),5512000.0)</f>
        <v>5512000</v>
      </c>
      <c r="AA67" s="501"/>
    </row>
    <row r="68" ht="57.75" customHeight="1">
      <c r="A68" s="552">
        <f>IFERROR(__xludf.DUMMYFUNCTION("""COMPUTED_VALUE"""),45163.0)</f>
        <v>45163</v>
      </c>
      <c r="B68" s="383" t="str">
        <f>IFERROR(__xludf.DUMMYFUNCTION("""COMPUTED_VALUE"""),"HV giới thiệu")</f>
        <v>HV giới thiệu</v>
      </c>
      <c r="C68" s="322" t="str">
        <f>IFERROR(__xludf.DUMMYFUNCTION("""COMPUTED_VALUE"""),"Nguyen Phuong Thao( mẹ Trung Kha gt)")</f>
        <v>Nguyen Phuong Thao( mẹ Trung Kha gt)</v>
      </c>
      <c r="D68" s="383" t="str">
        <f>IFERROR(__xludf.DUMMYFUNCTION("""COMPUTED_VALUE"""),"Hà Nguyễn Minh Thư")</f>
        <v>Hà Nguyễn Minh Thư</v>
      </c>
      <c r="E68" s="383"/>
      <c r="F68" s="554">
        <f>IFERROR(__xludf.DUMMYFUNCTION("""COMPUTED_VALUE"""),41455.0)</f>
        <v>41455</v>
      </c>
      <c r="G68" s="383">
        <f>IFERROR(__xludf.DUMMYFUNCTION("""COMPUTED_VALUE"""),5.0)</f>
        <v>5</v>
      </c>
      <c r="H68" s="383"/>
      <c r="I68" s="401" t="str">
        <f>IFERROR(__xludf.DUMMYFUNCTION("""COMPUTED_VALUE"""),"0986711777")</f>
        <v>0986711777</v>
      </c>
      <c r="J68" s="383"/>
      <c r="K68" s="383"/>
      <c r="L68" s="383" t="str">
        <f>IFERROR(__xludf.DUMMYFUNCTION("""COMPUTED_VALUE"""),"Lớp Vườn ươm IELTS khi nào có lại em")</f>
        <v>Lớp Vườn ươm IELTS khi nào có lại em</v>
      </c>
      <c r="M68" s="383" t="str">
        <f>IFERROR(__xludf.DUMMYFUNCTION("""COMPUTED_VALUE"""),"Ánh")</f>
        <v>Ánh</v>
      </c>
      <c r="N68" s="383" t="str">
        <f>IFERROR(__xludf.DUMMYFUNCTION("""COMPUTED_VALUE"""),"Đã đóng học phí")</f>
        <v>Đã đóng học phí</v>
      </c>
      <c r="O68" s="383" t="b">
        <f>IFERROR(__xludf.DUMMYFUNCTION("""COMPUTED_VALUE"""),TRUE)</f>
        <v>1</v>
      </c>
      <c r="P68" s="383" t="str">
        <f>IFERROR(__xludf.DUMMYFUNCTION("""COMPUTED_VALUE"""),"Con ngoan hiền, lễ phép. Con tập trung tốt khi tham gia buổi test.
Tốc độ phản xạ: Khá nhanh. 
Nghe hiểu và giao tiếp được khá tốt với các chủ đề gần gũi. Có ý thức sử dụng câu đầy đủ. Áp dụng được một số cấu trúc câu cơ bản. 
Phát âm của con hay, có âm c"&amp;"uối, ngữ điệu tự nhiên và tốc độ nói khá tốt. 
Con có thể nắm được số từ 1-100. 
Con thuộc bảng chữ cái và có thể đánh vần khá nhanh. Còn nhầm chữ J và G. 
Vốn từ của con tương đối rộng về con vật, đồ vật, bạn bè, màu sắc,...
Kỹ năng nghe, đọc để lấy thôn"&amp;"g tin, từ khóa khá tốt. 
Chưa nắm được khái niệm về thì.
Con cần rèn luyện thêm về từ vựng và cấu trúc câu với chương trình: GTPX LEVEL UP5 hoặc Vườn Ươm 2023_VUI_K1_18_01")</f>
        <v>Con ngoan hiền, lễ phép. Con tập trung tốt khi tham gia buổi test.
Tốc độ phản xạ: Khá nhanh. 
Nghe hiểu và giao tiếp được khá tốt với các chủ đề gần gũi. Có ý thức sử dụng câu đầy đủ. Áp dụng được một số cấu trúc câu cơ bản. 
Phát âm của con hay, có âm cuối, ngữ điệu tự nhiên và tốc độ nói khá tốt. 
Con có thể nắm được số từ 1-100. 
Con thuộc bảng chữ cái và có thể đánh vần khá nhanh. Còn nhầm chữ J và G. 
Vốn từ của con tương đối rộng về con vật, đồ vật, bạn bè, màu sắc,...
Kỹ năng nghe, đọc để lấy thông tin, từ khóa khá tốt. 
Chưa nắm được khái niệm về thì.
Con cần rèn luyện thêm về từ vựng và cấu trúc câu với chương trình: GTPX LEVEL UP5 hoặc Vườn Ươm 2023_VUI_K1_18_01</v>
      </c>
      <c r="Q68" s="383"/>
      <c r="R68" s="383"/>
      <c r="S68" s="383" t="str">
        <f>IFERROR(__xludf.DUMMYFUNCTION("""COMPUTED_VALUE"""),"26/8: hẹn lịch test lúc 19h thứ 3
30/8: trả kết quả test và tư vân tiếp")</f>
        <v>26/8: hẹn lịch test lúc 19h thứ 3
30/8: trả kết quả test và tư vân tiếp</v>
      </c>
      <c r="T68" s="383" t="str">
        <f>IFERROR(__xludf.DUMMYFUNCTION("""COMPUTED_VALUE"""),"nhắc lịch")</f>
        <v>nhắc lịch</v>
      </c>
      <c r="U68" s="552">
        <f>IFERROR(__xludf.DUMMYFUNCTION("""COMPUTED_VALUE"""),45167.0)</f>
        <v>45167</v>
      </c>
      <c r="V68" s="552">
        <f>IFERROR(__xludf.DUMMYFUNCTION("""COMPUTED_VALUE"""),45169.0)</f>
        <v>45169</v>
      </c>
      <c r="W68" s="554" t="str">
        <f>IFERROR(__xludf.DUMMYFUNCTION("""COMPUTED_VALUE"""),"gtpx")</f>
        <v>gtpx</v>
      </c>
      <c r="X68" s="501">
        <f>IFERROR(__xludf.DUMMYFUNCTION("""COMPUTED_VALUE"""),3062000.0)</f>
        <v>3062000</v>
      </c>
      <c r="Y68" s="501">
        <f>IFERROR(__xludf.DUMMYFUNCTION("""COMPUTED_VALUE"""),398060.0)</f>
        <v>398060</v>
      </c>
      <c r="Z68" s="501">
        <f>IFERROR(__xludf.DUMMYFUNCTION("""COMPUTED_VALUE"""),2664000.0)</f>
        <v>2664000</v>
      </c>
      <c r="AA68" s="501"/>
    </row>
    <row r="69" ht="57.75" customHeight="1">
      <c r="A69" s="552">
        <f>IFERROR(__xludf.DUMMYFUNCTION("""COMPUTED_VALUE"""),45174.0)</f>
        <v>45174</v>
      </c>
      <c r="B69" s="383" t="str">
        <f>IFERROR(__xludf.DUMMYFUNCTION("""COMPUTED_VALUE"""),"HV giới thiệu")</f>
        <v>HV giới thiệu</v>
      </c>
      <c r="C69" s="322" t="str">
        <f>IFERROR(__xludf.DUMMYFUNCTION("""COMPUTED_VALUE"""),"Mẹ tên Quyên (mẹ Yến - Văn Viết Nhật Nam giới thiệu qua chị Mỹ)")</f>
        <v>Mẹ tên Quyên (mẹ Yến - Văn Viết Nhật Nam giới thiệu qua chị Mỹ)</v>
      </c>
      <c r="D69" s="383" t="str">
        <f>IFERROR(__xludf.DUMMYFUNCTION("""COMPUTED_VALUE"""),"Phan Minh Quân")</f>
        <v>Phan Minh Quân</v>
      </c>
      <c r="E69" s="383"/>
      <c r="F69" s="383"/>
      <c r="G69" s="383"/>
      <c r="H69" s="383"/>
      <c r="I69" s="401" t="str">
        <f>IFERROR(__xludf.DUMMYFUNCTION("""COMPUTED_VALUE"""),"0793555777")</f>
        <v>0793555777</v>
      </c>
      <c r="J69" s="383"/>
      <c r="K69" s="383"/>
      <c r="L69" s="383" t="str">
        <f>IFERROR(__xludf.DUMMYFUNCTION("""COMPUTED_VALUE"""),"Tư vấn lớp VUI")</f>
        <v>Tư vấn lớp VUI</v>
      </c>
      <c r="M69" s="383" t="str">
        <f>IFERROR(__xludf.DUMMYFUNCTION("""COMPUTED_VALUE"""),"Ánh")</f>
        <v>Ánh</v>
      </c>
      <c r="N69" s="383" t="str">
        <f>IFERROR(__xludf.DUMMYFUNCTION("""COMPUTED_VALUE"""),"Đã đóng học phí")</f>
        <v>Đã đóng học phí</v>
      </c>
      <c r="O69" s="383" t="b">
        <f>IFERROR(__xludf.DUMMYFUNCTION("""COMPUTED_VALUE"""),TRUE)</f>
        <v>1</v>
      </c>
      <c r="P69" s="383" t="str">
        <f>IFERROR(__xludf.DUMMYFUNCTION("""COMPUTED_VALUE"""),"Con ngoan hiền, lễ phép. Con tập trung khi tham gia test. Tuy nhiên khi test thì không mở camera được.
Tốc độ phản xạ: Nhanh
Con nghe hiểu khá tốt các câu hỏi của cô và trả lời khá nhanh. Con có ý thức sử dụng câu đầy đủ khi nói và biết cách áp dụng một s"&amp;"ố điểm ngữ pháp, mở rộng được chủ đề giao tiếp ở mức cơ bản.
Có vốn từ khá tốt về các chủ đề: thông tin cá nhân, đồ dùng, màu sắc, hoạt động, động vật,.. 
Con phát âm hay, con có ngữ điệu tự nhiên. Cần luyện thêm về lưu loát và nhấn trọng âm.  
Con nắm đư"&amp;"ợc từ số 1 - 100 000 và nắm được số thứ tự.
Con chưa có nhiều khái niệm về ngữ pháp.
Con cần rèn luyện thêm về từ vựng và cấu trúc với chương trình VUI 1/2 cuối Level 1. Lớp VUI_K1_18_01")</f>
        <v>Con ngoan hiền, lễ phép. Con tập trung khi tham gia test. Tuy nhiên khi test thì không mở camera được.
Tốc độ phản xạ: Nhanh
Con nghe hiểu khá tốt các câu hỏi của cô và trả lời khá nhanh. Con có ý thức sử dụng câu đầy đủ khi nói và biết cách áp dụng một số điểm ngữ pháp, mở rộng được chủ đề giao tiếp ở mức cơ bản.
Có vốn từ khá tốt về các chủ đề: thông tin cá nhân, đồ dùng, màu sắc, hoạt động, động vật,.. 
Con phát âm hay, con có ngữ điệu tự nhiên. Cần luyện thêm về lưu loát và nhấn trọng âm.  
Con nắm được từ số 1 - 100 000 và nắm được số thứ tự.
Con chưa có nhiều khái niệm về ngữ pháp.
Con cần rèn luyện thêm về từ vựng và cấu trúc với chương trình VUI 1/2 cuối Level 1. Lớp VUI_K1_18_01</v>
      </c>
      <c r="Q69" s="383" t="str">
        <f>IFERROR(__xludf.DUMMYFUNCTION("""COMPUTED_VALUE"""),"nhắc lịch")</f>
        <v>nhắc lịch</v>
      </c>
      <c r="R69" s="383"/>
      <c r="S69" s="383" t="str">
        <f>IFERROR(__xludf.DUMMYFUNCTION("""COMPUTED_VALUE""")," 5/9: xếp lịch test tối thứ 5, 8/9 trả kq test chốt khóa học")</f>
        <v> 5/9: xếp lịch test tối thứ 5, 8/9 trả kq test chốt khóa học</v>
      </c>
      <c r="T69" s="383"/>
      <c r="U69" s="552"/>
      <c r="V69" s="552">
        <f>IFERROR(__xludf.DUMMYFUNCTION("""COMPUTED_VALUE"""),45178.0)</f>
        <v>45178</v>
      </c>
      <c r="W69" s="554" t="str">
        <f>IFERROR(__xludf.DUMMYFUNCTION("""COMPUTED_VALUE"""),"vui")</f>
        <v>vui</v>
      </c>
      <c r="X69" s="501">
        <f>IFERROR(__xludf.DUMMYFUNCTION("""COMPUTED_VALUE"""),5116000.0)</f>
        <v>5116000</v>
      </c>
      <c r="Y69" s="501">
        <f>IFERROR(__xludf.DUMMYFUNCTION("""COMPUTED_VALUE"""),767000.0)</f>
        <v>767000</v>
      </c>
      <c r="Z69" s="501">
        <f>IFERROR(__xludf.DUMMYFUNCTION("""COMPUTED_VALUE"""),4349000.0)</f>
        <v>4349000</v>
      </c>
      <c r="AA69" s="501"/>
    </row>
    <row r="70" ht="57.75" customHeight="1">
      <c r="A70" s="552">
        <f>IFERROR(__xludf.DUMMYFUNCTION("""COMPUTED_VALUE"""),45176.0)</f>
        <v>45176</v>
      </c>
      <c r="B70" s="383" t="str">
        <f>IFERROR(__xludf.DUMMYFUNCTION("""COMPUTED_VALUE"""),"HV giới thiệu")</f>
        <v>HV giới thiệu</v>
      </c>
      <c r="C70" s="322" t="str">
        <f>IFERROR(__xludf.DUMMYFUNCTION("""COMPUTED_VALUE"""),"Mẹ Thảo My giới thiệu - Chị Oanh")</f>
        <v>Mẹ Thảo My giới thiệu - Chị Oanh</v>
      </c>
      <c r="D70" s="383" t="str">
        <f>IFERROR(__xludf.DUMMYFUNCTION("""COMPUTED_VALUE"""),"Nguyễn Phương Thảo")</f>
        <v>Nguyễn Phương Thảo</v>
      </c>
      <c r="E70" s="383"/>
      <c r="F70" s="383" t="str">
        <f>IFERROR(__xludf.DUMMYFUNCTION("""COMPUTED_VALUE"""),"6t")</f>
        <v>6t</v>
      </c>
      <c r="G70" s="383" t="str">
        <f>IFERROR(__xludf.DUMMYFUNCTION("""COMPUTED_VALUE"""),"Lớp 1")</f>
        <v>Lớp 1</v>
      </c>
      <c r="H70" s="383"/>
      <c r="I70" s="401" t="str">
        <f>IFERROR(__xludf.DUMMYFUNCTION("""COMPUTED_VALUE"""),"0905662791")</f>
        <v>0905662791</v>
      </c>
      <c r="J70" s="383"/>
      <c r="K70" s="383"/>
      <c r="L70" s="383" t="str">
        <f>IFERROR(__xludf.DUMMYFUNCTION("""COMPUTED_VALUE"""),"GTPX")</f>
        <v>GTPX</v>
      </c>
      <c r="M70" s="383" t="str">
        <f>IFERROR(__xludf.DUMMYFUNCTION("""COMPUTED_VALUE"""),"Ánh")</f>
        <v>Ánh</v>
      </c>
      <c r="N70" s="383" t="str">
        <f>IFERROR(__xludf.DUMMYFUNCTION("""COMPUTED_VALUE"""),"Đã đóng học phí")</f>
        <v>Đã đóng học phí</v>
      </c>
      <c r="O70" s="383" t="b">
        <f>IFERROR(__xludf.DUMMYFUNCTION("""COMPUTED_VALUE"""),FALSE)</f>
        <v>0</v>
      </c>
      <c r="P70" s="383" t="str">
        <f>IFERROR(__xludf.DUMMYFUNCTION("""COMPUTED_VALUE""")," Con ngoan hiền, lễ phép. Con khá tập trung khi tham gia buổi test.
Tốc độ phản xạ: Chưa nhanh. Vì vốn từ hạn chế nên con không nghe được. Còn phụ thuộc vào mẹ dịch lại tiếng Việt.
Con cần luyện thêm nhiều về phát âm: cả ngữ điệu, lưu loát và độ chính xác"&amp;".
Con chưa sử dụng câu hoàn chỉnh.
Con có thể nắm được số dưới 10 
Con chưa nắm hết bảng chữ cái.
Có vốn từ cơ bản về màu sắc, động vật,...
Con cần rèn luyện thêm về từ vựng và cấu trúc với chương trình: GTPX Starter")</f>
        <v> Con ngoan hiền, lễ phép. Con khá tập trung khi tham gia buổi test.
Tốc độ phản xạ: Chưa nhanh. Vì vốn từ hạn chế nên con không nghe được. Còn phụ thuộc vào mẹ dịch lại tiếng Việt.
Con cần luyện thêm nhiều về phát âm: cả ngữ điệu, lưu loát và độ chính xác.
Con chưa sử dụng câu hoàn chỉnh.
Con có thể nắm được số dưới 10 
Con chưa nắm hết bảng chữ cái.
Có vốn từ cơ bản về màu sắc, động vật,...
Con cần rèn luyện thêm về từ vựng và cấu trúc với chương trình: GTPX Starter</v>
      </c>
      <c r="Q70" s="383"/>
      <c r="R70" s="383"/>
      <c r="S70" s="383" t="str">
        <f>IFERROR(__xludf.DUMMYFUNCTION("""COMPUTED_VALUE"""),"7/9: hẹn sang tuâng sx lịch test do mẹ cần chuẩn bị mua laptop cho ckn đủ tbi mẹ dk học cho bạn
12/9: hẹn lịch test sang thứ 5")</f>
        <v>7/9: hẹn sang tuâng sx lịch test do mẹ cần chuẩn bị mua laptop cho ckn đủ tbi mẹ dk học cho bạn
12/9: hẹn lịch test sang thứ 5</v>
      </c>
      <c r="T70" s="383" t="str">
        <f>IFERROR(__xludf.DUMMYFUNCTION("""COMPUTED_VALUE"""),"nhắc lịch")</f>
        <v>nhắc lịch</v>
      </c>
      <c r="U70" s="552"/>
      <c r="V70" s="552">
        <f>IFERROR(__xludf.DUMMYFUNCTION("""COMPUTED_VALUE"""),45184.0)</f>
        <v>45184</v>
      </c>
      <c r="W70" s="554" t="str">
        <f>IFERROR(__xludf.DUMMYFUNCTION("""COMPUTED_VALUE"""),"gtpx")</f>
        <v>gtpx</v>
      </c>
      <c r="X70" s="501">
        <f>IFERROR(__xludf.DUMMYFUNCTION("""COMPUTED_VALUE"""),6124000.0)</f>
        <v>6124000</v>
      </c>
      <c r="Y70" s="501">
        <f>IFERROR(__xludf.DUMMYFUNCTION("""COMPUTED_VALUE"""),796000.0)</f>
        <v>796000</v>
      </c>
      <c r="Z70" s="501">
        <f>IFERROR(__xludf.DUMMYFUNCTION("""COMPUTED_VALUE"""),5328000.0)</f>
        <v>5328000</v>
      </c>
      <c r="AA70" s="501"/>
    </row>
    <row r="71" ht="57.75" customHeight="1">
      <c r="A71" s="552">
        <f>IFERROR(__xludf.DUMMYFUNCTION("""COMPUTED_VALUE"""),45180.0)</f>
        <v>45180</v>
      </c>
      <c r="B71" s="383" t="str">
        <f>IFERROR(__xludf.DUMMYFUNCTION("""COMPUTED_VALUE"""),"HV giới thiệu")</f>
        <v>HV giới thiệu</v>
      </c>
      <c r="C71" s="322" t="str">
        <f>IFERROR(__xludf.DUMMYFUNCTION("""COMPUTED_VALUE"""),"Thầy giới thiệu")</f>
        <v>Thầy giới thiệu</v>
      </c>
      <c r="D71" s="383"/>
      <c r="E71" s="383"/>
      <c r="F71" s="383"/>
      <c r="G71" s="383"/>
      <c r="H71" s="383"/>
      <c r="I71" s="401" t="str">
        <f>IFERROR(__xludf.DUMMYFUNCTION("""COMPUTED_VALUE"""),"0969997797")</f>
        <v>0969997797</v>
      </c>
      <c r="J71" s="383"/>
      <c r="K71" s="383"/>
      <c r="L71" s="383"/>
      <c r="M71" s="383" t="str">
        <f>IFERROR(__xludf.DUMMYFUNCTION("""COMPUTED_VALUE"""),"Ánh")</f>
        <v>Ánh</v>
      </c>
      <c r="N71" s="383" t="str">
        <f>IFERROR(__xludf.DUMMYFUNCTION("""COMPUTED_VALUE"""),"Từ chối")</f>
        <v>Từ chối</v>
      </c>
      <c r="O71" s="383" t="b">
        <f>IFERROR(__xludf.DUMMYFUNCTION("""COMPUTED_VALUE"""),FALSE)</f>
        <v>0</v>
      </c>
      <c r="P71" s="383"/>
      <c r="Q71" s="383"/>
      <c r="R71" s="383"/>
      <c r="S71" s="383" t="str">
        <f>IFERROR(__xludf.DUMMYFUNCTION("""COMPUTED_VALUE"""),"12/9: đã trao đổi thông tin mẹ từ chối vì bạn chưa tự tin để tham gia lớp online")</f>
        <v>12/9: đã trao đổi thông tin mẹ từ chối vì bạn chưa tự tin để tham gia lớp online</v>
      </c>
      <c r="T71" s="383"/>
      <c r="U71" s="552"/>
      <c r="V71" s="552"/>
      <c r="W71" s="383"/>
      <c r="X71" s="501"/>
      <c r="Y71" s="501"/>
      <c r="Z71" s="501"/>
      <c r="AA71" s="501"/>
    </row>
    <row r="72" ht="57.75" customHeight="1">
      <c r="A72" s="552">
        <f>IFERROR(__xludf.DUMMYFUNCTION("""COMPUTED_VALUE"""),45185.0)</f>
        <v>45185</v>
      </c>
      <c r="B72" s="383" t="str">
        <f>IFERROR(__xludf.DUMMYFUNCTION("""COMPUTED_VALUE"""),"HV giới thiệu")</f>
        <v>HV giới thiệu</v>
      </c>
      <c r="C72" s="322" t="str">
        <f>IFERROR(__xludf.DUMMYFUNCTION("""COMPUTED_VALUE"""),"Ha Nguyen (mẹ Nguyên Bảo VUI06 giới thiệu)")</f>
        <v>Ha Nguyen (mẹ Nguyên Bảo VUI06 giới thiệu)</v>
      </c>
      <c r="D72" s="383" t="str">
        <f>IFERROR(__xludf.DUMMYFUNCTION("""COMPUTED_VALUE"""),"Trần Nguyễn Khôi Nguyên")</f>
        <v>Trần Nguyễn Khôi Nguyên</v>
      </c>
      <c r="E72" s="383"/>
      <c r="F72" s="383">
        <f>IFERROR(__xludf.DUMMYFUNCTION("""COMPUTED_VALUE"""),2012.0)</f>
        <v>2012</v>
      </c>
      <c r="G72" s="383">
        <f>IFERROR(__xludf.DUMMYFUNCTION("""COMPUTED_VALUE"""),6.0)</f>
        <v>6</v>
      </c>
      <c r="H72" s="383"/>
      <c r="I72" s="401" t="str">
        <f>IFERROR(__xludf.DUMMYFUNCTION("""COMPUTED_VALUE"""),"0934903898")</f>
        <v>0934903898</v>
      </c>
      <c r="J72" s="383"/>
      <c r="K72" s="383"/>
      <c r="L72" s="383" t="str">
        <f>IFERROR(__xludf.DUMMYFUNCTION("""COMPUTED_VALUE"""),"Mình cần tìm khóa học nói giao tiếp cho bé 11t và 12t; Có thep giờ giấc linh hoạt ko
Vì bé lớn nhà mình chỉ rãnh thứ 7 và chủ nhật thôi")</f>
        <v>Mình cần tìm khóa học nói giao tiếp cho bé 11t và 12t; Có thep giờ giấc linh hoạt ko
Vì bé lớn nhà mình chỉ rãnh thứ 7 và chủ nhật thôi</v>
      </c>
      <c r="M72" s="383" t="str">
        <f>IFERROR(__xludf.DUMMYFUNCTION("""COMPUTED_VALUE"""),"Ánh")</f>
        <v>Ánh</v>
      </c>
      <c r="N72" s="383" t="str">
        <f>IFERROR(__xludf.DUMMYFUNCTION("""COMPUTED_VALUE"""),"Đã liên lạc lần 1")</f>
        <v>Đã liên lạc lần 1</v>
      </c>
      <c r="O72" s="383" t="b">
        <f>IFERROR(__xludf.DUMMYFUNCTION("""COMPUTED_VALUE"""),FALSE)</f>
        <v>0</v>
      </c>
      <c r="P72" s="383"/>
      <c r="Q72" s="383"/>
      <c r="R72" s="383"/>
      <c r="S72" s="383" t="str">
        <f>IFERROR(__xludf.DUMMYFUNCTION("""COMPUTED_VALUE"""),"16/9: đã nt trao đổi và sắp xếp lịch test tối thứ 3
19/9: mẹ nt bảo nhà có tang hẹn lịch test sang hôm khác")</f>
        <v>16/9: đã nt trao đổi và sắp xếp lịch test tối thứ 3
19/9: mẹ nt bảo nhà có tang hẹn lịch test sang hôm khác</v>
      </c>
      <c r="T72" s="383" t="str">
        <f>IFERROR(__xludf.DUMMYFUNCTION("""COMPUTED_VALUE"""),"chăm sóc tiếp")</f>
        <v>chăm sóc tiếp</v>
      </c>
      <c r="U72" s="552"/>
      <c r="V72" s="552"/>
      <c r="W72" s="383"/>
      <c r="X72" s="501"/>
      <c r="Y72" s="501"/>
      <c r="Z72" s="501"/>
      <c r="AA72" s="501"/>
    </row>
    <row r="73" ht="57.75" customHeight="1">
      <c r="A73" s="552">
        <f>IFERROR(__xludf.DUMMYFUNCTION("""COMPUTED_VALUE"""),45185.0)</f>
        <v>45185</v>
      </c>
      <c r="B73" s="383" t="str">
        <f>IFERROR(__xludf.DUMMYFUNCTION("""COMPUTED_VALUE"""),"HV giới thiệu")</f>
        <v>HV giới thiệu</v>
      </c>
      <c r="C73" s="322" t="str">
        <f>IFERROR(__xludf.DUMMYFUNCTION("""COMPUTED_VALUE"""),"Ha Nguyen (mẹ Nguyên Bảo VUI06 giới thiệu)")</f>
        <v>Ha Nguyen (mẹ Nguyên Bảo VUI06 giới thiệu)</v>
      </c>
      <c r="D73" s="383" t="str">
        <f>IFERROR(__xludf.DUMMYFUNCTION("""COMPUTED_VALUE"""),"Trần Nguyên Toản")</f>
        <v>Trần Nguyên Toản</v>
      </c>
      <c r="E73" s="383"/>
      <c r="F73" s="383">
        <f>IFERROR(__xludf.DUMMYFUNCTION("""COMPUTED_VALUE"""),2013.0)</f>
        <v>2013</v>
      </c>
      <c r="G73" s="383">
        <f>IFERROR(__xludf.DUMMYFUNCTION("""COMPUTED_VALUE"""),5.0)</f>
        <v>5</v>
      </c>
      <c r="H73" s="383"/>
      <c r="I73" s="401" t="str">
        <f>IFERROR(__xludf.DUMMYFUNCTION("""COMPUTED_VALUE"""),"0934903898")</f>
        <v>0934903898</v>
      </c>
      <c r="J73" s="383"/>
      <c r="K73" s="383"/>
      <c r="L73" s="383" t="str">
        <f>IFERROR(__xludf.DUMMYFUNCTION("""COMPUTED_VALUE"""),"Mình cần tìm khóa học nói giao tiếp cho bé 11t và 12t; Có thep giờ giấc linh hoạt ko
Vì bé lớn nhà mình chỉ rãnh thứ 7 và chủ nhật thôi")</f>
        <v>Mình cần tìm khóa học nói giao tiếp cho bé 11t và 12t; Có thep giờ giấc linh hoạt ko
Vì bé lớn nhà mình chỉ rãnh thứ 7 và chủ nhật thôi</v>
      </c>
      <c r="M73" s="383" t="str">
        <f>IFERROR(__xludf.DUMMYFUNCTION("""COMPUTED_VALUE"""),"Ánh")</f>
        <v>Ánh</v>
      </c>
      <c r="N73" s="383" t="str">
        <f>IFERROR(__xludf.DUMMYFUNCTION("""COMPUTED_VALUE"""),"Đã liên lạc lần 1")</f>
        <v>Đã liên lạc lần 1</v>
      </c>
      <c r="O73" s="383" t="b">
        <f>IFERROR(__xludf.DUMMYFUNCTION("""COMPUTED_VALUE"""),FALSE)</f>
        <v>0</v>
      </c>
      <c r="P73" s="383"/>
      <c r="Q73" s="383"/>
      <c r="R73" s="383"/>
      <c r="S73" s="383" t="str">
        <f>IFERROR(__xludf.DUMMYFUNCTION("""COMPUTED_VALUE"""),"16/9: đã nt trao đổi và sắp xếp lịch test tối thứ 3
19/9: mẹ nt bảo nhà có tang hẹn lịch test sang hôm khác")</f>
        <v>16/9: đã nt trao đổi và sắp xếp lịch test tối thứ 3
19/9: mẹ nt bảo nhà có tang hẹn lịch test sang hôm khác</v>
      </c>
      <c r="T73" s="383" t="str">
        <f>IFERROR(__xludf.DUMMYFUNCTION("""COMPUTED_VALUE"""),"chăm sóc tiếp")</f>
        <v>chăm sóc tiếp</v>
      </c>
      <c r="U73" s="552"/>
      <c r="V73" s="552"/>
      <c r="W73" s="383"/>
      <c r="X73" s="501"/>
      <c r="Y73" s="501"/>
      <c r="Z73" s="501"/>
      <c r="AA73" s="501"/>
    </row>
    <row r="74" ht="57.75" customHeight="1">
      <c r="A74" s="552">
        <f>IFERROR(__xludf.DUMMYFUNCTION("""COMPUTED_VALUE"""),45190.0)</f>
        <v>45190</v>
      </c>
      <c r="B74" s="383" t="str">
        <f>IFERROR(__xludf.DUMMYFUNCTION("""COMPUTED_VALUE"""),"HV giới thiệu")</f>
        <v>HV giới thiệu</v>
      </c>
      <c r="C74" s="322" t="str">
        <f>IFERROR(__xludf.DUMMYFUNCTION("""COMPUTED_VALUE"""),"Tâm Nguyễn (Mẹ Hiệp -Nhật Thi VUI04 giới thiệu)")</f>
        <v>Tâm Nguyễn (Mẹ Hiệp -Nhật Thi VUI04 giới thiệu)</v>
      </c>
      <c r="D74" s="383"/>
      <c r="E74" s="383"/>
      <c r="F74" s="383" t="str">
        <f>IFERROR(__xludf.DUMMYFUNCTION("""COMPUTED_VALUE"""),"13t")</f>
        <v>13t</v>
      </c>
      <c r="G74" s="383">
        <f>IFERROR(__xludf.DUMMYFUNCTION("""COMPUTED_VALUE"""),8.0)</f>
        <v>8</v>
      </c>
      <c r="H74" s="383"/>
      <c r="I74" s="401" t="str">
        <f>IFERROR(__xludf.DUMMYFUNCTION("""COMPUTED_VALUE"""),"0379312003")</f>
        <v>0379312003</v>
      </c>
      <c r="J74" s="383"/>
      <c r="K74" s="383"/>
      <c r="L74" s="383" t="str">
        <f>IFERROR(__xludf.DUMMYFUNCTION("""COMPUTED_VALUE"""),"Tâm Nguyễn (Mẹ Hiệp -Nhật Thi VUI04 giới thiệu)")</f>
        <v>Tâm Nguyễn (Mẹ Hiệp -Nhật Thi VUI04 giới thiệu)</v>
      </c>
      <c r="M74" s="383" t="str">
        <f>IFERROR(__xludf.DUMMYFUNCTION("""COMPUTED_VALUE"""),"Ánh")</f>
        <v>Ánh</v>
      </c>
      <c r="N74" s="383" t="str">
        <f>IFERROR(__xludf.DUMMYFUNCTION("""COMPUTED_VALUE"""),"Đã liên lạc lần 1")</f>
        <v>Đã liên lạc lần 1</v>
      </c>
      <c r="O74" s="383" t="b">
        <f>IFERROR(__xludf.DUMMYFUNCTION("""COMPUTED_VALUE"""),FALSE)</f>
        <v>0</v>
      </c>
      <c r="P74" s="383"/>
      <c r="Q74" s="383"/>
      <c r="R74" s="383"/>
      <c r="S74" s="383" t="str">
        <f>IFERROR(__xludf.DUMMYFUNCTION("""COMPUTED_VALUE"""),"21/9: đã nt trao đổi mẹ bảo sẽ tham khảo thêm, con ko chịu học nên để mẹ về trao đổi thêm")</f>
        <v>21/9: đã nt trao đổi mẹ bảo sẽ tham khảo thêm, con ko chịu học nên để mẹ về trao đổi thêm</v>
      </c>
      <c r="T74" s="383" t="str">
        <f>IFERROR(__xludf.DUMMYFUNCTION("""COMPUTED_VALUE"""),"chăm sóc tiếp")</f>
        <v>chăm sóc tiếp</v>
      </c>
      <c r="U74" s="552"/>
      <c r="V74" s="552"/>
      <c r="W74" s="383"/>
      <c r="X74" s="501"/>
      <c r="Y74" s="501"/>
      <c r="Z74" s="501"/>
      <c r="AA74" s="501"/>
    </row>
    <row r="75" ht="57.75" customHeight="1">
      <c r="A75" s="552">
        <f>IFERROR(__xludf.DUMMYFUNCTION("""COMPUTED_VALUE"""),45191.0)</f>
        <v>45191</v>
      </c>
      <c r="B75" s="383" t="str">
        <f>IFERROR(__xludf.DUMMYFUNCTION("""COMPUTED_VALUE"""),"HV giới thiệu")</f>
        <v>HV giới thiệu</v>
      </c>
      <c r="C75" s="322" t="str">
        <f>IFERROR(__xludf.DUMMYFUNCTION("""COMPUTED_VALUE"""),"Mẹ Thủy (Mẹ Hiệp -Nhật Thi VUI04 giới thiệu)")</f>
        <v>Mẹ Thủy (Mẹ Hiệp -Nhật Thi VUI04 giới thiệu)</v>
      </c>
      <c r="D75" s="383"/>
      <c r="E75" s="383"/>
      <c r="F75" s="383" t="str">
        <f>IFERROR(__xludf.DUMMYFUNCTION("""COMPUTED_VALUE"""),"14t")</f>
        <v>14t</v>
      </c>
      <c r="G75" s="383"/>
      <c r="H75" s="383"/>
      <c r="I75" s="401" t="str">
        <f>IFERROR(__xludf.DUMMYFUNCTION("""COMPUTED_VALUE"""),"0905349643")</f>
        <v>0905349643</v>
      </c>
      <c r="J75" s="383"/>
      <c r="K75" s="383"/>
      <c r="L75" s="383" t="str">
        <f>IFERROR(__xludf.DUMMYFUNCTION("""COMPUTED_VALUE"""),"Mất gốc TA")</f>
        <v>Mất gốc TA</v>
      </c>
      <c r="M75" s="383" t="str">
        <f>IFERROR(__xludf.DUMMYFUNCTION("""COMPUTED_VALUE"""),"Ánh")</f>
        <v>Ánh</v>
      </c>
      <c r="N75" s="383" t="str">
        <f>IFERROR(__xludf.DUMMYFUNCTION("""COMPUTED_VALUE"""),"Đã liên lạc lần 1")</f>
        <v>Đã liên lạc lần 1</v>
      </c>
      <c r="O75" s="383" t="b">
        <f>IFERROR(__xludf.DUMMYFUNCTION("""COMPUTED_VALUE"""),FALSE)</f>
        <v>0</v>
      </c>
      <c r="P75" s="383"/>
      <c r="Q75" s="383"/>
      <c r="R75" s="383"/>
      <c r="S75" s="383" t="str">
        <f>IFERROR(__xludf.DUMMYFUNCTION("""COMPUTED_VALUE"""),"22/9: gọi chưa nghe máy, nt chưa trả lời
25/9: gọi ko nghe máy")</f>
        <v>22/9: gọi chưa nghe máy, nt chưa trả lời
25/9: gọi ko nghe máy</v>
      </c>
      <c r="T75" s="383" t="str">
        <f>IFERROR(__xludf.DUMMYFUNCTION("""COMPUTED_VALUE"""),"gọi lại sau")</f>
        <v>gọi lại sau</v>
      </c>
      <c r="U75" s="552"/>
      <c r="V75" s="552"/>
      <c r="W75" s="383"/>
      <c r="X75" s="501"/>
      <c r="Y75" s="501"/>
      <c r="Z75" s="501"/>
      <c r="AA75" s="501"/>
    </row>
    <row r="76" ht="57.75" customHeight="1">
      <c r="A76" s="552">
        <f>IFERROR(__xludf.DUMMYFUNCTION("""COMPUTED_VALUE"""),45192.0)</f>
        <v>45192</v>
      </c>
      <c r="B76" s="383" t="str">
        <f>IFERROR(__xludf.DUMMYFUNCTION("""COMPUTED_VALUE"""),"HV giới thiệu")</f>
        <v>HV giới thiệu</v>
      </c>
      <c r="C76" s="322" t="str">
        <f>IFERROR(__xludf.DUMMYFUNCTION("""COMPUTED_VALUE"""),"kiều phương - Mẹ của Thảo Kim giới thiệu")</f>
        <v>kiều phương - Mẹ của Thảo Kim giới thiệu</v>
      </c>
      <c r="D76" s="383" t="str">
        <f>IFERROR(__xludf.DUMMYFUNCTION("""COMPUTED_VALUE"""),"nguyễn ngọc bảo châu")</f>
        <v>nguyễn ngọc bảo châu</v>
      </c>
      <c r="E76" s="383"/>
      <c r="F76" s="383">
        <f>IFERROR(__xludf.DUMMYFUNCTION("""COMPUTED_VALUE"""),2012.0)</f>
        <v>2012</v>
      </c>
      <c r="G76" s="383">
        <f>IFERROR(__xludf.DUMMYFUNCTION("""COMPUTED_VALUE"""),6.0)</f>
        <v>6</v>
      </c>
      <c r="H76" s="383"/>
      <c r="I76" s="401" t="str">
        <f>IFERROR(__xludf.DUMMYFUNCTION("""COMPUTED_VALUE"""),"0932486015")</f>
        <v>0932486015</v>
      </c>
      <c r="J76" s="383"/>
      <c r="K76" s="383"/>
      <c r="L76" s="383"/>
      <c r="M76" s="383" t="str">
        <f>IFERROR(__xludf.DUMMYFUNCTION("""COMPUTED_VALUE"""),"Ánh")</f>
        <v>Ánh</v>
      </c>
      <c r="N76" s="383" t="str">
        <f>IFERROR(__xludf.DUMMYFUNCTION("""COMPUTED_VALUE"""),"Đã đóng học phí")</f>
        <v>Đã đóng học phí</v>
      </c>
      <c r="O76" s="383" t="b">
        <f>IFERROR(__xludf.DUMMYFUNCTION("""COMPUTED_VALUE"""),TRUE)</f>
        <v>1</v>
      </c>
      <c r="P76" s="383" t="str">
        <f>IFERROR(__xludf.DUMMYFUNCTION("""COMPUTED_VALUE"""),"Con ngoan hiền, lễ phép. Con tập trung khi tham gia test.
Tốc độ phản xạ: Khá nhanh. 
Con nghe hiểu tốt các câu hỏi của cô và trả lời được ở mức cơ bản. Con có ý thức sử dụng câu đầy đủ, áp dụng được khá tốt ngữ pháp, cấu trúc câu vào giao tiếp.
Con chưa "&amp;"mở rộng được ý trong khi giao tiếp nhiều.
Có vốn từ tốt về các chủ đề: thông tin cá nhân, đồ dùng, màu sắc, hoạt động, động vật, so sánh, thể thao.... 
Con phát âm khá hay, tuy nhiên con cần cải thiện thêm âm cuối và nối âm. 
Con nắm được đến chữ số hàng "&amp;"triệu, nắm chắc được về số thứ tự.
Con nắm được bảng chữ cái. Tốc độ đánh vần nhanh.
Con chưa nắm được nhiều kiến thức về thì. Cụ thể là HTĐ, HTTD, QKĐ, TLĐ nhưng chưa nắm được thì HTTH và QKTD. 
Khả năng đọc hiểu và tư duy của con khá tốt khi làm các bài"&amp;" tập về phần đọc và viết.
Con cần rèn luyện thêm về từ vựng và cấu trúc với chương trình GTPX Level 5")</f>
        <v>Con ngoan hiền, lễ phép. Con tập trung khi tham gia test.
Tốc độ phản xạ: Khá nhanh. 
Con nghe hiểu tốt các câu hỏi của cô và trả lời được ở mức cơ bản. Con có ý thức sử dụng câu đầy đủ, áp dụng được khá tốt ngữ pháp, cấu trúc câu vào giao tiếp.
Con chưa mở rộng được ý trong khi giao tiếp nhiều.
Có vốn từ tốt về các chủ đề: thông tin cá nhân, đồ dùng, màu sắc, hoạt động, động vật, so sánh, thể thao.... 
Con phát âm khá hay, tuy nhiên con cần cải thiện thêm âm cuối và nối âm. 
Con nắm được đến chữ số hàng triệu, nắm chắc được về số thứ tự.
Con nắm được bảng chữ cái. Tốc độ đánh vần nhanh.
Con chưa nắm được nhiều kiến thức về thì. Cụ thể là HTĐ, HTTD, QKĐ, TLĐ nhưng chưa nắm được thì HTTH và QKTD. 
Khả năng đọc hiểu và tư duy của con khá tốt khi làm các bài tập về phần đọc và viết.
Con cần rèn luyện thêm về từ vựng và cấu trúc với chương trình GTPX Level 5</v>
      </c>
      <c r="Q76" s="383"/>
      <c r="R76" s="383"/>
      <c r="S76" s="383" t="str">
        <f>IFERROR(__xludf.DUMMYFUNCTION("""COMPUTED_VALUE"""),"23/9: xếp lịch test chiều t7
24/9; trả kết quả test mẹ dk lớp 1 kem 4 hẹn chiều 25/9 đóng học phí")</f>
        <v>23/9: xếp lịch test chiều t7
24/9; trả kết quả test mẹ dk lớp 1 kem 4 hẹn chiều 25/9 đóng học phí</v>
      </c>
      <c r="T76" s="383" t="str">
        <f>IFERROR(__xludf.DUMMYFUNCTION("""COMPUTED_VALUE"""),"nhắc lich")</f>
        <v>nhắc lich</v>
      </c>
      <c r="U76" s="552"/>
      <c r="V76" s="552">
        <f>IFERROR(__xludf.DUMMYFUNCTION("""COMPUTED_VALUE"""),45194.0)</f>
        <v>45194</v>
      </c>
      <c r="W76" s="554" t="str">
        <f>IFERROR(__xludf.DUMMYFUNCTION("""COMPUTED_VALUE"""),"gtpx")</f>
        <v>gtpx</v>
      </c>
      <c r="X76" s="501">
        <f>IFERROR(__xludf.DUMMYFUNCTION("""COMPUTED_VALUE"""),4812000.0)</f>
        <v>4812000</v>
      </c>
      <c r="Y76" s="501">
        <f>IFERROR(__xludf.DUMMYFUNCTION("""COMPUTED_VALUE"""),625000.0)</f>
        <v>625000</v>
      </c>
      <c r="Z76" s="501">
        <f>IFERROR(__xludf.DUMMYFUNCTION("""COMPUTED_VALUE"""),4187000.0)</f>
        <v>4187000</v>
      </c>
      <c r="AA76" s="501"/>
    </row>
    <row r="77" ht="57.75" customHeight="1">
      <c r="A77" s="552">
        <f>IFERROR(__xludf.DUMMYFUNCTION("""COMPUTED_VALUE"""),45192.0)</f>
        <v>45192</v>
      </c>
      <c r="B77" s="383" t="str">
        <f>IFERROR(__xludf.DUMMYFUNCTION("""COMPUTED_VALUE"""),"HV giới thiệu")</f>
        <v>HV giới thiệu</v>
      </c>
      <c r="C77" s="322"/>
      <c r="D77" s="383" t="str">
        <f>IFERROR(__xludf.DUMMYFUNCTION("""COMPUTED_VALUE"""),"Phan hoàng hải")</f>
        <v>Phan hoàng hải</v>
      </c>
      <c r="E77" s="383"/>
      <c r="F77" s="423">
        <f>IFERROR(__xludf.DUMMYFUNCTION("""COMPUTED_VALUE"""),40306.0)</f>
        <v>40306</v>
      </c>
      <c r="G77" s="383"/>
      <c r="H77" s="383"/>
      <c r="I77" s="401" t="str">
        <f>IFERROR(__xludf.DUMMYFUNCTION("""COMPUTED_VALUE"""),"0327527179")</f>
        <v>0327527179</v>
      </c>
      <c r="J77" s="383"/>
      <c r="K77" s="383"/>
      <c r="L77" s="383" t="str">
        <f>IFERROR(__xludf.DUMMYFUNCTION("""COMPUTED_VALUE"""),"Phan khánh vy 2023_GTPX_K4_13_02 giới thiệu")</f>
        <v>Phan khánh vy 2023_GTPX_K4_13_02 giới thiệu</v>
      </c>
      <c r="M77" s="383" t="str">
        <f>IFERROR(__xludf.DUMMYFUNCTION("""COMPUTED_VALUE"""),"Ánh")</f>
        <v>Ánh</v>
      </c>
      <c r="N77" s="383" t="str">
        <f>IFERROR(__xludf.DUMMYFUNCTION("""COMPUTED_VALUE"""),"Chưa liên lạc được")</f>
        <v>Chưa liên lạc được</v>
      </c>
      <c r="O77" s="383" t="b">
        <f>IFERROR(__xludf.DUMMYFUNCTION("""COMPUTED_VALUE"""),FALSE)</f>
        <v>0</v>
      </c>
      <c r="P77" s="383"/>
      <c r="Q77" s="383"/>
      <c r="R77" s="383"/>
      <c r="S77" s="383" t="str">
        <f>IFERROR(__xludf.DUMMYFUNCTION("""COMPUTED_VALUE"""),"25/9: gọi ko nghe máy")</f>
        <v>25/9: gọi ko nghe máy</v>
      </c>
      <c r="T77" s="383"/>
      <c r="U77" s="552"/>
      <c r="V77" s="552"/>
      <c r="W77" s="383"/>
      <c r="X77" s="501"/>
      <c r="Y77" s="501"/>
      <c r="Z77" s="501"/>
      <c r="AA77" s="501"/>
    </row>
    <row r="78" ht="57.75" customHeight="1">
      <c r="A78" s="552">
        <f>IFERROR(__xludf.DUMMYFUNCTION("""COMPUTED_VALUE"""),45194.0)</f>
        <v>45194</v>
      </c>
      <c r="B78" s="383" t="str">
        <f>IFERROR(__xludf.DUMMYFUNCTION("""COMPUTED_VALUE"""),"HV giới thiệu")</f>
        <v>HV giới thiệu</v>
      </c>
      <c r="C78" s="322" t="str">
        <f>IFERROR(__xludf.DUMMYFUNCTION("""COMPUTED_VALUE"""),"chị Nga")</f>
        <v>chị Nga</v>
      </c>
      <c r="D78" s="383" t="str">
        <f>IFERROR(__xludf.DUMMYFUNCTION("""COMPUTED_VALUE"""),"Đoàn Thành Bảo Ngọc")</f>
        <v>Đoàn Thành Bảo Ngọc</v>
      </c>
      <c r="E78" s="383"/>
      <c r="F78" s="383">
        <f>IFERROR(__xludf.DUMMYFUNCTION("""COMPUTED_VALUE"""),2012.0)</f>
        <v>2012</v>
      </c>
      <c r="G78" s="383">
        <f>IFERROR(__xludf.DUMMYFUNCTION("""COMPUTED_VALUE"""),6.0)</f>
        <v>6</v>
      </c>
      <c r="H78" s="383"/>
      <c r="I78" s="401" t="str">
        <f>IFERROR(__xludf.DUMMYFUNCTION("""COMPUTED_VALUE"""),"0905358326")</f>
        <v>0905358326</v>
      </c>
      <c r="J78" s="383"/>
      <c r="K78" s="383"/>
      <c r="L78" s="383"/>
      <c r="M78" s="383" t="str">
        <f>IFERROR(__xludf.DUMMYFUNCTION("""COMPUTED_VALUE"""),"Ánh")</f>
        <v>Ánh</v>
      </c>
      <c r="N78" s="383" t="str">
        <f>IFERROR(__xludf.DUMMYFUNCTION("""COMPUTED_VALUE"""),"Đã test")</f>
        <v>Đã test</v>
      </c>
      <c r="O78" s="383" t="b">
        <f>IFERROR(__xludf.DUMMYFUNCTION("""COMPUTED_VALUE"""),TRUE)</f>
        <v>1</v>
      </c>
      <c r="P78" s="383" t="str">
        <f>IFERROR(__xludf.DUMMYFUNCTION("""COMPUTED_VALUE"""),"Con ngoan hiền, lễ phép. Con khá tập trung khi tham gia test.
Tốc độ phản xạ: Nhanh
Con nghe hiểu câu hỏi và trả lời tốt. Con có ý thức sử dụng câu đầy đủ và áp dụng được ngữ pháp, cấu trúc câu vào giao tiếp.
Con tự tin, vui tươi khi giao tiếp với cô.
Con"&amp;" phát âm rõ ràng, có ngữ điệu tự nhiên tuy nhiên con cần cố gắng cải thiện thêm nối âm.
Có vốn từ tốt về các chủ đề: thông tin cá nhân, đồ dùng, màu sắc, hoạt động, động vật, ... tuy nhiên có một số từ vựng chỉ vị trí và cách nói về giờ thì con nắm chưa c"&amp;"hắc.
Con nắm được số từ 1 - 1 000 0000  tuy nhiên lúc đầu con còn hơi ấp úng khi nói về các số nhiều hàng đơn vị.
Con nắm được cơ bản số thứ tự nhưng còn nhầm cách đọc số ""fifth"".
Con nắm được bảng chữ cái. Tốc độ đánh vần khá nhanh. Lúc đánh vần con cò"&amp;"n nhầm một chút về cách đọc của từ J và I.
Khả năng đọc hiểu của con khá tốt và con có thể làm được đúng gần hết các câu hỏi đọc hiểu trong bài test.
Tuy nhiên con cần cố gắng cải thiện thêm khả năng nghe hiểu của con.
Con cần rèn luyện thêm về từ vựng và"&amp;" cấu trúc với chương trình GTPX 1/2 Level 4")</f>
        <v>Con ngoan hiền, lễ phép. Con khá tập trung khi tham gia test.
Tốc độ phản xạ: Nhanh
Con nghe hiểu câu hỏi và trả lời tốt. Con có ý thức sử dụng câu đầy đủ và áp dụng được ngữ pháp, cấu trúc câu vào giao tiếp.
Con tự tin, vui tươi khi giao tiếp với cô.
Con phát âm rõ ràng, có ngữ điệu tự nhiên tuy nhiên con cần cố gắng cải thiện thêm nối âm.
Có vốn từ tốt về các chủ đề: thông tin cá nhân, đồ dùng, màu sắc, hoạt động, động vật, ... tuy nhiên có một số từ vựng chỉ vị trí và cách nói về giờ thì con nắm chưa chắc.
Con nắm được số từ 1 - 1 000 0000  tuy nhiên lúc đầu con còn hơi ấp úng khi nói về các số nhiều hàng đơn vị.
Con nắm được cơ bản số thứ tự nhưng còn nhầm cách đọc số "fifth".
Con nắm được bảng chữ cái. Tốc độ đánh vần khá nhanh. Lúc đánh vần con còn nhầm một chút về cách đọc của từ J và I.
Khả năng đọc hiểu của con khá tốt và con có thể làm được đúng gần hết các câu hỏi đọc hiểu trong bài test.
Tuy nhiên con cần cố gắng cải thiện thêm khả năng nghe hiểu của con.
Con cần rèn luyện thêm về từ vựng và cấu trúc với chương trình GTPX 1/2 Level 4</v>
      </c>
      <c r="Q78" s="383"/>
      <c r="R78" s="383"/>
      <c r="S78" s="383" t="str">
        <f>IFERROR(__xludf.DUMMYFUNCTION("""COMPUTED_VALUE"""),"25/9: xếp lịch test tối thứ 2")</f>
        <v>25/9: xếp lịch test tối thứ 2</v>
      </c>
      <c r="T78" s="383"/>
      <c r="U78" s="552"/>
      <c r="V78" s="552"/>
      <c r="W78" s="383"/>
      <c r="X78" s="501"/>
      <c r="Y78" s="501"/>
      <c r="Z78" s="501"/>
      <c r="AA78" s="501"/>
    </row>
    <row r="79" ht="57.75" customHeight="1">
      <c r="A79" s="552">
        <f>IFERROR(__xludf.DUMMYFUNCTION("""COMPUTED_VALUE"""),45194.0)</f>
        <v>45194</v>
      </c>
      <c r="B79" s="383" t="str">
        <f>IFERROR(__xludf.DUMMYFUNCTION("""COMPUTED_VALUE"""),"HV giới thiệu")</f>
        <v>HV giới thiệu</v>
      </c>
      <c r="C79" s="322" t="str">
        <f>IFERROR(__xludf.DUMMYFUNCTION("""COMPUTED_VALUE"""),"chị Nga")</f>
        <v>chị Nga</v>
      </c>
      <c r="D79" s="383" t="str">
        <f>IFERROR(__xludf.DUMMYFUNCTION("""COMPUTED_VALUE"""),"Đoàn Thành Bảo Trân")</f>
        <v>Đoàn Thành Bảo Trân</v>
      </c>
      <c r="E79" s="383"/>
      <c r="F79" s="383">
        <f>IFERROR(__xludf.DUMMYFUNCTION("""COMPUTED_VALUE"""),2015.0)</f>
        <v>2015</v>
      </c>
      <c r="G79" s="383">
        <f>IFERROR(__xludf.DUMMYFUNCTION("""COMPUTED_VALUE"""),3.0)</f>
        <v>3</v>
      </c>
      <c r="H79" s="383"/>
      <c r="I79" s="401" t="str">
        <f>IFERROR(__xludf.DUMMYFUNCTION("""COMPUTED_VALUE"""),"0905358326")</f>
        <v>0905358326</v>
      </c>
      <c r="J79" s="383"/>
      <c r="K79" s="383"/>
      <c r="L79" s="383"/>
      <c r="M79" s="383" t="str">
        <f>IFERROR(__xludf.DUMMYFUNCTION("""COMPUTED_VALUE"""),"Ánh")</f>
        <v>Ánh</v>
      </c>
      <c r="N79" s="383" t="str">
        <f>IFERROR(__xludf.DUMMYFUNCTION("""COMPUTED_VALUE"""),"Đã test")</f>
        <v>Đã test</v>
      </c>
      <c r="O79" s="383" t="b">
        <f>IFERROR(__xludf.DUMMYFUNCTION("""COMPUTED_VALUE"""),TRUE)</f>
        <v>1</v>
      </c>
      <c r="P79" s="383" t="str">
        <f>IFERROR(__xludf.DUMMYFUNCTION("""COMPUTED_VALUE""")," Con ngoan hiền, lễ phép. 
Con có tập trung khi tham gia test.
Con còn hơi rụt rè khi tương tác với cô.
Tốc độ phản xạ: Chưa được nhanh
Con có thể nghe và trả lời những câu hỏi giao tiếp cơ bản về tên, tuổi, gia đình, sở thích,... tuy nhiên con lại chưa c"&amp;"hủ động mở rộng được chủ đề khi cô hỏi về bạn bè.
Con cần luyện thêm nhiều về phát âm: cả ngữ điệu, lưu loát và độ chính xác.
Có một số câu hỏi con sửu dụng được câu hoàn chỉnh để trả lời tuy nhiên có một số câu con lại chỉ dùng từ lẻ để trả lời.
Con có t"&amp;"hể nắm được đến số hàng triệu tuy nhiên con đôi lúc chưa nắm chắc được cách đọc về thứ tự đọc các hàng trong 1 số.
Con nắm được các số dưới số 100, có một số chữ số con còn nhầm lẫn hoặc chưa nắm chắc cách đọc như số 12, 25.
Con thuộc bảng chữ cái và đánh"&amp;" vần với tốc độ ổn. 
Con có vốn từ cơ bản về các chủ đề như đồ dùng học tập, con vật, màu sắc,... tuy nhiên con còn nhầm lẫn từ vựng chỉ vị trí và cũng chưa nắm chắc cách đọc giờ lẻ.
Con cần cố gắng cải thiện thêm kĩ năng nghe. Con có kĩ năng đọc hiểu tốt"&amp;" ở mức độ cơ bản và trả lời được đúng gần hết các câu hỏi của cô.
Con cần rèn luyện thêm về từ vựng và cấu trúc với chương trình: 1/2 GTPX Level 2")</f>
        <v> Con ngoan hiền, lễ phép. 
Con có tập trung khi tham gia test.
Con còn hơi rụt rè khi tương tác với cô.
Tốc độ phản xạ: Chưa được nhanh
Con có thể nghe và trả lời những câu hỏi giao tiếp cơ bản về tên, tuổi, gia đình, sở thích,... tuy nhiên con lại chưa chủ động mở rộng được chủ đề khi cô hỏi về bạn bè.
Con cần luyện thêm nhiều về phát âm: cả ngữ điệu, lưu loát và độ chính xác.
Có một số câu hỏi con sửu dụng được câu hoàn chỉnh để trả lời tuy nhiên có một số câu con lại chỉ dùng từ lẻ để trả lời.
Con có thể nắm được đến số hàng triệu tuy nhiên con đôi lúc chưa nắm chắc được cách đọc về thứ tự đọc các hàng trong 1 số.
Con nắm được các số dưới số 100, có một số chữ số con còn nhầm lẫn hoặc chưa nắm chắc cách đọc như số 12, 25.
Con thuộc bảng chữ cái và đánh vần với tốc độ ổn. 
Con có vốn từ cơ bản về các chủ đề như đồ dùng học tập, con vật, màu sắc,... tuy nhiên con còn nhầm lẫn từ vựng chỉ vị trí và cũng chưa nắm chắc cách đọc giờ lẻ.
Con cần cố gắng cải thiện thêm kĩ năng nghe. Con có kĩ năng đọc hiểu tốt ở mức độ cơ bản và trả lời được đúng gần hết các câu hỏi của cô.
Con cần rèn luyện thêm về từ vựng và cấu trúc với chương trình: 1/2 GTPX Level 2</v>
      </c>
      <c r="Q79" s="383"/>
      <c r="R79" s="383"/>
      <c r="S79" s="383" t="str">
        <f>IFERROR(__xludf.DUMMYFUNCTION("""COMPUTED_VALUE"""),"25/9: xếp lịch test tối thứ 2")</f>
        <v>25/9: xếp lịch test tối thứ 2</v>
      </c>
      <c r="T79" s="383"/>
      <c r="U79" s="552"/>
      <c r="V79" s="552"/>
      <c r="W79" s="383"/>
      <c r="X79" s="501"/>
      <c r="Y79" s="501"/>
      <c r="Z79" s="501"/>
      <c r="AA79" s="501"/>
    </row>
    <row r="80" ht="57.75" customHeight="1">
      <c r="A80" s="552">
        <f>IFERROR(__xludf.DUMMYFUNCTION("""COMPUTED_VALUE"""),45198.0)</f>
        <v>45198</v>
      </c>
      <c r="B80" s="383" t="str">
        <f>IFERROR(__xludf.DUMMYFUNCTION("""COMPUTED_VALUE"""),"HV giới thiệu")</f>
        <v>HV giới thiệu</v>
      </c>
      <c r="C80" s="322" t="str">
        <f>IFERROR(__xludf.DUMMYFUNCTION("""COMPUTED_VALUE"""),"Võ Triều (Mẹ Phượng - Ngọc Sang VUI04 giới thiệu trên FP)")</f>
        <v>Võ Triều (Mẹ Phượng - Ngọc Sang VUI04 giới thiệu trên FP)</v>
      </c>
      <c r="D80" s="383"/>
      <c r="E80" s="383"/>
      <c r="F80" s="383"/>
      <c r="G80" s="383"/>
      <c r="H80" s="383"/>
      <c r="I80" s="401" t="str">
        <f>IFERROR(__xludf.DUMMYFUNCTION("""COMPUTED_VALUE"""),"0914165565")</f>
        <v>0914165565</v>
      </c>
      <c r="J80" s="383"/>
      <c r="K80" s="383"/>
      <c r="L80" s="383"/>
      <c r="M80" s="383" t="str">
        <f>IFERROR(__xludf.DUMMYFUNCTION("""COMPUTED_VALUE"""),"Ánh")</f>
        <v>Ánh</v>
      </c>
      <c r="N80" s="383" t="str">
        <f>IFERROR(__xludf.DUMMYFUNCTION("""COMPUTED_VALUE"""),"Chưa liên lạc được")</f>
        <v>Chưa liên lạc được</v>
      </c>
      <c r="O80" s="383" t="b">
        <f>IFERROR(__xludf.DUMMYFUNCTION("""COMPUTED_VALUE"""),FALSE)</f>
        <v>0</v>
      </c>
      <c r="P80" s="383"/>
      <c r="Q80" s="383"/>
      <c r="R80" s="383"/>
      <c r="S80" s="383" t="str">
        <f>IFERROR(__xludf.DUMMYFUNCTION("""COMPUTED_VALUE"""),"29/9: gọi chưa nghe máy
5/10: gọi trao đổi nhưng mẹ thiên về học trực tiếp con ko thích hocj onl")</f>
        <v>29/9: gọi chưa nghe máy
5/10: gọi trao đổi nhưng mẹ thiên về học trực tiếp con ko thích hocj onl</v>
      </c>
      <c r="T80" s="383"/>
      <c r="U80" s="552"/>
      <c r="V80" s="552"/>
      <c r="W80" s="383"/>
      <c r="X80" s="501"/>
      <c r="Y80" s="501"/>
      <c r="Z80" s="501"/>
      <c r="AA80" s="501"/>
    </row>
    <row r="81" ht="57.75" customHeight="1">
      <c r="A81" s="552">
        <f>IFERROR(__xludf.DUMMYFUNCTION("""COMPUTED_VALUE"""),45201.0)</f>
        <v>45201</v>
      </c>
      <c r="B81" s="383" t="str">
        <f>IFERROR(__xludf.DUMMYFUNCTION("""COMPUTED_VALUE"""),"HV giới thiệu")</f>
        <v>HV giới thiệu</v>
      </c>
      <c r="C81" s="322" t="str">
        <f>IFERROR(__xludf.DUMMYFUNCTION("""COMPUTED_VALUE"""),"Giang Hiền( mẹ Khánh Vy - Su Su giới thiệu)")</f>
        <v>Giang Hiền( mẹ Khánh Vy - Su Su giới thiệu)</v>
      </c>
      <c r="D81" s="383"/>
      <c r="E81" s="383" t="str">
        <f>IFERROR(__xludf.DUMMYFUNCTION("""COMPUTED_VALUE"""),"Mandy")</f>
        <v>Mandy</v>
      </c>
      <c r="F81" s="383">
        <f>IFERROR(__xludf.DUMMYFUNCTION("""COMPUTED_VALUE"""),2017.0)</f>
        <v>2017</v>
      </c>
      <c r="G81" s="383">
        <f>IFERROR(__xludf.DUMMYFUNCTION("""COMPUTED_VALUE"""),1.0)</f>
        <v>1</v>
      </c>
      <c r="H81" s="383"/>
      <c r="I81" s="401" t="str">
        <f>IFERROR(__xludf.DUMMYFUNCTION("""COMPUTED_VALUE"""),"0933224968")</f>
        <v>0933224968</v>
      </c>
      <c r="J81" s="383"/>
      <c r="K81" s="383"/>
      <c r="L81" s="383"/>
      <c r="M81" s="383" t="str">
        <f>IFERROR(__xludf.DUMMYFUNCTION("""COMPUTED_VALUE"""),"Ánh")</f>
        <v>Ánh</v>
      </c>
      <c r="N81" s="383" t="str">
        <f>IFERROR(__xludf.DUMMYFUNCTION("""COMPUTED_VALUE"""),"Từ chối")</f>
        <v>Từ chối</v>
      </c>
      <c r="O81" s="383" t="b">
        <f>IFERROR(__xludf.DUMMYFUNCTION("""COMPUTED_VALUE"""),TRUE)</f>
        <v>1</v>
      </c>
      <c r="P81" s="383" t="str">
        <f>IFERROR(__xludf.DUMMYFUNCTION("""COMPUTED_VALUE"""),"Con ngoan hiền, lễ phép. 
Con tập trung vào bài test và trả lời các câu hỏi của cô.
Tốc độ phản xạ: Chưa được nhanh
Có một số câu hỏi lúc đầu con chưa hiểu câu hỏi của cô nên cô cần nhắc lại câu hỏi để con trả lời.
Con có thể nghe và trả lời những câu hỏi"&amp;" giao tiếp cơ bản về tên, màu sắc yêu thích và con vật yêu thích,  
Con dùng được một số cấu trúc câu cơ bản để trả lời cô, tuy nhiên có một số câu hỏi con vẫn dùng từ lẻ để trả lời.
Con có thể nắm được số từ 1-12.
Con nắm được cơ bản bảng chữ cái tuy nhi"&amp;"ên con vẫn còn nhầm lẫn giữa cách đọc chữ cái và cách đọc âm.
Có một số chữ cái con còn nhầm lẫn như chữ I và Y.
Con vốn từ cơ bản về đồ dùng học tập, màu sắc, con vật,.. nhưng con chưa biết nhiều từ vựng chỉ vị trí.
Con có thể nghe và trả lời được đúng 7"&amp;"0% câu hỏi của bài nghe và con làm được các bài đọc ở dạng nhìn tranh và trả lời Yes/No.
Con cần rèn luyện thêm về từ vựng và cấu trúc câu với chương trình : GTPX Level 1.")</f>
        <v>Con ngoan hiền, lễ phép. 
Con tập trung vào bài test và trả lời các câu hỏi của cô.
Tốc độ phản xạ: Chưa được nhanh
Có một số câu hỏi lúc đầu con chưa hiểu câu hỏi của cô nên cô cần nhắc lại câu hỏi để con trả lời.
Con có thể nghe và trả lời những câu hỏi giao tiếp cơ bản về tên, màu sắc yêu thích và con vật yêu thích,  
Con dùng được một số cấu trúc câu cơ bản để trả lời cô, tuy nhiên có một số câu hỏi con vẫn dùng từ lẻ để trả lời.
Con có thể nắm được số từ 1-12.
Con nắm được cơ bản bảng chữ cái tuy nhiên con vẫn còn nhầm lẫn giữa cách đọc chữ cái và cách đọc âm.
Có một số chữ cái con còn nhầm lẫn như chữ I và Y.
Con vốn từ cơ bản về đồ dùng học tập, màu sắc, con vật,.. nhưng con chưa biết nhiều từ vựng chỉ vị trí.
Con có thể nghe và trả lời được đúng 70% câu hỏi của bài nghe và con làm được các bài đọc ở dạng nhìn tranh và trả lời Yes/No.
Con cần rèn luyện thêm về từ vựng và cấu trúc câu với chương trình : GTPX Level 1.</v>
      </c>
      <c r="Q81" s="383"/>
      <c r="R81" s="383"/>
      <c r="S81" s="383" t="str">
        <f>IFERROR(__xludf.DUMMYFUNCTION("""COMPUTED_VALUE"""),"2/10: hẹn lịch test tối thứ 2
3/10: trae kq test mẹ từ chối vì con ko tập trung nên onl ko phù hợp với bạn")</f>
        <v>2/10: hẹn lịch test tối thứ 2
3/10: trae kq test mẹ từ chối vì con ko tập trung nên onl ko phù hợp với bạn</v>
      </c>
      <c r="T81" s="383" t="str">
        <f>IFERROR(__xludf.DUMMYFUNCTION("""COMPUTED_VALUE"""),"dừng chăm sóc")</f>
        <v>dừng chăm sóc</v>
      </c>
      <c r="U81" s="552"/>
      <c r="V81" s="552"/>
      <c r="W81" s="383"/>
      <c r="X81" s="501"/>
      <c r="Y81" s="501"/>
      <c r="Z81" s="501"/>
      <c r="AA81" s="501"/>
    </row>
    <row r="82" ht="57.75" customHeight="1">
      <c r="A82" s="552">
        <f>IFERROR(__xludf.DUMMYFUNCTION("""COMPUTED_VALUE"""),45208.0)</f>
        <v>45208</v>
      </c>
      <c r="B82" s="383" t="str">
        <f>IFERROR(__xludf.DUMMYFUNCTION("""COMPUTED_VALUE"""),"HV giới thiệu")</f>
        <v>HV giới thiệu</v>
      </c>
      <c r="C82" s="322" t="str">
        <f>IFERROR(__xludf.DUMMYFUNCTION("""COMPUTED_VALUE"""),"Hanh Ngo( mẹ Teresa gt)")</f>
        <v>Hanh Ngo( mẹ Teresa gt)</v>
      </c>
      <c r="D82" s="383" t="str">
        <f>IFERROR(__xludf.DUMMYFUNCTION("""COMPUTED_VALUE"""),"Nguyễn Bảo Phúc")</f>
        <v>Nguyễn Bảo Phúc</v>
      </c>
      <c r="E82" s="383"/>
      <c r="F82" s="383">
        <f>IFERROR(__xludf.DUMMYFUNCTION("""COMPUTED_VALUE"""),2010.0)</f>
        <v>2010</v>
      </c>
      <c r="G82" s="383">
        <f>IFERROR(__xludf.DUMMYFUNCTION("""COMPUTED_VALUE"""),8.0)</f>
        <v>8</v>
      </c>
      <c r="H82" s="383"/>
      <c r="I82" s="401" t="str">
        <f>IFERROR(__xludf.DUMMYFUNCTION("""COMPUTED_VALUE"""),"0913741230")</f>
        <v>0913741230</v>
      </c>
      <c r="J82" s="383"/>
      <c r="K82" s="383"/>
      <c r="L82" s="383" t="str">
        <f>IFERROR(__xludf.DUMMYFUNCTION("""COMPUTED_VALUE"""),"Hỏi lại thông tin giới thiệu")</f>
        <v>Hỏi lại thông tin giới thiệu</v>
      </c>
      <c r="M82" s="383" t="str">
        <f>IFERROR(__xludf.DUMMYFUNCTION("""COMPUTED_VALUE"""),"Ánh")</f>
        <v>Ánh</v>
      </c>
      <c r="N82" s="383" t="str">
        <f>IFERROR(__xludf.DUMMYFUNCTION("""COMPUTED_VALUE"""),"Đã đóng học phí")</f>
        <v>Đã đóng học phí</v>
      </c>
      <c r="O82" s="383" t="b">
        <f>IFERROR(__xludf.DUMMYFUNCTION("""COMPUTED_VALUE"""),TRUE)</f>
        <v>1</v>
      </c>
      <c r="P82" s="383" t="str">
        <f>IFERROR(__xludf.DUMMYFUNCTION("""COMPUTED_VALUE"""),"Con ngoan hiền, lễ phép. Con tập trung khi tham gia test.
Tốc độ phản xạ: Khá nhanh. 
Con nghe hiểu chưa tốt các câu hỏi của cô và trả lời được ở mức căn bản. Con chưa có ý thức sử dụng câu đầy đủ, chưa áp dụng được tốt ngữ pháp, cấu trúc câu vào giao tiế"&amp;"p.
Có vốn từ còn hạn chế về các chủ đề: thông tin cá nhân, đồ dùng, màu sắc, hoạt động, động vật, vị trí,...
Con cần được điều chỉnh thêm về phát âm bao gồm độ chính xác, ngữ điệu và lưu loát.
Con nắm được bảng chữ cái. Tốc độ đánh vần tương đối nhanh.
Co"&amp;"n nắm được các thì sau ở mức cơ bản: Hiện tại đơn và Hiện tại tiếp diễn. Tuy nhiên con chỉ làm được bài tập dạng viết chứ chưa áp dụng vào nói được. 
Con cần rèn luyện thêm về từ vựng và cấu trúc với chương trình NPBT level 1.")</f>
        <v>Con ngoan hiền, lễ phép. Con tập trung khi tham gia test.
Tốc độ phản xạ: Khá nhanh. 
Con nghe hiểu chưa tốt các câu hỏi của cô và trả lời được ở mức căn bản. Con chưa có ý thức sử dụng câu đầy đủ, chưa áp dụng được tốt ngữ pháp, cấu trúc câu vào giao tiếp.
Có vốn từ còn hạn chế về các chủ đề: thông tin cá nhân, đồ dùng, màu sắc, hoạt động, động vật, vị trí,...
Con cần được điều chỉnh thêm về phát âm bao gồm độ chính xác, ngữ điệu và lưu loát.
Con nắm được bảng chữ cái. Tốc độ đánh vần tương đối nhanh.
Con nắm được các thì sau ở mức cơ bản: Hiện tại đơn và Hiện tại tiếp diễn. Tuy nhiên con chỉ làm được bài tập dạng viết chứ chưa áp dụng vào nói được. 
Con cần rèn luyện thêm về từ vựng và cấu trúc với chương trình NPBT level 1.</v>
      </c>
      <c r="Q82" s="383"/>
      <c r="R82" s="383"/>
      <c r="S82" s="383" t="str">
        <f>IFERROR(__xludf.DUMMYFUNCTION("""COMPUTED_VALUE"""),"9/10: gọi nhưng mẹ đang bận liên lạc lại sau
10/10: hẹn lịch test đang xem lại tkb của các con, hẹn lịch tối thứ 4 18h30
12/10: đã trả kết quả test, mẹ đang cân nhắc cho 3 bạn'
16/10: đã tham gia khoá học")</f>
        <v>9/10: gọi nhưng mẹ đang bận liên lạc lại sau
10/10: hẹn lịch test đang xem lại tkb của các con, hẹn lịch tối thứ 4 18h30
12/10: đã trả kết quả test, mẹ đang cân nhắc cho 3 bạn'
16/10: đã tham gia khoá học</v>
      </c>
      <c r="T82" s="383" t="str">
        <f>IFERROR(__xludf.DUMMYFUNCTION("""COMPUTED_VALUE"""),"chăm sóc tiếp")</f>
        <v>chăm sóc tiếp</v>
      </c>
      <c r="U82" s="552"/>
      <c r="V82" s="552">
        <f>IFERROR(__xludf.DUMMYFUNCTION("""COMPUTED_VALUE"""),45215.0)</f>
        <v>45215</v>
      </c>
      <c r="W82" s="554" t="str">
        <f>IFERROR(__xludf.DUMMYFUNCTION("""COMPUTED_VALUE"""),"gtpx - 25b")</f>
        <v>gtpx - 25b</v>
      </c>
      <c r="X82" s="501">
        <f>IFERROR(__xludf.DUMMYFUNCTION("""COMPUTED_VALUE"""),4375000.0)</f>
        <v>4375000</v>
      </c>
      <c r="Y82" s="501">
        <f>IFERROR(__xludf.DUMMYFUNCTION("""COMPUTED_VALUE"""),437500.0)</f>
        <v>437500</v>
      </c>
      <c r="Z82" s="501">
        <f>IFERROR(__xludf.DUMMYFUNCTION("""COMPUTED_VALUE"""),3937500.0)</f>
        <v>3937500</v>
      </c>
      <c r="AA82" s="501"/>
    </row>
    <row r="83" ht="57.75" customHeight="1">
      <c r="A83" s="552">
        <f>IFERROR(__xludf.DUMMYFUNCTION("""COMPUTED_VALUE"""),45208.0)</f>
        <v>45208</v>
      </c>
      <c r="B83" s="383" t="str">
        <f>IFERROR(__xludf.DUMMYFUNCTION("""COMPUTED_VALUE"""),"HV giới thiệu")</f>
        <v>HV giới thiệu</v>
      </c>
      <c r="C83" s="322" t="str">
        <f>IFERROR(__xludf.DUMMYFUNCTION("""COMPUTED_VALUE"""),"Hanh Ngo( mẹ Teresa gt)")</f>
        <v>Hanh Ngo( mẹ Teresa gt)</v>
      </c>
      <c r="D83" s="383" t="str">
        <f>IFERROR(__xludf.DUMMYFUNCTION("""COMPUTED_VALUE"""),"Nguyễn Ngọc Bảo Thy")</f>
        <v>Nguyễn Ngọc Bảo Thy</v>
      </c>
      <c r="E83" s="383"/>
      <c r="F83" s="383">
        <f>IFERROR(__xludf.DUMMYFUNCTION("""COMPUTED_VALUE"""),2012.0)</f>
        <v>2012</v>
      </c>
      <c r="G83" s="383">
        <f>IFERROR(__xludf.DUMMYFUNCTION("""COMPUTED_VALUE"""),6.0)</f>
        <v>6</v>
      </c>
      <c r="H83" s="383"/>
      <c r="I83" s="401" t="str">
        <f>IFERROR(__xludf.DUMMYFUNCTION("""COMPUTED_VALUE"""),"0913741230")</f>
        <v>0913741230</v>
      </c>
      <c r="J83" s="383"/>
      <c r="K83" s="383"/>
      <c r="L83" s="383" t="str">
        <f>IFERROR(__xludf.DUMMYFUNCTION("""COMPUTED_VALUE"""),"Hỏi lại thông tin giới thiệu")</f>
        <v>Hỏi lại thông tin giới thiệu</v>
      </c>
      <c r="M83" s="383" t="str">
        <f>IFERROR(__xludf.DUMMYFUNCTION("""COMPUTED_VALUE"""),"Ánh")</f>
        <v>Ánh</v>
      </c>
      <c r="N83" s="383" t="str">
        <f>IFERROR(__xludf.DUMMYFUNCTION("""COMPUTED_VALUE"""),"Đã đóng học phí")</f>
        <v>Đã đóng học phí</v>
      </c>
      <c r="O83" s="383" t="b">
        <f>IFERROR(__xludf.DUMMYFUNCTION("""COMPUTED_VALUE"""),TRUE)</f>
        <v>1</v>
      </c>
      <c r="P83" s="383" t="str">
        <f>IFERROR(__xludf.DUMMYFUNCTION("""COMPUTED_VALUE"""),"Con ngoan hiền, lễ phép. Con tập trung khi tham gia test.
Tốc độ phản xạ: Chưa nhanh.
Con nghe hiểu chưa tốt các câu hỏi của cô và trả lời được ở mức căn bản. Con chưa có ý thức sử dụng câu đầy đủ, chưa áp dụng được tốt ngữ pháp, cấu trúc câu vào giao tiế"&amp;"p.
Có vốn từ còn hạn chế về các chủ đề giao tiếp cơ bản như thông tin cá nhân, bạn bè, gia đình,... 
Con cần được điều chỉnh thêm về phát âm bao gồm độ chính xác, ngữ điệu và lưu loát.
Con nắm được bảng chữ cái. Tốc độ đánh vần tương đối nhanh.
Kỹ năng ng"&amp;"he-hiểu và đọc-hiểu ở mức độ đầu UP3.
Con cần rèn luyện thêm về từ vựng và cấu trúc với chương trình GTPX Level 3.")</f>
        <v>Con ngoan hiền, lễ phép. Con tập trung khi tham gia test.
Tốc độ phản xạ: Chưa nhanh.
Con nghe hiểu chưa tốt các câu hỏi của cô và trả lời được ở mức căn bản. Con chưa có ý thức sử dụng câu đầy đủ, chưa áp dụng được tốt ngữ pháp, cấu trúc câu vào giao tiếp.
Có vốn từ còn hạn chế về các chủ đề giao tiếp cơ bản như thông tin cá nhân, bạn bè, gia đình,... 
Con cần được điều chỉnh thêm về phát âm bao gồm độ chính xác, ngữ điệu và lưu loát.
Con nắm được bảng chữ cái. Tốc độ đánh vần tương đối nhanh.
Kỹ năng nghe-hiểu và đọc-hiểu ở mức độ đầu UP3.
Con cần rèn luyện thêm về từ vựng và cấu trúc với chương trình GTPX Level 3.</v>
      </c>
      <c r="Q83" s="383"/>
      <c r="R83" s="383"/>
      <c r="S83" s="383" t="str">
        <f>IFERROR(__xludf.DUMMYFUNCTION("""COMPUTED_VALUE"""),"9/10: gọi nhưng mẹ đang bận liên lạc lại sau
10/10: hẹn lịch test đang xem lại tkb của các con, hẹn lịch tối thứ 4 18h30
12/10: đã trả kết quả test, mẹ đang cân nhắc cho 3 bạn'
16/10: đã tham gia khoá học")</f>
        <v>9/10: gọi nhưng mẹ đang bận liên lạc lại sau
10/10: hẹn lịch test đang xem lại tkb của các con, hẹn lịch tối thứ 4 18h30
12/10: đã trả kết quả test, mẹ đang cân nhắc cho 3 bạn'
16/10: đã tham gia khoá học</v>
      </c>
      <c r="T83" s="383" t="str">
        <f>IFERROR(__xludf.DUMMYFUNCTION("""COMPUTED_VALUE"""),"chăm sóc tiếp")</f>
        <v>chăm sóc tiếp</v>
      </c>
      <c r="U83" s="552"/>
      <c r="V83" s="552">
        <f>IFERROR(__xludf.DUMMYFUNCTION("""COMPUTED_VALUE"""),45215.0)</f>
        <v>45215</v>
      </c>
      <c r="W83" s="554" t="str">
        <f>IFERROR(__xludf.DUMMYFUNCTION("""COMPUTED_VALUE"""),"gtpx - 25b")</f>
        <v>gtpx - 25b</v>
      </c>
      <c r="X83" s="501">
        <f>IFERROR(__xludf.DUMMYFUNCTION("""COMPUTED_VALUE"""),4375000.0)</f>
        <v>4375000</v>
      </c>
      <c r="Y83" s="501">
        <f>IFERROR(__xludf.DUMMYFUNCTION("""COMPUTED_VALUE"""),437500.0)</f>
        <v>437500</v>
      </c>
      <c r="Z83" s="501">
        <f>IFERROR(__xludf.DUMMYFUNCTION("""COMPUTED_VALUE"""),3937500.0)</f>
        <v>3937500</v>
      </c>
      <c r="AA83" s="501"/>
    </row>
    <row r="84" ht="57.75" customHeight="1">
      <c r="A84" s="552">
        <f>IFERROR(__xludf.DUMMYFUNCTION("""COMPUTED_VALUE"""),45208.0)</f>
        <v>45208</v>
      </c>
      <c r="B84" s="383" t="str">
        <f>IFERROR(__xludf.DUMMYFUNCTION("""COMPUTED_VALUE"""),"HV giới thiệu")</f>
        <v>HV giới thiệu</v>
      </c>
      <c r="C84" s="322" t="str">
        <f>IFERROR(__xludf.DUMMYFUNCTION("""COMPUTED_VALUE"""),"Kỳ Duyên (mẹ Hanh Ngo gt)")</f>
        <v>Kỳ Duyên (mẹ Hanh Ngo gt)</v>
      </c>
      <c r="D84" s="383" t="str">
        <f>IFERROR(__xludf.DUMMYFUNCTION("""COMPUTED_VALUE"""),"Bùi Gia Long")</f>
        <v>Bùi Gia Long</v>
      </c>
      <c r="E84" s="383"/>
      <c r="F84" s="383">
        <f>IFERROR(__xludf.DUMMYFUNCTION("""COMPUTED_VALUE"""),2012.0)</f>
        <v>2012</v>
      </c>
      <c r="G84" s="383">
        <f>IFERROR(__xludf.DUMMYFUNCTION("""COMPUTED_VALUE"""),6.0)</f>
        <v>6</v>
      </c>
      <c r="H84" s="383"/>
      <c r="I84" s="401" t="str">
        <f>IFERROR(__xludf.DUMMYFUNCTION("""COMPUTED_VALUE"""),"0916856022")</f>
        <v>0916856022</v>
      </c>
      <c r="J84" s="383"/>
      <c r="K84" s="383"/>
      <c r="L84" s="383" t="str">
        <f>IFERROR(__xludf.DUMMYFUNCTION("""COMPUTED_VALUE"""),"Hỏi lại thông tin giới thiệu")</f>
        <v>Hỏi lại thông tin giới thiệu</v>
      </c>
      <c r="M84" s="383" t="str">
        <f>IFERROR(__xludf.DUMMYFUNCTION("""COMPUTED_VALUE"""),"Ánh")</f>
        <v>Ánh</v>
      </c>
      <c r="N84" s="383" t="str">
        <f>IFERROR(__xludf.DUMMYFUNCTION("""COMPUTED_VALUE"""),"Đã đóng học phí")</f>
        <v>Đã đóng học phí</v>
      </c>
      <c r="O84" s="383" t="b">
        <f>IFERROR(__xludf.DUMMYFUNCTION("""COMPUTED_VALUE"""),TRUE)</f>
        <v>1</v>
      </c>
      <c r="P84" s="383" t="str">
        <f>IFERROR(__xludf.DUMMYFUNCTION("""COMPUTED_VALUE"""),"Con ngoan hiền, lễ phép. Con tập trung khi tham gia test.
Tốc độ phản xạ: Khá ổn
Con nghe hiểu tốt các câu hỏi của cô và trả lời được ở mức căn bản. Con sử dụng được câu đầy đủ khi nói nhưng có một số câu con chỉ dùng từ lẻ để trả lời.
Con chưa mở rộng đư"&amp;"ợc ý trong khi giao tiếp.
Có vốn từ khá tốt về các chủ đề: thông tin cá nhân, đồ dùng, màu sắc, hoạt động, động vật,,... tuy nhiên con chưa nắm chắc được từ vựng chỉ vị trí và cách đọc giờ lẻ.
Con phát âm khá tốt, con có chú ý âm cuối tuy nhiên con cần cả"&amp;"i thiện thêm cách nối âm.
Con nắm được từ số 1-1 000 000 000 tuy nhiên con còn nhầm lẫn khi đọc các số có nhiều hàng đơn vị.
Con nắm được bảng chữ cái. Tốc độ đánh vần khá  nhanh.
Con có khả năng nghe hiểu tốt và có thể trả lời đúng được tốt các câu hỏi l"&amp;"iên quan đến bài nghe.
Con làm tốt ở phần đọc hiểu tuy nhiên con cần cẩn thận hơn trước khi đưa ra câu trả lời.
Con cần rèn luyện thêm về từ vựng và cấu trúc với chương trình GTPX 1/2 level 4")</f>
        <v>Con ngoan hiền, lễ phép. Con tập trung khi tham gia test.
Tốc độ phản xạ: Khá ổn
Con nghe hiểu tốt các câu hỏi của cô và trả lời được ở mức căn bản. Con sử dụng được câu đầy đủ khi nói nhưng có một số câu con chỉ dùng từ lẻ để trả lời.
Con chưa mở rộng được ý trong khi giao tiếp.
Có vốn từ khá tốt về các chủ đề: thông tin cá nhân, đồ dùng, màu sắc, hoạt động, động vật,,... tuy nhiên con chưa nắm chắc được từ vựng chỉ vị trí và cách đọc giờ lẻ.
Con phát âm khá tốt, con có chú ý âm cuối tuy nhiên con cần cải thiện thêm cách nối âm.
Con nắm được từ số 1-1 000 000 000 tuy nhiên con còn nhầm lẫn khi đọc các số có nhiều hàng đơn vị.
Con nắm được bảng chữ cái. Tốc độ đánh vần khá  nhanh.
Con có khả năng nghe hiểu tốt và có thể trả lời đúng được tốt các câu hỏi liên quan đến bài nghe.
Con làm tốt ở phần đọc hiểu tuy nhiên con cần cẩn thận hơn trước khi đưa ra câu trả lời.
Con cần rèn luyện thêm về từ vựng và cấu trúc với chương trình GTPX 1/2 level 4</v>
      </c>
      <c r="Q84" s="383"/>
      <c r="R84" s="383"/>
      <c r="S84" s="383" t="str">
        <f>IFERROR(__xludf.DUMMYFUNCTION("""COMPUTED_VALUE"""),"9/10: gọi nhưng mẹ đang bận liên lạc lại sau
10/10: hẹn lịch test đang xem lại tkb của các con, hẹn lịch tối thứ 4 18h30
12/10: đã trả kết quả test, mẹ đang cân nhắc cho 3 bạn'
17/10: đã tham gia khoá học")</f>
        <v>9/10: gọi nhưng mẹ đang bận liên lạc lại sau
10/10: hẹn lịch test đang xem lại tkb của các con, hẹn lịch tối thứ 4 18h30
12/10: đã trả kết quả test, mẹ đang cân nhắc cho 3 bạn'
17/10: đã tham gia khoá học</v>
      </c>
      <c r="T84" s="383"/>
      <c r="U84" s="552"/>
      <c r="V84" s="552">
        <f>IFERROR(__xludf.DUMMYFUNCTION("""COMPUTED_VALUE"""),45216.0)</f>
        <v>45216</v>
      </c>
      <c r="W84" s="554" t="str">
        <f>IFERROR(__xludf.DUMMYFUNCTION("""COMPUTED_VALUE"""),"gtpx - 25b")</f>
        <v>gtpx - 25b</v>
      </c>
      <c r="X84" s="501">
        <f>IFERROR(__xludf.DUMMYFUNCTION("""COMPUTED_VALUE"""),3062000.0)</f>
        <v>3062000</v>
      </c>
      <c r="Y84" s="501">
        <f>IFERROR(__xludf.DUMMYFUNCTION("""COMPUTED_VALUE"""),0.0)</f>
        <v>0</v>
      </c>
      <c r="Z84" s="501">
        <f>IFERROR(__xludf.DUMMYFUNCTION("""COMPUTED_VALUE"""),3062000.0)</f>
        <v>3062000</v>
      </c>
      <c r="AA84" s="501"/>
    </row>
    <row r="85" ht="57.75" customHeight="1">
      <c r="A85" s="552">
        <f>IFERROR(__xludf.DUMMYFUNCTION("""COMPUTED_VALUE"""),45210.0)</f>
        <v>45210</v>
      </c>
      <c r="B85" s="383" t="str">
        <f>IFERROR(__xludf.DUMMYFUNCTION("""COMPUTED_VALUE"""),"HV giới thiệu")</f>
        <v>HV giới thiệu</v>
      </c>
      <c r="C85" s="322" t="str">
        <f>IFERROR(__xludf.DUMMYFUNCTION("""COMPUTED_VALUE"""),"Lê Tuấn Anh ( mẹ Hoàng Bách gt)")</f>
        <v>Lê Tuấn Anh ( mẹ Hoàng Bách gt)</v>
      </c>
      <c r="D85" s="383" t="str">
        <f>IFERROR(__xludf.DUMMYFUNCTION("""COMPUTED_VALUE""")," ")</f>
        <v> </v>
      </c>
      <c r="E85" s="383"/>
      <c r="F85" s="383"/>
      <c r="G85" s="383"/>
      <c r="H85" s="383"/>
      <c r="I85" s="401" t="str">
        <f>IFERROR(__xludf.DUMMYFUNCTION("""COMPUTED_VALUE"""),"091 6160345")</f>
        <v>091 6160345</v>
      </c>
      <c r="J85" s="383"/>
      <c r="K85" s="383"/>
      <c r="L85" s="383" t="str">
        <f>IFERROR(__xludf.DUMMYFUNCTION("""COMPUTED_VALUE"""),"từng học ở ila")</f>
        <v>từng học ở ila</v>
      </c>
      <c r="M85" s="383" t="str">
        <f>IFERROR(__xludf.DUMMYFUNCTION("""COMPUTED_VALUE"""),"Ánh")</f>
        <v>Ánh</v>
      </c>
      <c r="N85" s="383" t="str">
        <f>IFERROR(__xludf.DUMMYFUNCTION("""COMPUTED_VALUE"""),"Từ chối")</f>
        <v>Từ chối</v>
      </c>
      <c r="O85" s="383" t="b">
        <f>IFERROR(__xludf.DUMMYFUNCTION("""COMPUTED_VALUE"""),FALSE)</f>
        <v>0</v>
      </c>
      <c r="P85" s="383"/>
      <c r="Q85" s="383"/>
      <c r="R85" s="383"/>
      <c r="S85" s="383" t="str">
        <f>IFERROR(__xludf.DUMMYFUNCTION("""COMPUTED_VALUE"""),"11/10: gọi bố bận hẹn gọi lại sau
12/11: nt trao đổi bố quan tâm lớp học ielts trực tiếp bố ko muốn cho con học onl. bố từ chối và ko rep tin nhắn nữa")</f>
        <v>11/10: gọi bố bận hẹn gọi lại sau
12/11: nt trao đổi bố quan tâm lớp học ielts trực tiếp bố ko muốn cho con học onl. bố từ chối và ko rep tin nhắn nữa</v>
      </c>
      <c r="T85" s="383" t="str">
        <f>IFERROR(__xludf.DUMMYFUNCTION("""COMPUTED_VALUE"""),"gọi lại sau")</f>
        <v>gọi lại sau</v>
      </c>
      <c r="U85" s="552"/>
      <c r="V85" s="552"/>
      <c r="W85" s="383"/>
      <c r="X85" s="501"/>
      <c r="Y85" s="501"/>
      <c r="Z85" s="501"/>
      <c r="AA85" s="501"/>
    </row>
    <row r="86" ht="57.75" customHeight="1">
      <c r="A86" s="552">
        <f>IFERROR(__xludf.DUMMYFUNCTION("""COMPUTED_VALUE"""),45218.0)</f>
        <v>45218</v>
      </c>
      <c r="B86" s="383" t="str">
        <f>IFERROR(__xludf.DUMMYFUNCTION("""COMPUTED_VALUE"""),"HV giới thiệu")</f>
        <v>HV giới thiệu</v>
      </c>
      <c r="C86" s="322" t="str">
        <f>IFERROR(__xludf.DUMMYFUNCTION("""COMPUTED_VALUE"""),"Ngọc Lợi")</f>
        <v>Ngọc Lợi</v>
      </c>
      <c r="D86" s="383" t="str">
        <f>IFERROR(__xludf.DUMMYFUNCTION("""COMPUTED_VALUE"""),"trần vũ quỳnh anh")</f>
        <v>trần vũ quỳnh anh</v>
      </c>
      <c r="E86" s="383"/>
      <c r="F86" s="383">
        <f>IFERROR(__xludf.DUMMYFUNCTION("""COMPUTED_VALUE"""),2016.0)</f>
        <v>2016</v>
      </c>
      <c r="G86" s="383">
        <f>IFERROR(__xludf.DUMMYFUNCTION("""COMPUTED_VALUE"""),2.0)</f>
        <v>2</v>
      </c>
      <c r="H86" s="383"/>
      <c r="I86" s="401" t="str">
        <f>IFERROR(__xludf.DUMMYFUNCTION("""COMPUTED_VALUE"""),"0905774155")</f>
        <v>0905774155</v>
      </c>
      <c r="J86" s="383"/>
      <c r="K86" s="383"/>
      <c r="L86" s="383" t="str">
        <f>IFERROR(__xludf.DUMMYFUNCTION("""COMPUTED_VALUE"""),"quan tâm lớp gtpx cho bạn lớp 2")</f>
        <v>quan tâm lớp gtpx cho bạn lớp 2</v>
      </c>
      <c r="M86" s="383" t="str">
        <f>IFERROR(__xludf.DUMMYFUNCTION("""COMPUTED_VALUE"""),"Ánh")</f>
        <v>Ánh</v>
      </c>
      <c r="N86" s="383" t="str">
        <f>IFERROR(__xludf.DUMMYFUNCTION("""COMPUTED_VALUE"""),"Đã đóng học phí")</f>
        <v>Đã đóng học phí</v>
      </c>
      <c r="O86" s="383" t="b">
        <f>IFERROR(__xludf.DUMMYFUNCTION("""COMPUTED_VALUE"""),TRUE)</f>
        <v>1</v>
      </c>
      <c r="P86" s="383" t="str">
        <f>IFERROR(__xludf.DUMMYFUNCTION("""COMPUTED_VALUE"""),"Con ngoan hiền, lễ phép. Con tập trung tốt khi tham gia buổi test.
Tốc độ phản xạ: Chưa được nhanh
Con có thể giao tiếp với các chủ đề về tên, tuổi, sức khỏe, con vật và màu sắc yêu thích, tuy nhiên khi cô hỏi về hoạt động yêu thích của con thì con chưa t"&amp;"ự nói được.
Con chưa biết cách triển khi ý tưởng khi nói về một chủ đề.
Con ít dùng câu hoàn chỉnh đề nói, chủ yếu con dùng từ lẻ để trả lời các câu hỏi của cô.
Con cẩn cải thiện thêm phát âm, đặc biệt là các âm cuối, nối âm và ngữ điệu.
Con nắm được từ s"&amp;"ố 1-12, con chưa nắm được số thứ tự.
Con có vốn từ cơ bản về đồ dùng học tập, con vật, màu sắc,... tuy nhiên con chưa biết cách xác định vị trí và diễn đạt thời gian bằng Tiếng Anh.
Con cần cố gắng cải thiện thêm nhiều về kĩ năng đọc hiểu và nghe hiểu của"&amp;" con.
on cần rèn luyện thêm về từ vựng và ngữ pháp với chương trình : GTPX Level 1")</f>
        <v>Con ngoan hiền, lễ phép. Con tập trung tốt khi tham gia buổi test.
Tốc độ phản xạ: Chưa được nhanh
Con có thể giao tiếp với các chủ đề về tên, tuổi, sức khỏe, con vật và màu sắc yêu thích, tuy nhiên khi cô hỏi về hoạt động yêu thích của con thì con chưa tự nói được.
Con chưa biết cách triển khi ý tưởng khi nói về một chủ đề.
Con ít dùng câu hoàn chỉnh đề nói, chủ yếu con dùng từ lẻ để trả lời các câu hỏi của cô.
Con cẩn cải thiện thêm phát âm, đặc biệt là các âm cuối, nối âm và ngữ điệu.
Con nắm được từ số 1-12, con chưa nắm được số thứ tự.
Con có vốn từ cơ bản về đồ dùng học tập, con vật, màu sắc,... tuy nhiên con chưa biết cách xác định vị trí và diễn đạt thời gian bằng Tiếng Anh.
Con cần cố gắng cải thiện thêm nhiều về kĩ năng đọc hiểu và nghe hiểu của con.
on cần rèn luyện thêm về từ vựng và ngữ pháp với chương trình : GTPX Level 1</v>
      </c>
      <c r="Q86" s="383"/>
      <c r="R86" s="383"/>
      <c r="S86" s="383" t="str">
        <f>IFERROR(__xludf.DUMMYFUNCTION("""COMPUTED_VALUE"""),"19/10: gọi điên chưa nghe máy
hẹn thứ 2 gọi lại xếp lịch test
23/10: xếp lịch test ca21h đang chờ mẹ phản hồi")</f>
        <v>19/10: gọi điên chưa nghe máy
hẹn thứ 2 gọi lại xếp lịch test
23/10: xếp lịch test ca21h đang chờ mẹ phản hồi</v>
      </c>
      <c r="T86" s="383" t="str">
        <f>IFERROR(__xludf.DUMMYFUNCTION("""COMPUTED_VALUE"""),"trả kq test")</f>
        <v>trả kq test</v>
      </c>
      <c r="U86" s="552"/>
      <c r="V86" s="552">
        <f>IFERROR(__xludf.DUMMYFUNCTION("""COMPUTED_VALUE"""),45223.0)</f>
        <v>45223</v>
      </c>
      <c r="W86" s="554" t="str">
        <f>IFERROR(__xludf.DUMMYFUNCTION("""COMPUTED_VALUE"""),"gtpx")</f>
        <v>gtpx</v>
      </c>
      <c r="X86" s="501">
        <f>IFERROR(__xludf.DUMMYFUNCTION("""COMPUTED_VALUE"""),6124000.0)</f>
        <v>6124000</v>
      </c>
      <c r="Y86" s="501">
        <f>IFERROR(__xludf.DUMMYFUNCTION("""COMPUTED_VALUE"""),796000.0)</f>
        <v>796000</v>
      </c>
      <c r="Z86" s="501">
        <f>IFERROR(__xludf.DUMMYFUNCTION("""COMPUTED_VALUE"""),5328000.0)</f>
        <v>5328000</v>
      </c>
      <c r="AA86" s="501"/>
    </row>
    <row r="87" ht="57.75" customHeight="1">
      <c r="A87" s="552">
        <f>IFERROR(__xludf.DUMMYFUNCTION("""COMPUTED_VALUE"""),45230.0)</f>
        <v>45230</v>
      </c>
      <c r="B87" s="383" t="str">
        <f>IFERROR(__xludf.DUMMYFUNCTION("""COMPUTED_VALUE"""),"HV giới thiệu")</f>
        <v>HV giới thiệu</v>
      </c>
      <c r="C87" s="322" t="str">
        <f>IFERROR(__xludf.DUMMYFUNCTION("""COMPUTED_VALUE"""),"chị Thoại( p/h Minh Son gt)")</f>
        <v>chị Thoại( p/h Minh Son gt)</v>
      </c>
      <c r="D87" s="383" t="str">
        <f>IFERROR(__xludf.DUMMYFUNCTION("""COMPUTED_VALUE"""),"Trần Nguyên Huy")</f>
        <v>Trần Nguyên Huy</v>
      </c>
      <c r="E87" s="383"/>
      <c r="F87" s="383">
        <f>IFERROR(__xludf.DUMMYFUNCTION("""COMPUTED_VALUE"""),2017.0)</f>
        <v>2017</v>
      </c>
      <c r="G87" s="383">
        <f>IFERROR(__xludf.DUMMYFUNCTION("""COMPUTED_VALUE"""),1.0)</f>
        <v>1</v>
      </c>
      <c r="H87" s="383"/>
      <c r="I87" s="401" t="str">
        <f>IFERROR(__xludf.DUMMYFUNCTION("""COMPUTED_VALUE"""),"0989288159")</f>
        <v>0989288159</v>
      </c>
      <c r="J87" s="383"/>
      <c r="K87" s="383"/>
      <c r="L87" s="383"/>
      <c r="M87" s="383" t="str">
        <f>IFERROR(__xludf.DUMMYFUNCTION("""COMPUTED_VALUE"""),"Ánh")</f>
        <v>Ánh</v>
      </c>
      <c r="N87" s="383" t="str">
        <f>IFERROR(__xludf.DUMMYFUNCTION("""COMPUTED_VALUE"""),"Đã test")</f>
        <v>Đã test</v>
      </c>
      <c r="O87" s="383" t="b">
        <f>IFERROR(__xludf.DUMMYFUNCTION("""COMPUTED_VALUE"""),TRUE)</f>
        <v>1</v>
      </c>
      <c r="P87" s="383" t="str">
        <f>IFERROR(__xludf.DUMMYFUNCTION("""COMPUTED_VALUE"""),"Con ngoan hiền, lễ phép. Con tập trung chưa tốt khi tham gia buổi test.
Tốc độ phản xạ: Chưa được nhanh. Con nói quá nhỏ nên rất khó nghe được hết ý của con.
Con có thể giao tiếp với các chủ đề về tên, tuổi, sức khỏe, con vật và màu sắc yêu thích.
Con chư"&amp;"a biết cách triển khi ý tưởng khi nói về một chủ đề.
Con chưa dùng được câu hoàn chỉnh nhiều. Chủ yếu sử dụng từ lẻ khi trả lời.
Con cần cải thiện thêm phát âm, đặc biệt là các âm cuối, nối âm và ngữ điệu.
Con nắm được từ số 1-100, còn mắc lỗi với các số "&amp;"12 và 20.
Con có vốn từ còn hạn chế về đồ dùng học tập, con vật, màu sắc,...
Con cần cố gắng cải thiện thêm nhiều về kĩ năng đọc hiểu và nghe hiểu.
Con cần rèn luyện thêm về từ vựng và ngữ pháp với chương trình : GTPX Level 1")</f>
        <v>Con ngoan hiền, lễ phép. Con tập trung chưa tốt khi tham gia buổi test.
Tốc độ phản xạ: Chưa được nhanh. Con nói quá nhỏ nên rất khó nghe được hết ý của con.
Con có thể giao tiếp với các chủ đề về tên, tuổi, sức khỏe, con vật và màu sắc yêu thích.
Con chưa biết cách triển khi ý tưởng khi nói về một chủ đề.
Con chưa dùng được câu hoàn chỉnh nhiều. Chủ yếu sử dụng từ lẻ khi trả lời.
Con cần cải thiện thêm phát âm, đặc biệt là các âm cuối, nối âm và ngữ điệu.
Con nắm được từ số 1-100, còn mắc lỗi với các số 12 và 20.
Con có vốn từ còn hạn chế về đồ dùng học tập, con vật, màu sắc,...
Con cần cố gắng cải thiện thêm nhiều về kĩ năng đọc hiểu và nghe hiểu.
Con cần rèn luyện thêm về từ vựng và ngữ pháp với chương trình : GTPX Level 1</v>
      </c>
      <c r="Q87" s="383"/>
      <c r="R87" s="383"/>
      <c r="S87" s="383" t="str">
        <f>IFERROR(__xludf.DUMMYFUNCTION("""COMPUTED_VALUE"""),"31/10: xếp lịch test tối thứ 3
1/11: trả kết quả test, mẹ bận chưa trao đổi được nhiều
2/11: bố thiên học trực tiếp nhiều hơn ko muốn con học onl nhiều")</f>
        <v>31/10: xếp lịch test tối thứ 3
1/11: trả kết quả test, mẹ bận chưa trao đổi được nhiều
2/11: bố thiên học trực tiếp nhiều hơn ko muốn con học onl nhiều</v>
      </c>
      <c r="T87" s="383"/>
      <c r="U87" s="552"/>
      <c r="V87" s="552"/>
      <c r="W87" s="383"/>
      <c r="X87" s="501"/>
      <c r="Y87" s="501"/>
      <c r="Z87" s="501"/>
      <c r="AA87" s="501"/>
    </row>
    <row r="88" ht="57.75" customHeight="1">
      <c r="A88" s="552">
        <f>IFERROR(__xludf.DUMMYFUNCTION("""COMPUTED_VALUE"""),45231.0)</f>
        <v>45231</v>
      </c>
      <c r="B88" s="383" t="str">
        <f>IFERROR(__xludf.DUMMYFUNCTION("""COMPUTED_VALUE"""),"HV giới thiệu")</f>
        <v>HV giới thiệu</v>
      </c>
      <c r="C88" s="322" t="str">
        <f>IFERROR(__xludf.DUMMYFUNCTION("""COMPUTED_VALUE"""),"mẹ Liên")</f>
        <v>mẹ Liên</v>
      </c>
      <c r="D88" s="383"/>
      <c r="E88" s="383"/>
      <c r="F88" s="383">
        <f>IFERROR(__xludf.DUMMYFUNCTION("""COMPUTED_VALUE"""),2014.0)</f>
        <v>2014</v>
      </c>
      <c r="G88" s="383">
        <f>IFERROR(__xludf.DUMMYFUNCTION("""COMPUTED_VALUE"""),5.0)</f>
        <v>5</v>
      </c>
      <c r="H88" s="383"/>
      <c r="I88" s="401" t="str">
        <f>IFERROR(__xludf.DUMMYFUNCTION("""COMPUTED_VALUE"""),"0832588592")</f>
        <v>0832588592</v>
      </c>
      <c r="J88" s="383"/>
      <c r="K88" s="383"/>
      <c r="L88" s="383" t="str">
        <f>IFERROR(__xludf.DUMMYFUNCTION("""COMPUTED_VALUE"""),"Anh ngữ Key Means gửi")</f>
        <v>Anh ngữ Key Means gửi</v>
      </c>
      <c r="M88" s="383" t="str">
        <f>IFERROR(__xludf.DUMMYFUNCTION("""COMPUTED_VALUE"""),"Ánh")</f>
        <v>Ánh</v>
      </c>
      <c r="N88" s="383" t="str">
        <f>IFERROR(__xludf.DUMMYFUNCTION("""COMPUTED_VALUE"""),"Đã liên lạc lần 1")</f>
        <v>Đã liên lạc lần 1</v>
      </c>
      <c r="O88" s="383" t="b">
        <f>IFERROR(__xludf.DUMMYFUNCTION("""COMPUTED_VALUE"""),FALSE)</f>
        <v>0</v>
      </c>
      <c r="P88" s="383"/>
      <c r="Q88" s="383"/>
      <c r="R88" s="383"/>
      <c r="S88" s="383" t="str">
        <f>IFERROR(__xludf.DUMMYFUNCTION("""COMPUTED_VALUE"""),"1/11: gửi thông tin về khoá học để mẹ nắm thông tin và sẽ liê lạc xếp lịch test sau")</f>
        <v>1/11: gửi thông tin về khoá học để mẹ nắm thông tin và sẽ liê lạc xếp lịch test sau</v>
      </c>
      <c r="T88" s="383"/>
      <c r="U88" s="552"/>
      <c r="V88" s="552"/>
      <c r="W88" s="383"/>
      <c r="X88" s="501"/>
      <c r="Y88" s="501"/>
      <c r="Z88" s="501"/>
      <c r="AA88" s="501"/>
    </row>
    <row r="89" ht="57.75" customHeight="1">
      <c r="A89" s="552">
        <f>IFERROR(__xludf.DUMMYFUNCTION("""COMPUTED_VALUE"""),45231.0)</f>
        <v>45231</v>
      </c>
      <c r="B89" s="383" t="str">
        <f>IFERROR(__xludf.DUMMYFUNCTION("""COMPUTED_VALUE"""),"HV giới thiệu")</f>
        <v>HV giới thiệu</v>
      </c>
      <c r="C89" s="322" t="str">
        <f>IFERROR(__xludf.DUMMYFUNCTION("""COMPUTED_VALUE"""),"mẹ Thư")</f>
        <v>mẹ Thư</v>
      </c>
      <c r="D89" s="383"/>
      <c r="E89" s="383"/>
      <c r="F89" s="383">
        <f>IFERROR(__xludf.DUMMYFUNCTION("""COMPUTED_VALUE"""),2015.0)</f>
        <v>2015</v>
      </c>
      <c r="G89" s="383">
        <f>IFERROR(__xludf.DUMMYFUNCTION("""COMPUTED_VALUE"""),3.0)</f>
        <v>3</v>
      </c>
      <c r="H89" s="383"/>
      <c r="I89" s="401" t="str">
        <f>IFERROR(__xludf.DUMMYFUNCTION("""COMPUTED_VALUE"""),"0909752540")</f>
        <v>0909752540</v>
      </c>
      <c r="J89" s="383"/>
      <c r="K89" s="383"/>
      <c r="L89" s="383" t="str">
        <f>IFERROR(__xludf.DUMMYFUNCTION("""COMPUTED_VALUE"""),"Anh ngữ Key Means gửi")</f>
        <v>Anh ngữ Key Means gửi</v>
      </c>
      <c r="M89" s="383" t="str">
        <f>IFERROR(__xludf.DUMMYFUNCTION("""COMPUTED_VALUE"""),"Ánh")</f>
        <v>Ánh</v>
      </c>
      <c r="N89" s="383" t="str">
        <f>IFERROR(__xludf.DUMMYFUNCTION("""COMPUTED_VALUE"""),"Đã liên lạc lần 1")</f>
        <v>Đã liên lạc lần 1</v>
      </c>
      <c r="O89" s="383" t="b">
        <f>IFERROR(__xludf.DUMMYFUNCTION("""COMPUTED_VALUE"""),FALSE)</f>
        <v>0</v>
      </c>
      <c r="P89" s="383"/>
      <c r="Q89" s="383"/>
      <c r="R89" s="383"/>
      <c r="S89" s="383" t="str">
        <f>IFERROR(__xludf.DUMMYFUNCTION("""COMPUTED_VALUE"""),"1/11: gửi thông tin về khoá học và để mẹ cân đối và xếp lịch test cho con
2/11: bố đang cân đối và không đồng ý trao đổi tiếp")</f>
        <v>1/11: gửi thông tin về khoá học và để mẹ cân đối và xếp lịch test cho con
2/11: bố đang cân đối và không đồng ý trao đổi tiếp</v>
      </c>
      <c r="T89" s="383"/>
      <c r="U89" s="552"/>
      <c r="V89" s="552"/>
      <c r="W89" s="383"/>
      <c r="X89" s="501"/>
      <c r="Y89" s="501"/>
      <c r="Z89" s="501"/>
      <c r="AA89" s="501"/>
    </row>
    <row r="90" ht="57.75" customHeight="1">
      <c r="A90" s="552">
        <f>IFERROR(__xludf.DUMMYFUNCTION("""COMPUTED_VALUE"""),45246.0)</f>
        <v>45246</v>
      </c>
      <c r="B90" s="383" t="str">
        <f>IFERROR(__xludf.DUMMYFUNCTION("""COMPUTED_VALUE"""),"HV giới thiệu")</f>
        <v>HV giới thiệu</v>
      </c>
      <c r="C90" s="322" t="str">
        <f>IFERROR(__xludf.DUMMYFUNCTION("""COMPUTED_VALUE"""),"Hồng Nguyễn( mẹ Minh Tâm gt)")</f>
        <v>Hồng Nguyễn( mẹ Minh Tâm gt)</v>
      </c>
      <c r="D90" s="383"/>
      <c r="E90" s="383"/>
      <c r="F90" s="383"/>
      <c r="G90" s="383"/>
      <c r="H90" s="383"/>
      <c r="I90" s="401" t="str">
        <f>IFERROR(__xludf.DUMMYFUNCTION("""COMPUTED_VALUE"""),"0935745625")</f>
        <v>0935745625</v>
      </c>
      <c r="J90" s="383"/>
      <c r="K90" s="383"/>
      <c r="L90" s="383"/>
      <c r="M90" s="383" t="str">
        <f>IFERROR(__xludf.DUMMYFUNCTION("""COMPUTED_VALUE"""),"Ánh")</f>
        <v>Ánh</v>
      </c>
      <c r="N90" s="383" t="str">
        <f>IFERROR(__xludf.DUMMYFUNCTION("""COMPUTED_VALUE"""),"Đã liên lạc lần 1")</f>
        <v>Đã liên lạc lần 1</v>
      </c>
      <c r="O90" s="383" t="b">
        <f>IFERROR(__xludf.DUMMYFUNCTION("""COMPUTED_VALUE"""),FALSE)</f>
        <v>0</v>
      </c>
      <c r="P90" s="383"/>
      <c r="Q90" s="383"/>
      <c r="R90" s="383"/>
      <c r="S90" s="383" t="str">
        <f>IFERROR(__xludf.DUMMYFUNCTION("""COMPUTED_VALUE"""),"16/11: gọi chưa nghe máy
20/11: gọi thuê bao
25/11: gọi trao đổi, hp cao nên mẹ cân nhắc sau")</f>
        <v>16/11: gọi chưa nghe máy
20/11: gọi thuê bao
25/11: gọi trao đổi, hp cao nên mẹ cân nhắc sau</v>
      </c>
      <c r="T90" s="383"/>
      <c r="U90" s="552"/>
      <c r="V90" s="552"/>
      <c r="W90" s="383"/>
      <c r="X90" s="501"/>
      <c r="Y90" s="501"/>
      <c r="Z90" s="501"/>
      <c r="AA90" s="501"/>
    </row>
    <row r="91" ht="57.75" customHeight="1">
      <c r="A91" s="552">
        <f>IFERROR(__xludf.DUMMYFUNCTION("""COMPUTED_VALUE"""),45253.0)</f>
        <v>45253</v>
      </c>
      <c r="B91" s="383" t="str">
        <f>IFERROR(__xludf.DUMMYFUNCTION("""COMPUTED_VALUE"""),"HV giới thiệu")</f>
        <v>HV giới thiệu</v>
      </c>
      <c r="C91" s="322" t="str">
        <f>IFERROR(__xludf.DUMMYFUNCTION("""COMPUTED_VALUE"""),"Ngọc Tân Phú( mẹ THanh Trúc, Thanh Quỳnh gt)")</f>
        <v>Ngọc Tân Phú( mẹ THanh Trúc, Thanh Quỳnh gt)</v>
      </c>
      <c r="D91" s="383" t="str">
        <f>IFERROR(__xludf.DUMMYFUNCTION("""COMPUTED_VALUE"""),"Ngô Ngọc Hân")</f>
        <v>Ngô Ngọc Hân</v>
      </c>
      <c r="E91" s="383"/>
      <c r="F91" s="383">
        <f>IFERROR(__xludf.DUMMYFUNCTION("""COMPUTED_VALUE"""),2015.0)</f>
        <v>2015</v>
      </c>
      <c r="G91" s="383">
        <f>IFERROR(__xludf.DUMMYFUNCTION("""COMPUTED_VALUE"""),3.0)</f>
        <v>3</v>
      </c>
      <c r="H91" s="383"/>
      <c r="I91" s="401" t="str">
        <f>IFERROR(__xludf.DUMMYFUNCTION("""COMPUTED_VALUE"""),"090 5463348")</f>
        <v>090 5463348</v>
      </c>
      <c r="J91" s="383"/>
      <c r="K91" s="383"/>
      <c r="L91" s="383"/>
      <c r="M91" s="383" t="str">
        <f>IFERROR(__xludf.DUMMYFUNCTION("""COMPUTED_VALUE"""),"Ánh")</f>
        <v>Ánh</v>
      </c>
      <c r="N91" s="383" t="str">
        <f>IFERROR(__xludf.DUMMYFUNCTION("""COMPUTED_VALUE"""),"Đã đóng học phí")</f>
        <v>Đã đóng học phí</v>
      </c>
      <c r="O91" s="383" t="b">
        <f>IFERROR(__xludf.DUMMYFUNCTION("""COMPUTED_VALUE"""),TRUE)</f>
        <v>1</v>
      </c>
      <c r="P91" s="383" t="str">
        <f>IFERROR(__xludf.DUMMYFUNCTION("""COMPUTED_VALUE"""),"học phát âm")</f>
        <v>học phát âm</v>
      </c>
      <c r="Q91" s="383"/>
      <c r="R91" s="383"/>
      <c r="S91" s="383" t="str">
        <f>IFERROR(__xludf.DUMMYFUNCTION("""COMPUTED_VALUE"""),"23/11: mẹ hẹn chuyển khoản chiều
23/11: xếp lịch test giao tiếp, 
24/11: trả kết quả test, tuy nhiên hiện tại lịch học của con đã kín, mẹ bảo nếu nhắc thêm lớp thêm thì con học không có hiệu quả vì con quá tải về chương trình và không có thời gian làm bài"&amp;" tập, nên mẹ sẽ để con học xong khoá phát âm rồi học lên sau")</f>
        <v>23/11: mẹ hẹn chuyển khoản chiều
23/11: xếp lịch test giao tiếp, 
24/11: trả kết quả test, tuy nhiên hiện tại lịch học của con đã kín, mẹ bảo nếu nhắc thêm lớp thêm thì con học không có hiệu quả vì con quá tải về chương trình và không có thời gian làm bài tập, nên mẹ sẽ để con học xong khoá phát âm rồi học lên sau</v>
      </c>
      <c r="T91" s="383"/>
      <c r="U91" s="552"/>
      <c r="V91" s="552">
        <f>IFERROR(__xludf.DUMMYFUNCTION("""COMPUTED_VALUE"""),45253.0)</f>
        <v>45253</v>
      </c>
      <c r="W91" s="554" t="str">
        <f>IFERROR(__xludf.DUMMYFUNCTION("""COMPUTED_VALUE"""),"phát âm")</f>
        <v>phát âm</v>
      </c>
      <c r="X91" s="501">
        <f>IFERROR(__xludf.DUMMYFUNCTION("""COMPUTED_VALUE"""),3675000.0)</f>
        <v>3675000</v>
      </c>
      <c r="Y91" s="501">
        <f>IFERROR(__xludf.DUMMYFUNCTION("""COMPUTED_VALUE"""),367000.0)</f>
        <v>367000</v>
      </c>
      <c r="Z91" s="501">
        <f>IFERROR(__xludf.DUMMYFUNCTION("""COMPUTED_VALUE"""),3308000.0)</f>
        <v>3308000</v>
      </c>
      <c r="AA91" s="501"/>
    </row>
    <row r="92" ht="57.75" customHeight="1">
      <c r="A92" s="552">
        <f>IFERROR(__xludf.DUMMYFUNCTION("""COMPUTED_VALUE"""),45254.0)</f>
        <v>45254</v>
      </c>
      <c r="B92" s="383" t="str">
        <f>IFERROR(__xludf.DUMMYFUNCTION("""COMPUTED_VALUE"""),"HV giới thiệu")</f>
        <v>HV giới thiệu</v>
      </c>
      <c r="C92" s="322" t="str">
        <f>IFERROR(__xludf.DUMMYFUNCTION("""COMPUTED_VALUE"""),"kio Pan( mẹ trí Nam gtpx gt)")</f>
        <v>kio Pan( mẹ trí Nam gtpx gt)</v>
      </c>
      <c r="D92" s="383" t="str">
        <f>IFERROR(__xludf.DUMMYFUNCTION("""COMPUTED_VALUE"""),"Trần Kim Khánh Ngọc")</f>
        <v>Trần Kim Khánh Ngọc</v>
      </c>
      <c r="E92" s="383"/>
      <c r="F92" s="383">
        <f>IFERROR(__xludf.DUMMYFUNCTION("""COMPUTED_VALUE"""),2015.0)</f>
        <v>2015</v>
      </c>
      <c r="G92" s="383">
        <f>IFERROR(__xludf.DUMMYFUNCTION("""COMPUTED_VALUE"""),3.0)</f>
        <v>3</v>
      </c>
      <c r="H92" s="383"/>
      <c r="I92" s="401" t="str">
        <f>IFERROR(__xludf.DUMMYFUNCTION("""COMPUTED_VALUE"""),"0905588248")</f>
        <v>0905588248</v>
      </c>
      <c r="J92" s="383"/>
      <c r="K92" s="383"/>
      <c r="L92" s="383"/>
      <c r="M92" s="383" t="str">
        <f>IFERROR(__xludf.DUMMYFUNCTION("""COMPUTED_VALUE"""),"Ánh")</f>
        <v>Ánh</v>
      </c>
      <c r="N92" s="383" t="str">
        <f>IFERROR(__xludf.DUMMYFUNCTION("""COMPUTED_VALUE"""),"Đã đóng học phí")</f>
        <v>Đã đóng học phí</v>
      </c>
      <c r="O92" s="383" t="b">
        <f>IFERROR(__xludf.DUMMYFUNCTION("""COMPUTED_VALUE"""),TRUE)</f>
        <v>1</v>
      </c>
      <c r="P92" s="383" t="str">
        <f>IFERROR(__xludf.DUMMYFUNCTION("""COMPUTED_VALUE"""),"Con ngoan hiền, lễ phép, khá tự tin, dạn dĩ. 
Con khá tập trung khi tham gia test. 
Tốc độ phản xạ: Con nhanh nhẹn nhưng vốn từ chưa nhiều nên phản xạ chưa nhanh bằng tiếng Anh.
Con có nền tảng về phát âm, có ý thức phát âm cuối. Vẫn cần cải thiện thêm về"&amp;" độ chính xác, độ lưu loát, ngữ điệu và nối âm.
Con chưa sử dụng được nhiều cấu trúc câu. Đa phần có xu hướng dùng từ lẻ.
Có vốn từ chưa rộng về: đồ dùng học tập, màu sắc, con vật,...
Con nắm được bảng chữ cái.
Con nắm được từ số 1-10, các số hàng chục cò"&amp;"n hơi nhầm lẫn và phản xạ chậm. 
Con đọc từ và đoạn văn chưa trôi chảy, còn gặp khó khăn trong việc nhận diện mặt chữ của các từ.
Con cần rèn luyện thêm về từ vựng và cấu trúc với chương trình GTPX Level UP2. ")</f>
        <v>Con ngoan hiền, lễ phép, khá tự tin, dạn dĩ. 
Con khá tập trung khi tham gia test. 
Tốc độ phản xạ: Con nhanh nhẹn nhưng vốn từ chưa nhiều nên phản xạ chưa nhanh bằng tiếng Anh.
Con có nền tảng về phát âm, có ý thức phát âm cuối. Vẫn cần cải thiện thêm về độ chính xác, độ lưu loát, ngữ điệu và nối âm.
Con chưa sử dụng được nhiều cấu trúc câu. Đa phần có xu hướng dùng từ lẻ.
Có vốn từ chưa rộng về: đồ dùng học tập, màu sắc, con vật,...
Con nắm được bảng chữ cái.
Con nắm được từ số 1-10, các số hàng chục còn hơi nhầm lẫn và phản xạ chậm. 
Con đọc từ và đoạn văn chưa trôi chảy, còn gặp khó khăn trong việc nhận diện mặt chữ của các từ.
Con cần rèn luyện thêm về từ vựng và cấu trúc với chương trình GTPX Level UP2. </v>
      </c>
      <c r="Q92" s="383"/>
      <c r="R92" s="383"/>
      <c r="S92" s="383" t="str">
        <f>IFERROR(__xludf.DUMMYFUNCTION("""COMPUTED_VALUE"""),"24/11: gửi thông tin về khoá học, mẹ bảo để xem rồi phản hồi, đang làm ko tiện nghe máy
27/11: hẹn sang tuần tầm ngày 4/12 xếp lịch test cho con
4/12: xếp lịch test tối thứ 3 lúc 20h
6/12: trả kết quả test")</f>
        <v>24/11: gửi thông tin về khoá học, mẹ bảo để xem rồi phản hồi, đang làm ko tiện nghe máy
27/11: hẹn sang tuần tầm ngày 4/12 xếp lịch test cho con
4/12: xếp lịch test tối thứ 3 lúc 20h
6/12: trả kết quả test</v>
      </c>
      <c r="T92" s="383" t="str">
        <f>IFERROR(__xludf.DUMMYFUNCTION("""COMPUTED_VALUE"""),"chăm sóc tiếp")</f>
        <v>chăm sóc tiếp</v>
      </c>
      <c r="U92" s="552"/>
      <c r="V92" s="552">
        <f>IFERROR(__xludf.DUMMYFUNCTION("""COMPUTED_VALUE"""),45278.0)</f>
        <v>45278</v>
      </c>
      <c r="W92" s="554" t="str">
        <f>IFERROR(__xludf.DUMMYFUNCTION("""COMPUTED_VALUE"""),"gtpx")</f>
        <v>gtpx</v>
      </c>
      <c r="X92" s="501">
        <f>IFERROR(__xludf.DUMMYFUNCTION("""COMPUTED_VALUE"""),6124000.0)</f>
        <v>6124000</v>
      </c>
      <c r="Y92" s="501">
        <f>IFERROR(__xludf.DUMMYFUNCTION("""COMPUTED_VALUE"""),612400.0)</f>
        <v>612400</v>
      </c>
      <c r="Z92" s="501">
        <f>IFERROR(__xludf.DUMMYFUNCTION("""COMPUTED_VALUE"""),5511600.0)</f>
        <v>5511600</v>
      </c>
      <c r="AA92" s="501"/>
    </row>
    <row r="93" ht="57.75" customHeight="1">
      <c r="A93" s="552">
        <f>IFERROR(__xludf.DUMMYFUNCTION("""COMPUTED_VALUE"""),45265.0)</f>
        <v>45265</v>
      </c>
      <c r="B93" s="383" t="str">
        <f>IFERROR(__xludf.DUMMYFUNCTION("""COMPUTED_VALUE"""),"HV giới thiệu")</f>
        <v>HV giới thiệu</v>
      </c>
      <c r="C93" s="322" t="str">
        <f>IFERROR(__xludf.DUMMYFUNCTION("""COMPUTED_VALUE"""),"Ngọc Anh ( mẹ Hải châu gt)")</f>
        <v>Ngọc Anh ( mẹ Hải châu gt)</v>
      </c>
      <c r="D93" s="383" t="str">
        <f>IFERROR(__xludf.DUMMYFUNCTION("""COMPUTED_VALUE"""),"Hoàng Lê Mai Chi")</f>
        <v>Hoàng Lê Mai Chi</v>
      </c>
      <c r="E93" s="383"/>
      <c r="F93" s="383">
        <f>IFERROR(__xludf.DUMMYFUNCTION("""COMPUTED_VALUE"""),2015.0)</f>
        <v>2015</v>
      </c>
      <c r="G93" s="383">
        <f>IFERROR(__xludf.DUMMYFUNCTION("""COMPUTED_VALUE"""),3.0)</f>
        <v>3</v>
      </c>
      <c r="H93" s="383"/>
      <c r="I93" s="401" t="str">
        <f>IFERROR(__xludf.DUMMYFUNCTION("""COMPUTED_VALUE"""),"0944555165")</f>
        <v>0944555165</v>
      </c>
      <c r="J93" s="383"/>
      <c r="K93" s="383"/>
      <c r="L93" s="383" t="str">
        <f>IFERROR(__xludf.DUMMYFUNCTION("""COMPUTED_VALUE"""),"GTPX")</f>
        <v>GTPX</v>
      </c>
      <c r="M93" s="383" t="str">
        <f>IFERROR(__xludf.DUMMYFUNCTION("""COMPUTED_VALUE"""),"Ánh")</f>
        <v>Ánh</v>
      </c>
      <c r="N93" s="383" t="str">
        <f>IFERROR(__xludf.DUMMYFUNCTION("""COMPUTED_VALUE"""),"Đã đóng học phí")</f>
        <v>Đã đóng học phí</v>
      </c>
      <c r="O93" s="383" t="b">
        <f>IFERROR(__xludf.DUMMYFUNCTION("""COMPUTED_VALUE"""),TRUE)</f>
        <v>1</v>
      </c>
      <c r="P93" s="383" t="str">
        <f>IFERROR(__xludf.DUMMYFUNCTION("""COMPUTED_VALUE"""),"Con ngoan hiền, lễ phép. Con rất tập trung khi tham gia test.
Tốc độ phản xạ: Nhanh
Con nghe hiểu tốt các câu hỏi của cô và trả lời được khá tốt. Con có ý thức sử dụng câu đầy đủ khi giao tiếp. Chủ động mở rộng được ý khi giao tiếp.
Có vốn từ tốt về: thôn"&amp;"g tin cá nhân, đồ dùng, màu sắc, hoạt động, động vật, đồ dùng học tập, vị trí, ... Chưa nắm chắc cách nói giờ.
Con phát âm rõ ràng, có chú ý tốt âm cuối, ngữ điệu tự nhiên, lưu loát.
Con nắm được đến chữ số x00.000.
Khả năng nghe hiểu và đọc hiểu của con "&amp;"rất tốt.
Con có thể trả lời được đúng hầu hết các câu hỏi liên quan đến các bài đọc và bài nghe tương đương trình độ Flyers.
Con dùng ngữ pháp một cách tự nhiên. Tuy nhiên chưa làm được bài tập dạng ngữ pháp, chưa phân tích được. 
Con cần luyện tập thêm v"&amp;"ới chương trình Toàn diện 2 ngữ pháp Level 1 + 1 giao tiếp Level 4. ")</f>
        <v>Con ngoan hiền, lễ phép. Con rất tập trung khi tham gia test.
Tốc độ phản xạ: Nhanh
Con nghe hiểu tốt các câu hỏi của cô và trả lời được khá tốt. Con có ý thức sử dụng câu đầy đủ khi giao tiếp. Chủ động mở rộng được ý khi giao tiếp.
Có vốn từ tốt về: thông tin cá nhân, đồ dùng, màu sắc, hoạt động, động vật, đồ dùng học tập, vị trí, ... Chưa nắm chắc cách nói giờ.
Con phát âm rõ ràng, có chú ý tốt âm cuối, ngữ điệu tự nhiên, lưu loát.
Con nắm được đến chữ số x00.000.
Khả năng nghe hiểu và đọc hiểu của con rất tốt.
Con có thể trả lời được đúng hầu hết các câu hỏi liên quan đến các bài đọc và bài nghe tương đương trình độ Flyers.
Con dùng ngữ pháp một cách tự nhiên. Tuy nhiên chưa làm được bài tập dạng ngữ pháp, chưa phân tích được. 
Con cần luyện tập thêm với chương trình Toàn diện 2 ngữ pháp Level 1 + 1 giao tiếp Level 4. </v>
      </c>
      <c r="Q93" s="383"/>
      <c r="R93" s="383"/>
      <c r="S93" s="383" t="str">
        <f>IFERROR(__xludf.DUMMYFUNCTION("""COMPUTED_VALUE"""),"5/12: gửi thông tin khoá học, xếp lịch test tối thứ 4
7/12: trả kết quả test
8/12: chốt khoá học")</f>
        <v>5/12: gửi thông tin khoá học, xếp lịch test tối thứ 4
7/12: trả kết quả test
8/12: chốt khoá học</v>
      </c>
      <c r="T93" s="383" t="str">
        <f>IFERROR(__xludf.DUMMYFUNCTION("""COMPUTED_VALUE"""),"chăm sóc tiếp")</f>
        <v>chăm sóc tiếp</v>
      </c>
      <c r="U93" s="552"/>
      <c r="V93" s="552">
        <f>IFERROR(__xludf.DUMMYFUNCTION("""COMPUTED_VALUE"""),45268.0)</f>
        <v>45268</v>
      </c>
      <c r="W93" s="554" t="str">
        <f>IFERROR(__xludf.DUMMYFUNCTION("""COMPUTED_VALUE"""),"tatd")</f>
        <v>tatd</v>
      </c>
      <c r="X93" s="501">
        <f>IFERROR(__xludf.DUMMYFUNCTION("""COMPUTED_VALUE"""),5784000.0)</f>
        <v>5784000</v>
      </c>
      <c r="Y93" s="501">
        <f>IFERROR(__xludf.DUMMYFUNCTION("""COMPUTED_VALUE"""),578400.0)</f>
        <v>578400</v>
      </c>
      <c r="Z93" s="501">
        <f>IFERROR(__xludf.DUMMYFUNCTION("""COMPUTED_VALUE"""),5205600.0)</f>
        <v>5205600</v>
      </c>
      <c r="AA93" s="501"/>
    </row>
    <row r="94" ht="57.75" customHeight="1">
      <c r="A94" s="552">
        <f>IFERROR(__xludf.DUMMYFUNCTION("""COMPUTED_VALUE"""),45267.0)</f>
        <v>45267</v>
      </c>
      <c r="B94" s="383" t="str">
        <f>IFERROR(__xludf.DUMMYFUNCTION("""COMPUTED_VALUE"""),"HV giới thiệu")</f>
        <v>HV giới thiệu</v>
      </c>
      <c r="C94" s="322" t="str">
        <f>IFERROR(__xludf.DUMMYFUNCTION("""COMPUTED_VALUE"""),"Nguyễn Huỳnh Ni")</f>
        <v>Nguyễn Huỳnh Ni</v>
      </c>
      <c r="D94" s="383" t="str">
        <f>IFERROR(__xludf.DUMMYFUNCTION("""COMPUTED_VALUE"""),"Nguyễn Huỳnh Ni")</f>
        <v>Nguyễn Huỳnh Ni</v>
      </c>
      <c r="E94" s="383"/>
      <c r="F94" s="383"/>
      <c r="G94" s="383"/>
      <c r="H94" s="383"/>
      <c r="I94" s="401" t="str">
        <f>IFERROR(__xludf.DUMMYFUNCTION("""COMPUTED_VALUE"""),"0935103206")</f>
        <v>0935103206</v>
      </c>
      <c r="J94" s="383"/>
      <c r="K94" s="383"/>
      <c r="L94" s="383" t="str">
        <f>IFERROR(__xludf.DUMMYFUNCTION("""COMPUTED_VALUE"""),"GTPX người lớn")</f>
        <v>GTPX người lớn</v>
      </c>
      <c r="M94" s="383" t="str">
        <f>IFERROR(__xludf.DUMMYFUNCTION("""COMPUTED_VALUE"""),"Ánh")</f>
        <v>Ánh</v>
      </c>
      <c r="N94" s="383" t="str">
        <f>IFERROR(__xludf.DUMMYFUNCTION("""COMPUTED_VALUE"""),"Đã liên lạc lần 1")</f>
        <v>Đã liên lạc lần 1</v>
      </c>
      <c r="O94" s="383" t="b">
        <f>IFERROR(__xludf.DUMMYFUNCTION("""COMPUTED_VALUE"""),FALSE)</f>
        <v>0</v>
      </c>
      <c r="P94" s="383"/>
      <c r="Q94" s="383"/>
      <c r="R94" s="383"/>
      <c r="S94" s="383" t="str">
        <f>IFERROR(__xludf.DUMMYFUNCTION("""COMPUTED_VALUE"""),"7/12: gửi thông tin về khoá học, trao đổi xếp lịch test
9/12: dt mẹ bận, mẹ bảo sang tuần mẹ xếp lịch test sau")</f>
        <v>7/12: gửi thông tin về khoá học, trao đổi xếp lịch test
9/12: dt mẹ bận, mẹ bảo sang tuần mẹ xếp lịch test sau</v>
      </c>
      <c r="T94" s="383" t="str">
        <f>IFERROR(__xludf.DUMMYFUNCTION("""COMPUTED_VALUE"""),"gọi trao đổi sau")</f>
        <v>gọi trao đổi sau</v>
      </c>
      <c r="U94" s="552"/>
      <c r="V94" s="552"/>
      <c r="W94" s="383"/>
      <c r="X94" s="501"/>
      <c r="Y94" s="501"/>
      <c r="Z94" s="501"/>
      <c r="AA94" s="501"/>
    </row>
    <row r="95" ht="57.75" customHeight="1">
      <c r="A95" s="552">
        <f>IFERROR(__xludf.DUMMYFUNCTION("""COMPUTED_VALUE"""),45267.0)</f>
        <v>45267</v>
      </c>
      <c r="B95" s="383" t="str">
        <f>IFERROR(__xludf.DUMMYFUNCTION("""COMPUTED_VALUE"""),"HV giới thiệu")</f>
        <v>HV giới thiệu</v>
      </c>
      <c r="C95" s="322" t="str">
        <f>IFERROR(__xludf.DUMMYFUNCTION("""COMPUTED_VALUE"""),"Nguyễn Huỳnh Ni")</f>
        <v>Nguyễn Huỳnh Ni</v>
      </c>
      <c r="D95" s="383"/>
      <c r="E95" s="383"/>
      <c r="F95" s="383">
        <f>IFERROR(__xludf.DUMMYFUNCTION("""COMPUTED_VALUE"""),2013.0)</f>
        <v>2013</v>
      </c>
      <c r="G95" s="383">
        <f>IFERROR(__xludf.DUMMYFUNCTION("""COMPUTED_VALUE"""),5.0)</f>
        <v>5</v>
      </c>
      <c r="H95" s="383"/>
      <c r="I95" s="401" t="str">
        <f>IFERROR(__xludf.DUMMYFUNCTION("""COMPUTED_VALUE"""),"0935103206")</f>
        <v>0935103206</v>
      </c>
      <c r="J95" s="383"/>
      <c r="K95" s="383"/>
      <c r="L95" s="383" t="str">
        <f>IFERROR(__xludf.DUMMYFUNCTION("""COMPUTED_VALUE"""),"GTPX")</f>
        <v>GTPX</v>
      </c>
      <c r="M95" s="383" t="str">
        <f>IFERROR(__xludf.DUMMYFUNCTION("""COMPUTED_VALUE"""),"Ánh")</f>
        <v>Ánh</v>
      </c>
      <c r="N95" s="383" t="str">
        <f>IFERROR(__xludf.DUMMYFUNCTION("""COMPUTED_VALUE"""),"Đã liên lạc lần 1")</f>
        <v>Đã liên lạc lần 1</v>
      </c>
      <c r="O95" s="383" t="b">
        <f>IFERROR(__xludf.DUMMYFUNCTION("""COMPUTED_VALUE"""),FALSE)</f>
        <v>0</v>
      </c>
      <c r="P95" s="383"/>
      <c r="Q95" s="383"/>
      <c r="R95" s="383"/>
      <c r="S95" s="383" t="str">
        <f>IFERROR(__xludf.DUMMYFUNCTION("""COMPUTED_VALUE"""),"7/12: gửi thông tin về khoá học, trao đổi xếp lịch test
9/12: dt mẹ bận, mẹ bảo sang tuần mẹ xếp lịch test sau")</f>
        <v>7/12: gửi thông tin về khoá học, trao đổi xếp lịch test
9/12: dt mẹ bận, mẹ bảo sang tuần mẹ xếp lịch test sau</v>
      </c>
      <c r="T95" s="383" t="str">
        <f>IFERROR(__xludf.DUMMYFUNCTION("""COMPUTED_VALUE"""),"gọi trao đổi sau")</f>
        <v>gọi trao đổi sau</v>
      </c>
      <c r="U95" s="552"/>
      <c r="V95" s="552"/>
      <c r="W95" s="383"/>
      <c r="X95" s="501"/>
      <c r="Y95" s="501"/>
      <c r="Z95" s="501"/>
      <c r="AA95" s="501"/>
    </row>
    <row r="96" ht="57.75" customHeight="1">
      <c r="A96" s="552">
        <f>IFERROR(__xludf.DUMMYFUNCTION("""COMPUTED_VALUE"""),45267.0)</f>
        <v>45267</v>
      </c>
      <c r="B96" s="383" t="str">
        <f>IFERROR(__xludf.DUMMYFUNCTION("""COMPUTED_VALUE"""),"HV giới thiệu")</f>
        <v>HV giới thiệu</v>
      </c>
      <c r="C96" s="322" t="str">
        <f>IFERROR(__xludf.DUMMYFUNCTION("""COMPUTED_VALUE"""),"chị Yến( mẹ Nhật Nam lớp VUI)")</f>
        <v>chị Yến( mẹ Nhật Nam lớp VUI)</v>
      </c>
      <c r="D96" s="383" t="str">
        <f>IFERROR(__xludf.DUMMYFUNCTION("""COMPUTED_VALUE"""),"Nhật Nguyên")</f>
        <v>Nhật Nguyên</v>
      </c>
      <c r="E96" s="383"/>
      <c r="F96" s="383">
        <f>IFERROR(__xludf.DUMMYFUNCTION("""COMPUTED_VALUE"""),2018.0)</f>
        <v>2018</v>
      </c>
      <c r="G96" s="383">
        <f>IFERROR(__xludf.DUMMYFUNCTION("""COMPUTED_VALUE"""),1.0)</f>
        <v>1</v>
      </c>
      <c r="H96" s="383"/>
      <c r="I96" s="401" t="str">
        <f>IFERROR(__xludf.DUMMYFUNCTION("""COMPUTED_VALUE"""),"935343464")</f>
        <v>935343464</v>
      </c>
      <c r="J96" s="383"/>
      <c r="K96" s="383"/>
      <c r="L96" s="383" t="str">
        <f>IFERROR(__xludf.DUMMYFUNCTION("""COMPUTED_VALUE"""),"gtpx")</f>
        <v>gtpx</v>
      </c>
      <c r="M96" s="383" t="str">
        <f>IFERROR(__xludf.DUMMYFUNCTION("""COMPUTED_VALUE"""),"Ánh")</f>
        <v>Ánh</v>
      </c>
      <c r="N96" s="383" t="str">
        <f>IFERROR(__xludf.DUMMYFUNCTION("""COMPUTED_VALUE"""),"Đã test")</f>
        <v>Đã test</v>
      </c>
      <c r="O96" s="383" t="b">
        <f>IFERROR(__xludf.DUMMYFUNCTION("""COMPUTED_VALUE"""),TRUE)</f>
        <v>1</v>
      </c>
      <c r="P96" s="383" t="str">
        <f>IFERROR(__xludf.DUMMYFUNCTION("""COMPUTED_VALUE"""),"Con ngoan hiền, lễ phép. Con tập trung tốt khi tham gia buổi test.
Tốc độ phản xạ: Khá ổn
Con có thể giao tiếp với các chủ đề về tên, tuổi, sức khỏe, con vật và màu sắc yêu thích. 
Con chưa biết cách triển khi ý tưởng khi nói về một chủ đề.
Con có dùng câ"&amp;"u hoàn chỉnh để trả lời, tuy nhiên với một số câu hỏi con còn sử dụng từ lẻ để trả lời.
Con cẩn cải thiện thêm phát âm tự nhiên, tuy nhiên cần cải thiện thêm độ chính xác, đặc biệt là các âm cuối, nối âm và ngữ điệu.
Con nắm được từ số 1-100, tuy nhiên co"&amp;"n chưa nắm rõ cách đọc số 25. 
Con chưa nắm được số thứ tự.
Con có vốn từ cơ bản về đồ dùng học tập, con vật, màu sắc,... tuy nhiên con chưa biết cách xác định vị trí và diễn đạt thời gian bằng Tiếng Anh.
Con có kĩ năng đọc hiểu và ngang hiểu ngang với tr"&amp;"ình độ đầu UP 2.
Con cần rèn luyện thêm về từ vựng và ngữ pháp với chương trình : GTPX Level 2")</f>
        <v>Con ngoan hiền, lễ phép. Con tập trung tốt khi tham gia buổi test.
Tốc độ phản xạ: Khá ổn
Con có thể giao tiếp với các chủ đề về tên, tuổi, sức khỏe, con vật và màu sắc yêu thích. 
Con chưa biết cách triển khi ý tưởng khi nói về một chủ đề.
Con có dùng câu hoàn chỉnh để trả lời, tuy nhiên với một số câu hỏi con còn sử dụng từ lẻ để trả lời.
Con cẩn cải thiện thêm phát âm tự nhiên, tuy nhiên cần cải thiện thêm độ chính xác, đặc biệt là các âm cuối, nối âm và ngữ điệu.
Con nắm được từ số 1-100, tuy nhiên con chưa nắm rõ cách đọc số 25. 
Con chưa nắm được số thứ tự.
Con có vốn từ cơ bản về đồ dùng học tập, con vật, màu sắc,... tuy nhiên con chưa biết cách xác định vị trí và diễn đạt thời gian bằng Tiếng Anh.
Con có kĩ năng đọc hiểu và ngang hiểu ngang với trình độ đầu UP 2.
Con cần rèn luyện thêm về từ vựng và ngữ pháp với chương trình : GTPX Level 2</v>
      </c>
      <c r="Q96" s="383"/>
      <c r="R96" s="383"/>
      <c r="S96" s="383" t="str">
        <f>IFERROR(__xludf.DUMMYFUNCTION("""COMPUTED_VALUE"""),"7/12: xếp lịch test tối thứ 6 19h30
8/12: trả kq test, mẹ chưa nghe máy, tối gọi sau
9/12: gọi trả kết quả test, nhunge hiện tại Nguyên không chịu học, mẹ bảo sẽ trao đổi lại với con và có gì sẽ thông báo lại
15/12: nt trao đổi với mẹ, có thể xếp buổi học"&amp;" thử để mẹ có thể cân nhắc")</f>
        <v>7/12: xếp lịch test tối thứ 6 19h30
8/12: trả kq test, mẹ chưa nghe máy, tối gọi sau
9/12: gọi trả kết quả test, nhunge hiện tại Nguyên không chịu học, mẹ bảo sẽ trao đổi lại với con và có gì sẽ thông báo lại
15/12: nt trao đổi với mẹ, có thể xếp buổi học thử để mẹ có thể cân nhắc</v>
      </c>
      <c r="T96" s="383" t="str">
        <f>IFERROR(__xludf.DUMMYFUNCTION("""COMPUTED_VALUE"""),"chăm sóc tiếp")</f>
        <v>chăm sóc tiếp</v>
      </c>
      <c r="U96" s="552"/>
      <c r="V96" s="552"/>
      <c r="W96" s="383"/>
      <c r="X96" s="501"/>
      <c r="Y96" s="501"/>
      <c r="Z96" s="501"/>
      <c r="AA96" s="501"/>
    </row>
    <row r="97" ht="57.75" customHeight="1">
      <c r="C97" s="322"/>
    </row>
    <row r="98" ht="57.75" customHeight="1">
      <c r="C98" s="322"/>
    </row>
    <row r="99" ht="57.75" customHeight="1">
      <c r="C99" s="322"/>
    </row>
    <row r="100" ht="57.75" customHeight="1">
      <c r="C100" s="322"/>
    </row>
    <row r="101" ht="57.75" customHeight="1">
      <c r="C101" s="322"/>
    </row>
    <row r="102" ht="57.75" customHeight="1">
      <c r="C102" s="322"/>
    </row>
    <row r="103" ht="57.75" customHeight="1">
      <c r="C103" s="322"/>
    </row>
    <row r="104" ht="57.75" customHeight="1">
      <c r="C104" s="322"/>
    </row>
    <row r="105" ht="57.75" customHeight="1">
      <c r="C105" s="322"/>
    </row>
    <row r="106" ht="57.75" customHeight="1">
      <c r="C106" s="322"/>
    </row>
    <row r="107" ht="57.75" customHeight="1">
      <c r="C107" s="322"/>
    </row>
    <row r="108" ht="57.75" customHeight="1">
      <c r="C108" s="322"/>
    </row>
    <row r="109" ht="57.75" customHeight="1">
      <c r="C109" s="322"/>
    </row>
    <row r="110" ht="57.75" customHeight="1">
      <c r="C110" s="322"/>
    </row>
    <row r="111" ht="57.75" customHeight="1">
      <c r="C111" s="322"/>
    </row>
    <row r="112" ht="57.75" customHeight="1">
      <c r="C112" s="322"/>
    </row>
    <row r="113" ht="57.75" customHeight="1">
      <c r="C113" s="322"/>
    </row>
    <row r="114" ht="57.75" customHeight="1">
      <c r="C114" s="322"/>
    </row>
    <row r="115" ht="57.75" customHeight="1">
      <c r="C115" s="322"/>
    </row>
    <row r="116" ht="57.75" customHeight="1">
      <c r="C116" s="322"/>
    </row>
    <row r="117" ht="57.75" customHeight="1">
      <c r="C117" s="322"/>
    </row>
    <row r="118" ht="57.75" customHeight="1">
      <c r="C118" s="322"/>
    </row>
    <row r="119" ht="57.75" customHeight="1">
      <c r="C119" s="322"/>
    </row>
    <row r="120" ht="57.75" customHeight="1">
      <c r="C120" s="322"/>
    </row>
    <row r="121" ht="57.75" customHeight="1">
      <c r="C121" s="322"/>
    </row>
    <row r="122" ht="57.75" customHeight="1">
      <c r="C122" s="322"/>
    </row>
    <row r="123" ht="57.75" customHeight="1">
      <c r="C123" s="322"/>
    </row>
    <row r="124" ht="57.75" customHeight="1">
      <c r="C124" s="322"/>
    </row>
    <row r="125" ht="57.75" customHeight="1">
      <c r="C125" s="322"/>
    </row>
    <row r="126" ht="57.75" customHeight="1">
      <c r="C126" s="322"/>
    </row>
    <row r="127" ht="57.75" customHeight="1">
      <c r="C127" s="322"/>
    </row>
    <row r="128" ht="57.75" customHeight="1">
      <c r="C128" s="322"/>
    </row>
    <row r="129" ht="57.75" customHeight="1">
      <c r="C129" s="322"/>
    </row>
    <row r="130" ht="57.75" customHeight="1">
      <c r="C130" s="322"/>
    </row>
    <row r="131" ht="57.75" customHeight="1">
      <c r="C131" s="322"/>
    </row>
    <row r="132" ht="57.75" customHeight="1">
      <c r="C132" s="322"/>
    </row>
    <row r="133" ht="57.75" customHeight="1">
      <c r="C133" s="322"/>
    </row>
    <row r="134" ht="57.75" customHeight="1">
      <c r="C134" s="322"/>
    </row>
    <row r="135" ht="57.75" customHeight="1">
      <c r="C135" s="322"/>
    </row>
    <row r="136" ht="57.75" customHeight="1">
      <c r="C136" s="322"/>
    </row>
    <row r="137" ht="57.75" customHeight="1">
      <c r="C137" s="322"/>
    </row>
    <row r="138" ht="57.75" customHeight="1">
      <c r="C138" s="322"/>
    </row>
    <row r="139" ht="57.75" customHeight="1">
      <c r="C139" s="322"/>
    </row>
    <row r="140" ht="57.75" customHeight="1">
      <c r="C140" s="322"/>
    </row>
    <row r="141" ht="57.75" customHeight="1">
      <c r="C141" s="322"/>
    </row>
    <row r="142" ht="57.75" customHeight="1">
      <c r="C142" s="322"/>
    </row>
    <row r="143" ht="57.75" customHeight="1">
      <c r="C143" s="322"/>
    </row>
    <row r="144" ht="57.75" customHeight="1">
      <c r="C144" s="322"/>
    </row>
    <row r="145" ht="57.75" customHeight="1">
      <c r="C145" s="322"/>
    </row>
    <row r="146" ht="57.75" customHeight="1">
      <c r="C146" s="322"/>
    </row>
    <row r="147" ht="57.75" customHeight="1">
      <c r="C147" s="322"/>
    </row>
    <row r="148" ht="57.75" customHeight="1">
      <c r="C148" s="322"/>
    </row>
    <row r="149" ht="57.75" customHeight="1">
      <c r="C149" s="322"/>
    </row>
    <row r="150" ht="57.75" customHeight="1">
      <c r="C150" s="322"/>
    </row>
    <row r="151" ht="57.75" customHeight="1">
      <c r="C151" s="322"/>
    </row>
    <row r="152" ht="57.75" customHeight="1">
      <c r="C152" s="322"/>
    </row>
    <row r="153" ht="57.75" customHeight="1">
      <c r="C153" s="322"/>
    </row>
    <row r="154" ht="57.75" customHeight="1">
      <c r="C154" s="322"/>
    </row>
    <row r="155" ht="57.75" customHeight="1">
      <c r="C155" s="322"/>
    </row>
    <row r="156" ht="57.75" customHeight="1">
      <c r="C156" s="322"/>
    </row>
    <row r="157" ht="57.75" customHeight="1">
      <c r="C157" s="322"/>
    </row>
    <row r="158" ht="57.75" customHeight="1">
      <c r="C158" s="322"/>
    </row>
    <row r="159" ht="57.75" customHeight="1">
      <c r="C159" s="322"/>
    </row>
    <row r="160" ht="57.75" customHeight="1">
      <c r="C160" s="322"/>
    </row>
    <row r="161" ht="57.75" customHeight="1">
      <c r="C161" s="322"/>
    </row>
    <row r="162" ht="57.75" customHeight="1">
      <c r="C162" s="322"/>
    </row>
    <row r="163" ht="57.75" customHeight="1">
      <c r="C163" s="322"/>
    </row>
    <row r="164" ht="57.75" customHeight="1">
      <c r="C164" s="322"/>
    </row>
    <row r="165" ht="57.75" customHeight="1">
      <c r="C165" s="322"/>
    </row>
    <row r="166" ht="57.75" customHeight="1">
      <c r="C166" s="322"/>
    </row>
    <row r="167" ht="57.75" customHeight="1">
      <c r="C167" s="322"/>
    </row>
    <row r="168" ht="57.75" customHeight="1">
      <c r="C168" s="322"/>
    </row>
    <row r="169" ht="57.75" customHeight="1">
      <c r="C169" s="322"/>
    </row>
    <row r="170" ht="57.75" customHeight="1">
      <c r="C170" s="322"/>
    </row>
    <row r="171" ht="57.75" customHeight="1">
      <c r="C171" s="322"/>
    </row>
    <row r="172" ht="57.75" customHeight="1">
      <c r="C172" s="322"/>
    </row>
    <row r="173" ht="57.75" customHeight="1">
      <c r="C173" s="322"/>
    </row>
    <row r="174" ht="57.75" customHeight="1">
      <c r="C174" s="322"/>
    </row>
    <row r="175" ht="57.75" customHeight="1">
      <c r="C175" s="322"/>
    </row>
    <row r="176" ht="57.75" customHeight="1">
      <c r="C176" s="322"/>
    </row>
    <row r="177" ht="57.75" customHeight="1">
      <c r="C177" s="322"/>
    </row>
    <row r="178" ht="57.75" customHeight="1">
      <c r="C178" s="322"/>
    </row>
    <row r="179" ht="57.75" customHeight="1">
      <c r="C179" s="322"/>
    </row>
    <row r="180" ht="57.75" customHeight="1">
      <c r="C180" s="322"/>
    </row>
    <row r="181" ht="57.75" customHeight="1">
      <c r="C181" s="322"/>
    </row>
    <row r="182" ht="57.75" customHeight="1">
      <c r="C182" s="322"/>
    </row>
    <row r="183" ht="57.75" customHeight="1">
      <c r="C183" s="322"/>
    </row>
    <row r="184" ht="57.75" customHeight="1">
      <c r="C184" s="322"/>
    </row>
    <row r="185" ht="57.75" customHeight="1">
      <c r="C185" s="322"/>
    </row>
    <row r="186" ht="57.75" customHeight="1">
      <c r="C186" s="322"/>
    </row>
    <row r="187" ht="57.75" customHeight="1">
      <c r="C187" s="322"/>
    </row>
    <row r="188" ht="57.75" customHeight="1">
      <c r="C188" s="322"/>
    </row>
    <row r="189" ht="57.75" customHeight="1">
      <c r="C189" s="322"/>
    </row>
    <row r="190" ht="57.75" customHeight="1">
      <c r="C190" s="322"/>
    </row>
    <row r="191" ht="57.75" customHeight="1">
      <c r="C191" s="322"/>
    </row>
    <row r="192" ht="57.75" customHeight="1">
      <c r="C192" s="322"/>
    </row>
    <row r="193" ht="57.75" customHeight="1">
      <c r="C193" s="322"/>
    </row>
    <row r="194" ht="57.75" customHeight="1">
      <c r="C194" s="322"/>
    </row>
    <row r="195" ht="57.75" customHeight="1">
      <c r="C195" s="322"/>
    </row>
    <row r="196" ht="57.75" customHeight="1">
      <c r="C196" s="322"/>
    </row>
    <row r="197" ht="57.75" customHeight="1">
      <c r="C197" s="322"/>
    </row>
    <row r="198" ht="57.75" customHeight="1">
      <c r="C198" s="322"/>
    </row>
    <row r="199" ht="57.75" customHeight="1">
      <c r="C199" s="322"/>
    </row>
    <row r="200" ht="57.75" customHeight="1">
      <c r="C200" s="322"/>
    </row>
    <row r="201" ht="57.75" customHeight="1">
      <c r="C201" s="322"/>
    </row>
    <row r="202" ht="57.75" customHeight="1">
      <c r="C202" s="322"/>
    </row>
    <row r="203" ht="57.75" customHeight="1">
      <c r="C203" s="322"/>
    </row>
    <row r="204" ht="57.75" customHeight="1">
      <c r="C204" s="322"/>
    </row>
    <row r="205" ht="57.75" customHeight="1">
      <c r="C205" s="322"/>
    </row>
    <row r="206" ht="57.75" customHeight="1">
      <c r="C206" s="322"/>
    </row>
    <row r="207" ht="57.75" customHeight="1">
      <c r="C207" s="322"/>
    </row>
    <row r="208" ht="57.75" customHeight="1">
      <c r="C208" s="322"/>
    </row>
    <row r="209" ht="57.75" customHeight="1">
      <c r="C209" s="322"/>
    </row>
    <row r="210" ht="57.75" customHeight="1">
      <c r="C210" s="322"/>
    </row>
    <row r="211" ht="57.75" customHeight="1">
      <c r="C211" s="322"/>
    </row>
    <row r="212" ht="57.75" customHeight="1">
      <c r="C212" s="322"/>
    </row>
    <row r="213" ht="57.75" customHeight="1">
      <c r="C213" s="322"/>
    </row>
    <row r="214" ht="57.75" customHeight="1">
      <c r="C214" s="322"/>
    </row>
    <row r="215" ht="57.75" customHeight="1">
      <c r="C215" s="322"/>
    </row>
    <row r="216" ht="57.75" customHeight="1">
      <c r="C216" s="322"/>
    </row>
    <row r="217" ht="57.75" customHeight="1">
      <c r="C217" s="322"/>
    </row>
    <row r="218" ht="57.75" customHeight="1">
      <c r="C218" s="322"/>
    </row>
    <row r="219" ht="57.75" customHeight="1">
      <c r="C219" s="322"/>
    </row>
    <row r="220" ht="57.75" customHeight="1">
      <c r="C220" s="322"/>
    </row>
    <row r="221" ht="57.75" customHeight="1">
      <c r="C221" s="322"/>
    </row>
    <row r="222" ht="57.75" customHeight="1">
      <c r="C222" s="322"/>
    </row>
    <row r="223" ht="57.75" customHeight="1">
      <c r="C223" s="322"/>
    </row>
    <row r="224" ht="57.75" customHeight="1">
      <c r="C224" s="322"/>
    </row>
    <row r="225" ht="57.75" customHeight="1">
      <c r="C225" s="322"/>
    </row>
    <row r="226" ht="57.75" customHeight="1">
      <c r="C226" s="322"/>
    </row>
    <row r="227" ht="57.75" customHeight="1">
      <c r="C227" s="322"/>
    </row>
    <row r="228" ht="57.75" customHeight="1">
      <c r="C228" s="322"/>
    </row>
    <row r="229" ht="57.75" customHeight="1">
      <c r="C229" s="322"/>
    </row>
    <row r="230" ht="57.75" customHeight="1">
      <c r="C230" s="322"/>
    </row>
    <row r="231" ht="57.75" customHeight="1">
      <c r="C231" s="322"/>
    </row>
    <row r="232" ht="57.75" customHeight="1">
      <c r="C232" s="322"/>
    </row>
    <row r="233" ht="57.75" customHeight="1">
      <c r="C233" s="322"/>
    </row>
    <row r="234" ht="57.75" customHeight="1">
      <c r="C234" s="322"/>
    </row>
    <row r="235" ht="57.75" customHeight="1">
      <c r="C235" s="322"/>
    </row>
    <row r="236" ht="57.75" customHeight="1">
      <c r="C236" s="322"/>
    </row>
    <row r="237" ht="57.75" customHeight="1">
      <c r="C237" s="322"/>
    </row>
    <row r="238" ht="57.75" customHeight="1">
      <c r="C238" s="322"/>
    </row>
    <row r="239" ht="57.75" customHeight="1">
      <c r="C239" s="322"/>
    </row>
    <row r="240" ht="57.75" customHeight="1">
      <c r="C240" s="322"/>
    </row>
    <row r="241" ht="57.75" customHeight="1">
      <c r="C241" s="322"/>
    </row>
    <row r="242" ht="57.75" customHeight="1">
      <c r="C242" s="322"/>
    </row>
    <row r="243" ht="57.75" customHeight="1">
      <c r="C243" s="322"/>
    </row>
    <row r="244" ht="57.75" customHeight="1">
      <c r="C244" s="322"/>
    </row>
    <row r="245" ht="57.75" customHeight="1">
      <c r="C245" s="322"/>
    </row>
    <row r="246" ht="57.75" customHeight="1">
      <c r="C246" s="322"/>
    </row>
    <row r="247" ht="57.75" customHeight="1">
      <c r="C247" s="322"/>
    </row>
    <row r="248" ht="57.75" customHeight="1">
      <c r="C248" s="322"/>
    </row>
    <row r="249" ht="57.75" customHeight="1">
      <c r="C249" s="322"/>
    </row>
    <row r="250" ht="57.75" customHeight="1">
      <c r="C250" s="322"/>
    </row>
    <row r="251" ht="57.75" customHeight="1">
      <c r="C251" s="322"/>
    </row>
    <row r="252" ht="57.75" customHeight="1">
      <c r="C252" s="322"/>
    </row>
    <row r="253" ht="57.75" customHeight="1">
      <c r="C253" s="322"/>
    </row>
    <row r="254" ht="57.75" customHeight="1">
      <c r="C254" s="322"/>
    </row>
    <row r="255" ht="57.75" customHeight="1">
      <c r="C255" s="322"/>
    </row>
    <row r="256" ht="57.75" customHeight="1">
      <c r="C256" s="322"/>
    </row>
    <row r="257" ht="57.75" customHeight="1">
      <c r="C257" s="322"/>
    </row>
    <row r="258" ht="57.75" customHeight="1">
      <c r="C258" s="322"/>
    </row>
    <row r="259" ht="57.75" customHeight="1">
      <c r="C259" s="322"/>
    </row>
    <row r="260" ht="57.75" customHeight="1">
      <c r="C260" s="322"/>
    </row>
    <row r="261" ht="57.75" customHeight="1">
      <c r="C261" s="322"/>
    </row>
    <row r="262" ht="57.75" customHeight="1">
      <c r="C262" s="322"/>
    </row>
    <row r="263" ht="57.75" customHeight="1">
      <c r="C263" s="322"/>
    </row>
    <row r="264" ht="57.75" customHeight="1">
      <c r="C264" s="322"/>
    </row>
    <row r="265" ht="57.75" customHeight="1">
      <c r="C265" s="322"/>
    </row>
    <row r="266" ht="57.75" customHeight="1">
      <c r="C266" s="322"/>
    </row>
    <row r="267" ht="57.75" customHeight="1">
      <c r="C267" s="322"/>
    </row>
    <row r="268" ht="57.75" customHeight="1">
      <c r="C268" s="322"/>
    </row>
    <row r="269" ht="57.75" customHeight="1">
      <c r="C269" s="322"/>
    </row>
    <row r="270" ht="57.75" customHeight="1">
      <c r="C270" s="322"/>
    </row>
    <row r="271" ht="57.75" customHeight="1">
      <c r="C271" s="322"/>
    </row>
    <row r="272" ht="57.75" customHeight="1">
      <c r="C272" s="322"/>
    </row>
    <row r="273" ht="57.75" customHeight="1">
      <c r="C273" s="322"/>
    </row>
    <row r="274" ht="57.75" customHeight="1">
      <c r="C274" s="322"/>
    </row>
    <row r="275" ht="57.75" customHeight="1">
      <c r="C275" s="322"/>
    </row>
    <row r="276" ht="57.75" customHeight="1">
      <c r="C276" s="322"/>
    </row>
    <row r="277" ht="57.75" customHeight="1">
      <c r="C277" s="322"/>
    </row>
    <row r="278" ht="57.75" customHeight="1">
      <c r="C278" s="322"/>
    </row>
    <row r="279" ht="57.75" customHeight="1">
      <c r="C279" s="322"/>
    </row>
    <row r="280" ht="57.75" customHeight="1">
      <c r="C280" s="322"/>
    </row>
    <row r="281" ht="57.75" customHeight="1">
      <c r="C281" s="322"/>
    </row>
    <row r="282" ht="57.75" customHeight="1">
      <c r="C282" s="322"/>
    </row>
    <row r="283" ht="57.75" customHeight="1">
      <c r="C283" s="322"/>
    </row>
    <row r="284" ht="57.75" customHeight="1">
      <c r="C284" s="322"/>
    </row>
    <row r="285" ht="57.75" customHeight="1">
      <c r="C285" s="322"/>
    </row>
    <row r="286" ht="57.75" customHeight="1">
      <c r="C286" s="322"/>
    </row>
    <row r="287" ht="57.75" customHeight="1">
      <c r="C287" s="322"/>
    </row>
    <row r="288" ht="57.75" customHeight="1">
      <c r="C288" s="322"/>
    </row>
    <row r="289" ht="57.75" customHeight="1">
      <c r="C289" s="322"/>
    </row>
    <row r="290" ht="57.75" customHeight="1">
      <c r="C290" s="322"/>
    </row>
    <row r="291" ht="57.75" customHeight="1">
      <c r="C291" s="322"/>
    </row>
    <row r="292" ht="57.75" customHeight="1">
      <c r="C292" s="322"/>
    </row>
    <row r="293" ht="57.75" customHeight="1">
      <c r="C293" s="322"/>
    </row>
    <row r="294" ht="57.75" customHeight="1">
      <c r="C294" s="322"/>
    </row>
    <row r="295" ht="57.75" customHeight="1">
      <c r="C295" s="322"/>
    </row>
    <row r="296" ht="57.75" customHeight="1">
      <c r="C296" s="322"/>
    </row>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R2:R3"/>
    <mergeCell ref="S2:S3"/>
    <mergeCell ref="T2:T3"/>
    <mergeCell ref="U2:U3"/>
    <mergeCell ref="V2:Z2"/>
    <mergeCell ref="A2:A3"/>
    <mergeCell ref="E2:H2"/>
    <mergeCell ref="I2:K2"/>
    <mergeCell ref="L2:L3"/>
    <mergeCell ref="M2:M3"/>
    <mergeCell ref="P2:P3"/>
    <mergeCell ref="Q2:Q3"/>
  </mergeCells>
  <conditionalFormatting sqref="U2:U3">
    <cfRule type="timePeriod" dxfId="2" priority="1" timePeriod="today"/>
  </conditionalFormatting>
  <conditionalFormatting sqref="O2:O3">
    <cfRule type="containsText" dxfId="14" priority="2" operator="containsText" text="Chốt">
      <formula>NOT(ISERROR(SEARCH(("Chốt"),(O2))))</formula>
    </cfRule>
  </conditionalFormatting>
  <conditionalFormatting sqref="O4:O1000">
    <cfRule type="containsText" dxfId="15" priority="3" operator="containsText" text="Chốt">
      <formula>NOT(ISERROR(SEARCH(("Chốt"),(O4))))</formula>
    </cfRule>
  </conditionalFormatting>
  <conditionalFormatting sqref="O4:O1000">
    <cfRule type="containsText" dxfId="16" priority="4" operator="containsText" text="từ chối">
      <formula>NOT(ISERROR(SEARCH(("từ chối"),(O4))))</formula>
    </cfRule>
  </conditionalFormatting>
  <conditionalFormatting sqref="O4:O26">
    <cfRule type="containsText" dxfId="17" priority="5" operator="containsText" text="Đã đóng học phí">
      <formula>NOT(ISERROR(SEARCH(("Đã đóng học phí"),(O4))))</formula>
    </cfRule>
  </conditionalFormatting>
  <conditionalFormatting sqref="O1:O1000">
    <cfRule type="cellIs" dxfId="17" priority="6" operator="equal">
      <formula>"Đã đóng học phí"</formula>
    </cfRule>
  </conditionalFormatting>
  <hyperlinks>
    <hyperlink r:id="rId2" ref="J32"/>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9.75"/>
    <col customWidth="1" min="3" max="3" width="12.63"/>
    <col customWidth="1" min="4" max="4" width="18.75"/>
    <col customWidth="1" min="5" max="5" width="12.63"/>
    <col customWidth="1" min="6" max="6" width="28.13"/>
  </cols>
  <sheetData>
    <row r="1" ht="15.75" customHeight="1">
      <c r="A1" s="559" t="s">
        <v>5535</v>
      </c>
      <c r="B1" s="560" t="s">
        <v>5536</v>
      </c>
      <c r="C1" s="559" t="s">
        <v>5537</v>
      </c>
      <c r="D1" s="559" t="s">
        <v>5538</v>
      </c>
      <c r="E1" s="561" t="s">
        <v>5539</v>
      </c>
      <c r="F1" s="381" t="s">
        <v>5540</v>
      </c>
      <c r="G1" s="381" t="s">
        <v>5541</v>
      </c>
      <c r="H1" s="415"/>
      <c r="I1" s="415"/>
      <c r="J1" s="415"/>
      <c r="O1" s="415"/>
      <c r="P1" s="415"/>
      <c r="Q1" s="415"/>
      <c r="R1" s="415"/>
      <c r="S1" s="415"/>
      <c r="T1" s="415"/>
      <c r="U1" s="415"/>
      <c r="V1" s="415"/>
      <c r="W1" s="415"/>
      <c r="X1" s="415"/>
      <c r="Y1" s="415"/>
      <c r="Z1" s="415"/>
    </row>
    <row r="2" ht="15.75" customHeight="1">
      <c r="A2" s="562">
        <v>1.0</v>
      </c>
      <c r="B2" s="563" t="s">
        <v>5542</v>
      </c>
      <c r="C2" s="562">
        <v>2013.0</v>
      </c>
      <c r="D2" s="562">
        <v>9.84880396E8</v>
      </c>
      <c r="E2" s="564" t="s">
        <v>5543</v>
      </c>
      <c r="F2" s="43" t="s">
        <v>111</v>
      </c>
      <c r="G2" s="376" t="s">
        <v>34</v>
      </c>
      <c r="H2" s="383" t="s">
        <v>5544</v>
      </c>
      <c r="K2" s="565" t="s">
        <v>5545</v>
      </c>
    </row>
    <row r="3" ht="15.75" customHeight="1">
      <c r="A3" s="562">
        <v>2.0</v>
      </c>
      <c r="B3" s="563" t="s">
        <v>5546</v>
      </c>
      <c r="C3" s="562">
        <v>2017.0</v>
      </c>
      <c r="D3" s="562">
        <v>9.62455533E8</v>
      </c>
      <c r="E3" s="564" t="s">
        <v>191</v>
      </c>
      <c r="F3" s="43" t="s">
        <v>111</v>
      </c>
      <c r="G3" s="376" t="s">
        <v>34</v>
      </c>
      <c r="H3" s="383" t="s">
        <v>5547</v>
      </c>
      <c r="K3" s="566" t="s">
        <v>5548</v>
      </c>
    </row>
    <row r="4" ht="15.75" customHeight="1">
      <c r="A4" s="562">
        <v>3.0</v>
      </c>
      <c r="B4" s="563" t="s">
        <v>5549</v>
      </c>
      <c r="C4" s="562">
        <v>2014.0</v>
      </c>
      <c r="D4" s="562">
        <v>9.68505278E8</v>
      </c>
      <c r="E4" s="564" t="s">
        <v>5550</v>
      </c>
      <c r="F4" s="43" t="s">
        <v>111</v>
      </c>
      <c r="G4" s="376"/>
    </row>
    <row r="5" ht="15.75" customHeight="1">
      <c r="A5" s="562">
        <v>4.0</v>
      </c>
      <c r="B5" s="563" t="s">
        <v>5551</v>
      </c>
      <c r="C5" s="562">
        <v>2016.0</v>
      </c>
      <c r="D5" s="562">
        <v>9.76825223E8</v>
      </c>
      <c r="E5" s="564" t="s">
        <v>5552</v>
      </c>
      <c r="F5" s="43" t="s">
        <v>111</v>
      </c>
      <c r="G5" s="376" t="s">
        <v>34</v>
      </c>
      <c r="H5" s="383" t="s">
        <v>5553</v>
      </c>
      <c r="K5" s="567" t="s">
        <v>5554</v>
      </c>
      <c r="L5" s="567"/>
      <c r="M5" s="567"/>
      <c r="N5" s="567"/>
    </row>
    <row r="6" ht="15.75" customHeight="1">
      <c r="A6" s="562">
        <v>5.0</v>
      </c>
      <c r="B6" s="563" t="s">
        <v>5555</v>
      </c>
      <c r="C6" s="562"/>
      <c r="D6" s="562">
        <v>3.92805591E8</v>
      </c>
      <c r="E6" s="564" t="s">
        <v>5556</v>
      </c>
      <c r="F6" s="43" t="s">
        <v>111</v>
      </c>
      <c r="G6" s="376" t="s">
        <v>565</v>
      </c>
      <c r="K6" s="566" t="s">
        <v>5557</v>
      </c>
    </row>
    <row r="7" ht="15.75" customHeight="1">
      <c r="A7" s="562">
        <v>6.0</v>
      </c>
      <c r="B7" s="563" t="s">
        <v>5558</v>
      </c>
      <c r="C7" s="562">
        <v>2016.0</v>
      </c>
      <c r="D7" s="562">
        <v>9.18574779E8</v>
      </c>
      <c r="E7" s="564" t="s">
        <v>5559</v>
      </c>
      <c r="F7" s="43" t="s">
        <v>111</v>
      </c>
      <c r="G7" s="376" t="s">
        <v>34</v>
      </c>
      <c r="H7" s="383" t="s">
        <v>5560</v>
      </c>
    </row>
    <row r="8" ht="15.75" customHeight="1">
      <c r="A8" s="562">
        <v>7.0</v>
      </c>
      <c r="B8" s="563" t="s">
        <v>5561</v>
      </c>
      <c r="C8" s="562">
        <v>2018.0</v>
      </c>
      <c r="D8" s="562">
        <v>3.92805591E8</v>
      </c>
      <c r="E8" s="564" t="s">
        <v>5562</v>
      </c>
      <c r="F8" s="43" t="s">
        <v>111</v>
      </c>
      <c r="G8" s="376" t="s">
        <v>565</v>
      </c>
      <c r="H8" s="383" t="s">
        <v>5563</v>
      </c>
    </row>
    <row r="9" ht="15.75" customHeight="1">
      <c r="A9" s="562">
        <v>8.0</v>
      </c>
      <c r="B9" s="563" t="s">
        <v>5564</v>
      </c>
      <c r="C9" s="562">
        <v>2001.0</v>
      </c>
      <c r="D9" s="562">
        <v>3.25203757E8</v>
      </c>
      <c r="E9" s="564" t="s">
        <v>5565</v>
      </c>
      <c r="F9" s="43" t="s">
        <v>111</v>
      </c>
      <c r="G9" s="376" t="s">
        <v>34</v>
      </c>
      <c r="H9" s="383" t="s">
        <v>5054</v>
      </c>
    </row>
    <row r="10" ht="15.75" customHeight="1">
      <c r="A10" s="562">
        <v>9.0</v>
      </c>
      <c r="B10" s="563" t="s">
        <v>5566</v>
      </c>
      <c r="C10" s="562">
        <v>2019.0</v>
      </c>
      <c r="D10" s="562">
        <v>9.79042186E8</v>
      </c>
      <c r="E10" s="564" t="s">
        <v>5567</v>
      </c>
      <c r="F10" s="43" t="s">
        <v>111</v>
      </c>
      <c r="G10" s="376" t="s">
        <v>34</v>
      </c>
      <c r="H10" s="383" t="s">
        <v>5568</v>
      </c>
    </row>
    <row r="11" ht="15.75" customHeight="1">
      <c r="A11" s="562">
        <v>10.0</v>
      </c>
      <c r="B11" s="563" t="s">
        <v>5569</v>
      </c>
      <c r="C11" s="562">
        <v>2015.0</v>
      </c>
      <c r="D11" s="562">
        <v>9.79042186E8</v>
      </c>
      <c r="E11" s="564" t="s">
        <v>5567</v>
      </c>
      <c r="F11" s="43" t="s">
        <v>111</v>
      </c>
      <c r="G11" s="376" t="s">
        <v>34</v>
      </c>
    </row>
    <row r="12" ht="15.75" customHeight="1">
      <c r="A12" s="562">
        <v>11.0</v>
      </c>
      <c r="B12" s="563" t="s">
        <v>739</v>
      </c>
      <c r="C12" s="562">
        <v>2015.0</v>
      </c>
      <c r="D12" s="562">
        <v>9.65452088E8</v>
      </c>
      <c r="E12" s="564" t="s">
        <v>5570</v>
      </c>
      <c r="F12" s="43" t="s">
        <v>111</v>
      </c>
      <c r="G12" s="376"/>
    </row>
    <row r="13" ht="15.75" customHeight="1">
      <c r="A13" s="562">
        <v>12.0</v>
      </c>
      <c r="B13" s="563" t="s">
        <v>5571</v>
      </c>
      <c r="C13" s="562">
        <v>2016.0</v>
      </c>
      <c r="D13" s="562">
        <v>9.65452088E8</v>
      </c>
      <c r="E13" s="564"/>
      <c r="F13" s="43" t="s">
        <v>111</v>
      </c>
      <c r="G13" s="376"/>
    </row>
    <row r="14" ht="15.75" customHeight="1">
      <c r="A14" s="562">
        <v>13.0</v>
      </c>
      <c r="B14" s="563" t="s">
        <v>5572</v>
      </c>
      <c r="C14" s="562">
        <v>2017.0</v>
      </c>
      <c r="D14" s="562">
        <v>9.07405595E8</v>
      </c>
      <c r="E14" s="564" t="s">
        <v>5550</v>
      </c>
      <c r="F14" s="43" t="s">
        <v>111</v>
      </c>
      <c r="G14" s="376" t="s">
        <v>34</v>
      </c>
      <c r="H14" s="383" t="s">
        <v>5054</v>
      </c>
    </row>
    <row r="15" ht="15.75" customHeight="1">
      <c r="A15" s="562">
        <v>14.0</v>
      </c>
      <c r="B15" s="563" t="s">
        <v>5573</v>
      </c>
      <c r="C15" s="562">
        <v>2017.0</v>
      </c>
      <c r="D15" s="568" t="s">
        <v>5574</v>
      </c>
      <c r="E15" s="564" t="s">
        <v>5575</v>
      </c>
      <c r="F15" s="43" t="s">
        <v>111</v>
      </c>
      <c r="G15" s="376" t="s">
        <v>34</v>
      </c>
      <c r="H15" s="383" t="s">
        <v>5054</v>
      </c>
    </row>
    <row r="16" ht="15.75" customHeight="1">
      <c r="A16" s="562">
        <v>15.0</v>
      </c>
      <c r="B16" s="563" t="s">
        <v>5576</v>
      </c>
      <c r="C16" s="562">
        <v>2016.0</v>
      </c>
      <c r="D16" s="562">
        <v>3.62970731E8</v>
      </c>
      <c r="E16" s="564" t="s">
        <v>191</v>
      </c>
      <c r="F16" s="43" t="s">
        <v>111</v>
      </c>
      <c r="G16" s="376"/>
    </row>
    <row r="17" ht="15.75" customHeight="1">
      <c r="A17" s="562">
        <v>16.0</v>
      </c>
      <c r="B17" s="563" t="s">
        <v>5577</v>
      </c>
      <c r="C17" s="569">
        <v>41370.0</v>
      </c>
      <c r="D17" s="562">
        <v>9.82802869E8</v>
      </c>
      <c r="E17" s="564" t="s">
        <v>5578</v>
      </c>
      <c r="F17" s="43" t="s">
        <v>111</v>
      </c>
      <c r="G17" s="376" t="s">
        <v>34</v>
      </c>
      <c r="H17" s="383" t="s">
        <v>5579</v>
      </c>
    </row>
    <row r="18" ht="15.75" customHeight="1">
      <c r="A18" s="562">
        <v>17.0</v>
      </c>
      <c r="B18" s="563" t="s">
        <v>5580</v>
      </c>
      <c r="C18" s="570">
        <v>42288.0</v>
      </c>
      <c r="D18" s="562">
        <v>9.82802869E8</v>
      </c>
      <c r="E18" s="564" t="s">
        <v>5578</v>
      </c>
      <c r="F18" s="43" t="s">
        <v>111</v>
      </c>
      <c r="G18" s="376" t="s">
        <v>216</v>
      </c>
    </row>
    <row r="19" ht="15.75" customHeight="1">
      <c r="A19" s="562">
        <v>18.0</v>
      </c>
      <c r="B19" s="563" t="s">
        <v>5581</v>
      </c>
      <c r="C19" s="562">
        <v>2017.0</v>
      </c>
      <c r="D19" s="562">
        <v>9.32598072E8</v>
      </c>
      <c r="E19" s="564" t="s">
        <v>5582</v>
      </c>
      <c r="F19" s="43" t="s">
        <v>111</v>
      </c>
      <c r="G19" s="376" t="s">
        <v>34</v>
      </c>
      <c r="H19" s="383" t="s">
        <v>5054</v>
      </c>
    </row>
    <row r="20" ht="15.75" customHeight="1">
      <c r="A20" s="562">
        <v>19.0</v>
      </c>
      <c r="B20" s="563" t="s">
        <v>5583</v>
      </c>
      <c r="C20" s="562">
        <v>2018.0</v>
      </c>
      <c r="D20" s="562">
        <v>9.81241889E8</v>
      </c>
      <c r="E20" s="564" t="s">
        <v>191</v>
      </c>
      <c r="F20" s="43" t="s">
        <v>111</v>
      </c>
      <c r="G20" s="376" t="s">
        <v>34</v>
      </c>
      <c r="H20" s="383" t="s">
        <v>5584</v>
      </c>
    </row>
    <row r="21" ht="15.75" customHeight="1">
      <c r="A21" s="562">
        <v>20.0</v>
      </c>
      <c r="B21" s="563" t="s">
        <v>5585</v>
      </c>
      <c r="C21" s="562">
        <v>2015.0</v>
      </c>
      <c r="D21" s="562">
        <v>9.01583385E8</v>
      </c>
      <c r="E21" s="564" t="s">
        <v>5586</v>
      </c>
      <c r="F21" s="43" t="s">
        <v>111</v>
      </c>
      <c r="G21" s="376"/>
    </row>
    <row r="22" ht="15.75" customHeight="1">
      <c r="A22" s="562">
        <v>21.0</v>
      </c>
      <c r="B22" s="563" t="s">
        <v>5587</v>
      </c>
      <c r="C22" s="562">
        <v>2018.0</v>
      </c>
      <c r="D22" s="562">
        <v>9.75186193E8</v>
      </c>
      <c r="E22" s="564" t="s">
        <v>5588</v>
      </c>
      <c r="F22" s="43" t="s">
        <v>111</v>
      </c>
      <c r="G22" s="376"/>
    </row>
    <row r="23" ht="15.75" customHeight="1">
      <c r="A23" s="562">
        <v>22.0</v>
      </c>
      <c r="B23" s="563" t="s">
        <v>5589</v>
      </c>
      <c r="C23" s="562">
        <v>2012.0</v>
      </c>
      <c r="D23" s="562">
        <v>9.79168681E8</v>
      </c>
      <c r="E23" s="564" t="s">
        <v>191</v>
      </c>
      <c r="F23" s="43" t="s">
        <v>111</v>
      </c>
      <c r="G23" s="376" t="s">
        <v>34</v>
      </c>
      <c r="H23" s="383" t="s">
        <v>5590</v>
      </c>
    </row>
    <row r="24" ht="15.75" customHeight="1">
      <c r="A24" s="562">
        <v>23.0</v>
      </c>
      <c r="B24" s="563" t="s">
        <v>5591</v>
      </c>
      <c r="C24" s="562">
        <v>2011.0</v>
      </c>
      <c r="D24" s="562">
        <v>9.02222764E8</v>
      </c>
      <c r="E24" s="564" t="s">
        <v>5592</v>
      </c>
      <c r="F24" s="43" t="s">
        <v>111</v>
      </c>
      <c r="G24" s="376" t="s">
        <v>34</v>
      </c>
      <c r="H24" s="383" t="s">
        <v>5593</v>
      </c>
    </row>
    <row r="25" ht="15.75" customHeight="1">
      <c r="A25" s="562">
        <v>24.0</v>
      </c>
      <c r="B25" s="563" t="s">
        <v>5594</v>
      </c>
      <c r="C25" s="562">
        <v>2013.0</v>
      </c>
      <c r="D25" s="562">
        <v>9.02222764E8</v>
      </c>
      <c r="E25" s="564" t="s">
        <v>191</v>
      </c>
      <c r="F25" s="43" t="s">
        <v>111</v>
      </c>
      <c r="G25" s="376" t="s">
        <v>34</v>
      </c>
      <c r="H25" s="383" t="s">
        <v>5595</v>
      </c>
    </row>
    <row r="26" ht="15.75" customHeight="1">
      <c r="A26" s="562">
        <v>25.0</v>
      </c>
      <c r="B26" s="563" t="s">
        <v>5596</v>
      </c>
      <c r="C26" s="562">
        <v>2019.0</v>
      </c>
      <c r="D26" s="562">
        <v>9.84304344E8</v>
      </c>
      <c r="E26" s="564" t="s">
        <v>5597</v>
      </c>
      <c r="F26" s="43" t="s">
        <v>111</v>
      </c>
      <c r="G26" s="376"/>
    </row>
    <row r="27" ht="15.75" customHeight="1">
      <c r="A27" s="562">
        <v>26.0</v>
      </c>
      <c r="B27" s="563" t="s">
        <v>5598</v>
      </c>
      <c r="C27" s="562">
        <v>2018.0</v>
      </c>
      <c r="D27" s="568" t="s">
        <v>5599</v>
      </c>
      <c r="E27" s="564" t="s">
        <v>5565</v>
      </c>
      <c r="F27" s="43" t="s">
        <v>111</v>
      </c>
      <c r="G27" s="376" t="s">
        <v>216</v>
      </c>
      <c r="H27" s="383" t="s">
        <v>5045</v>
      </c>
    </row>
    <row r="28" ht="15.75" customHeight="1">
      <c r="A28" s="562">
        <v>27.0</v>
      </c>
      <c r="B28" s="563" t="s">
        <v>5600</v>
      </c>
      <c r="C28" s="562">
        <v>2018.0</v>
      </c>
      <c r="D28" s="562">
        <v>9.6761015E8</v>
      </c>
      <c r="E28" s="564" t="s">
        <v>5601</v>
      </c>
      <c r="F28" s="43" t="s">
        <v>111</v>
      </c>
      <c r="G28" s="376" t="s">
        <v>34</v>
      </c>
      <c r="H28" s="383" t="s">
        <v>5054</v>
      </c>
    </row>
    <row r="29" ht="15.75" customHeight="1">
      <c r="A29" s="562">
        <v>28.0</v>
      </c>
      <c r="B29" s="563" t="s">
        <v>5602</v>
      </c>
      <c r="C29" s="562">
        <v>2012.0</v>
      </c>
      <c r="D29" s="568" t="s">
        <v>5603</v>
      </c>
      <c r="E29" s="564" t="s">
        <v>5604</v>
      </c>
      <c r="F29" s="43" t="s">
        <v>111</v>
      </c>
      <c r="G29" s="376" t="s">
        <v>565</v>
      </c>
      <c r="H29" s="383" t="s">
        <v>5605</v>
      </c>
    </row>
    <row r="30" ht="15.75" customHeight="1">
      <c r="A30" s="562">
        <v>29.0</v>
      </c>
      <c r="B30" s="563" t="s">
        <v>5606</v>
      </c>
      <c r="C30" s="562">
        <v>2015.0</v>
      </c>
      <c r="D30" s="568" t="s">
        <v>5603</v>
      </c>
      <c r="E30" s="564" t="s">
        <v>5604</v>
      </c>
      <c r="F30" s="43" t="s">
        <v>111</v>
      </c>
      <c r="G30" s="376"/>
    </row>
    <row r="31" ht="15.75" customHeight="1">
      <c r="A31" s="562">
        <v>30.0</v>
      </c>
      <c r="B31" s="563" t="s">
        <v>5607</v>
      </c>
      <c r="C31" s="562">
        <v>2014.0</v>
      </c>
      <c r="D31" s="562">
        <v>9.87745848E8</v>
      </c>
      <c r="E31" s="564" t="s">
        <v>191</v>
      </c>
      <c r="F31" s="43" t="s">
        <v>111</v>
      </c>
      <c r="G31" s="376"/>
    </row>
    <row r="32" ht="15.75" customHeight="1">
      <c r="A32" s="562">
        <v>31.0</v>
      </c>
      <c r="B32" s="563" t="s">
        <v>5608</v>
      </c>
      <c r="C32" s="562">
        <v>2017.0</v>
      </c>
      <c r="D32" s="562">
        <v>9.04745691E8</v>
      </c>
      <c r="E32" s="564" t="s">
        <v>191</v>
      </c>
      <c r="F32" s="43" t="s">
        <v>111</v>
      </c>
      <c r="G32" s="376" t="s">
        <v>34</v>
      </c>
      <c r="H32" s="383" t="s">
        <v>4857</v>
      </c>
    </row>
    <row r="33" ht="15.75" customHeight="1">
      <c r="A33" s="562">
        <v>32.0</v>
      </c>
      <c r="B33" s="563" t="s">
        <v>1252</v>
      </c>
      <c r="C33" s="562">
        <v>2015.0</v>
      </c>
      <c r="D33" s="562">
        <v>3.88137561E8</v>
      </c>
      <c r="E33" s="564" t="s">
        <v>5609</v>
      </c>
      <c r="F33" s="43" t="s">
        <v>111</v>
      </c>
      <c r="G33" s="376"/>
    </row>
    <row r="34" ht="15.75" customHeight="1">
      <c r="A34" s="562">
        <v>33.0</v>
      </c>
      <c r="B34" s="563" t="s">
        <v>5610</v>
      </c>
      <c r="C34" s="562">
        <v>2015.0</v>
      </c>
      <c r="D34" s="562">
        <v>9.88507252E8</v>
      </c>
      <c r="E34" s="564" t="s">
        <v>191</v>
      </c>
      <c r="F34" s="43" t="s">
        <v>111</v>
      </c>
      <c r="G34" s="376"/>
    </row>
    <row r="35" ht="15.75" customHeight="1">
      <c r="A35" s="562">
        <v>34.0</v>
      </c>
      <c r="B35" s="563" t="s">
        <v>5611</v>
      </c>
      <c r="C35" s="562">
        <v>2018.0</v>
      </c>
      <c r="D35" s="562">
        <v>9.88507252E8</v>
      </c>
      <c r="E35" s="564" t="s">
        <v>191</v>
      </c>
      <c r="F35" s="43" t="s">
        <v>111</v>
      </c>
      <c r="G35" s="376" t="s">
        <v>216</v>
      </c>
      <c r="H35" s="383" t="s">
        <v>5045</v>
      </c>
    </row>
    <row r="36" ht="15.75" customHeight="1">
      <c r="A36" s="562">
        <v>35.0</v>
      </c>
      <c r="B36" s="563" t="s">
        <v>5612</v>
      </c>
      <c r="C36" s="562">
        <v>2016.0</v>
      </c>
      <c r="D36" s="562">
        <v>9.74498906E8</v>
      </c>
      <c r="E36" s="571"/>
      <c r="F36" s="43" t="s">
        <v>111</v>
      </c>
      <c r="G36" s="376"/>
    </row>
    <row r="37" ht="15.75" customHeight="1">
      <c r="A37" s="562">
        <v>36.0</v>
      </c>
      <c r="B37" s="563" t="s">
        <v>5613</v>
      </c>
      <c r="C37" s="562">
        <v>2017.0</v>
      </c>
      <c r="D37" s="562">
        <v>9.67414913E8</v>
      </c>
      <c r="E37" s="564" t="s">
        <v>5614</v>
      </c>
      <c r="F37" s="43" t="s">
        <v>111</v>
      </c>
      <c r="G37" s="376" t="s">
        <v>34</v>
      </c>
    </row>
    <row r="38" ht="15.75" customHeight="1">
      <c r="A38" s="562">
        <v>37.0</v>
      </c>
      <c r="B38" s="563" t="s">
        <v>5615</v>
      </c>
      <c r="C38" s="562">
        <v>2017.0</v>
      </c>
      <c r="D38" s="562">
        <v>9.79554624E8</v>
      </c>
      <c r="E38" s="564" t="s">
        <v>191</v>
      </c>
      <c r="F38" s="43" t="s">
        <v>111</v>
      </c>
      <c r="G38" s="376" t="s">
        <v>34</v>
      </c>
    </row>
    <row r="39" ht="15.75" customHeight="1">
      <c r="A39" s="562">
        <v>38.0</v>
      </c>
      <c r="B39" s="563" t="s">
        <v>5616</v>
      </c>
      <c r="C39" s="562">
        <v>2014.0</v>
      </c>
      <c r="D39" s="562">
        <v>9.79554624E8</v>
      </c>
      <c r="E39" s="564" t="s">
        <v>191</v>
      </c>
      <c r="F39" s="43" t="s">
        <v>111</v>
      </c>
      <c r="G39" s="376"/>
    </row>
    <row r="40" ht="15.75" customHeight="1">
      <c r="A40" s="562">
        <v>39.0</v>
      </c>
      <c r="B40" s="563" t="s">
        <v>5617</v>
      </c>
      <c r="C40" s="562">
        <v>2017.0</v>
      </c>
      <c r="D40" s="562">
        <v>9.65569986E8</v>
      </c>
      <c r="E40" s="564" t="s">
        <v>191</v>
      </c>
      <c r="F40" s="43" t="s">
        <v>111</v>
      </c>
      <c r="G40" s="376" t="s">
        <v>34</v>
      </c>
    </row>
    <row r="41" ht="15.75" customHeight="1">
      <c r="A41" s="562">
        <v>40.0</v>
      </c>
      <c r="B41" s="563" t="s">
        <v>5618</v>
      </c>
      <c r="C41" s="562">
        <v>2016.0</v>
      </c>
      <c r="D41" s="568" t="s">
        <v>5619</v>
      </c>
      <c r="E41" s="564" t="s">
        <v>5620</v>
      </c>
      <c r="F41" s="43" t="s">
        <v>111</v>
      </c>
      <c r="G41" s="376"/>
    </row>
    <row r="42" ht="15.75" customHeight="1">
      <c r="A42" s="562">
        <v>41.0</v>
      </c>
      <c r="B42" s="563" t="s">
        <v>5621</v>
      </c>
      <c r="C42" s="562">
        <v>2016.0</v>
      </c>
      <c r="D42" s="562">
        <v>9.82427276E8</v>
      </c>
      <c r="E42" s="564" t="s">
        <v>191</v>
      </c>
      <c r="F42" s="43" t="s">
        <v>111</v>
      </c>
      <c r="G42" s="376"/>
    </row>
    <row r="43" ht="15.75" customHeight="1">
      <c r="A43" s="562">
        <v>42.0</v>
      </c>
      <c r="B43" s="563" t="s">
        <v>5622</v>
      </c>
      <c r="C43" s="562">
        <v>2014.0</v>
      </c>
      <c r="D43" s="562">
        <v>9.79363099E8</v>
      </c>
      <c r="E43" s="564" t="s">
        <v>5614</v>
      </c>
      <c r="F43" s="43" t="s">
        <v>111</v>
      </c>
      <c r="G43" s="376"/>
    </row>
    <row r="44" ht="15.75" customHeight="1">
      <c r="A44" s="562">
        <v>44.0</v>
      </c>
      <c r="B44" s="563" t="s">
        <v>5623</v>
      </c>
      <c r="C44" s="562">
        <v>2012.0</v>
      </c>
      <c r="D44" s="562">
        <v>9.74647724E8</v>
      </c>
      <c r="E44" s="564" t="s">
        <v>5624</v>
      </c>
      <c r="F44" s="43" t="s">
        <v>111</v>
      </c>
      <c r="G44" s="376" t="s">
        <v>34</v>
      </c>
      <c r="H44" s="383" t="s">
        <v>5625</v>
      </c>
    </row>
    <row r="45" ht="15.75" customHeight="1">
      <c r="A45" s="562">
        <v>45.0</v>
      </c>
      <c r="B45" s="563" t="s">
        <v>5626</v>
      </c>
      <c r="C45" s="562">
        <v>2016.0</v>
      </c>
      <c r="D45" s="562">
        <v>9.85539912E8</v>
      </c>
      <c r="E45" s="564" t="s">
        <v>5627</v>
      </c>
      <c r="F45" s="43" t="s">
        <v>111</v>
      </c>
      <c r="G45" s="376"/>
    </row>
    <row r="46" ht="15.75" customHeight="1">
      <c r="A46" s="562">
        <v>46.0</v>
      </c>
      <c r="B46" s="563" t="s">
        <v>3108</v>
      </c>
      <c r="C46" s="562">
        <v>2016.0</v>
      </c>
      <c r="D46" s="562">
        <v>9.85126337E8</v>
      </c>
      <c r="E46" s="564" t="s">
        <v>5628</v>
      </c>
      <c r="F46" s="43" t="s">
        <v>111</v>
      </c>
      <c r="G46" s="376" t="s">
        <v>565</v>
      </c>
      <c r="H46" s="383" t="s">
        <v>5090</v>
      </c>
    </row>
    <row r="47" ht="15.75" customHeight="1">
      <c r="A47" s="562">
        <v>47.0</v>
      </c>
      <c r="B47" s="563" t="s">
        <v>5629</v>
      </c>
      <c r="C47" s="562">
        <v>2019.0</v>
      </c>
      <c r="D47" s="562">
        <v>9.85126337E8</v>
      </c>
      <c r="E47" s="564" t="s">
        <v>5628</v>
      </c>
      <c r="F47" s="43" t="s">
        <v>111</v>
      </c>
      <c r="G47" s="376" t="s">
        <v>34</v>
      </c>
      <c r="H47" s="383" t="s">
        <v>5630</v>
      </c>
    </row>
    <row r="48" ht="15.75" customHeight="1">
      <c r="A48" s="562">
        <v>48.0</v>
      </c>
      <c r="B48" s="563" t="s">
        <v>5631</v>
      </c>
      <c r="C48" s="562">
        <v>2015.0</v>
      </c>
      <c r="D48" s="562">
        <v>9.82518825E8</v>
      </c>
      <c r="E48" s="564" t="s">
        <v>5632</v>
      </c>
      <c r="F48" s="43" t="s">
        <v>111</v>
      </c>
      <c r="G48" s="376"/>
    </row>
    <row r="49" ht="15.75" customHeight="1">
      <c r="A49" s="562">
        <v>49.0</v>
      </c>
      <c r="B49" s="563" t="s">
        <v>5633</v>
      </c>
      <c r="C49" s="562">
        <v>2013.0</v>
      </c>
      <c r="D49" s="562">
        <v>9.82518825E8</v>
      </c>
      <c r="E49" s="564" t="s">
        <v>5632</v>
      </c>
      <c r="F49" s="43" t="s">
        <v>111</v>
      </c>
      <c r="G49" s="376"/>
    </row>
    <row r="50" ht="15.75" customHeight="1">
      <c r="A50" s="562">
        <v>50.0</v>
      </c>
      <c r="B50" s="563" t="s">
        <v>5634</v>
      </c>
      <c r="C50" s="562">
        <v>2014.0</v>
      </c>
      <c r="D50" s="562">
        <v>9.34917179E8</v>
      </c>
      <c r="E50" s="564" t="s">
        <v>5635</v>
      </c>
      <c r="F50" s="43" t="s">
        <v>111</v>
      </c>
      <c r="G50" s="376"/>
    </row>
    <row r="51" ht="15.75" customHeight="1">
      <c r="A51" s="562">
        <v>51.0</v>
      </c>
      <c r="B51" s="563" t="s">
        <v>5636</v>
      </c>
      <c r="C51" s="562">
        <v>2015.0</v>
      </c>
      <c r="D51" s="562">
        <v>9.88238795E8</v>
      </c>
      <c r="E51" s="564" t="s">
        <v>5637</v>
      </c>
      <c r="F51" s="43" t="s">
        <v>111</v>
      </c>
      <c r="G51" s="376"/>
    </row>
    <row r="52" ht="15.75" customHeight="1">
      <c r="A52" s="562">
        <v>52.0</v>
      </c>
      <c r="B52" s="563" t="s">
        <v>5638</v>
      </c>
      <c r="C52" s="562">
        <v>2016.0</v>
      </c>
      <c r="D52" s="562">
        <v>9.82143587E8</v>
      </c>
      <c r="E52" s="564" t="s">
        <v>5639</v>
      </c>
      <c r="F52" s="43" t="s">
        <v>111</v>
      </c>
      <c r="G52" s="376"/>
    </row>
    <row r="53" ht="15.75" customHeight="1">
      <c r="A53" s="562">
        <v>53.0</v>
      </c>
      <c r="B53" s="563" t="s">
        <v>5640</v>
      </c>
      <c r="C53" s="562">
        <v>2017.0</v>
      </c>
      <c r="D53" s="562">
        <v>9.82143587E8</v>
      </c>
      <c r="E53" s="564" t="s">
        <v>5639</v>
      </c>
      <c r="F53" s="43" t="s">
        <v>111</v>
      </c>
      <c r="G53" s="376" t="s">
        <v>34</v>
      </c>
    </row>
    <row r="54" ht="15.75" customHeight="1">
      <c r="A54" s="562">
        <v>54.0</v>
      </c>
      <c r="B54" s="563" t="s">
        <v>5641</v>
      </c>
      <c r="C54" s="562">
        <v>2019.0</v>
      </c>
      <c r="D54" s="568" t="s">
        <v>5642</v>
      </c>
      <c r="E54" s="564" t="s">
        <v>5643</v>
      </c>
      <c r="F54" s="43" t="s">
        <v>111</v>
      </c>
      <c r="G54" s="376" t="s">
        <v>34</v>
      </c>
      <c r="H54" s="383" t="s">
        <v>5644</v>
      </c>
    </row>
    <row r="55" ht="15.75" customHeight="1">
      <c r="A55" s="562">
        <v>55.0</v>
      </c>
      <c r="B55" s="563" t="s">
        <v>5645</v>
      </c>
      <c r="C55" s="570">
        <v>41044.0</v>
      </c>
      <c r="D55" s="562">
        <v>9.03585752E8</v>
      </c>
      <c r="E55" s="564" t="s">
        <v>5628</v>
      </c>
      <c r="F55" s="43" t="s">
        <v>111</v>
      </c>
      <c r="G55" s="376"/>
    </row>
    <row r="56" ht="15.75" customHeight="1">
      <c r="A56" s="562">
        <v>56.0</v>
      </c>
      <c r="B56" s="563" t="s">
        <v>5646</v>
      </c>
      <c r="C56" s="562">
        <v>2015.0</v>
      </c>
      <c r="D56" s="562">
        <v>9.84473685E8</v>
      </c>
      <c r="E56" s="564" t="s">
        <v>191</v>
      </c>
      <c r="F56" s="43" t="s">
        <v>111</v>
      </c>
      <c r="G56" s="376"/>
    </row>
    <row r="57" ht="15.75" customHeight="1">
      <c r="A57" s="562">
        <v>57.0</v>
      </c>
      <c r="B57" s="563" t="s">
        <v>5647</v>
      </c>
      <c r="C57" s="562">
        <v>2016.0</v>
      </c>
      <c r="D57" s="568" t="s">
        <v>5648</v>
      </c>
      <c r="E57" s="564" t="s">
        <v>5543</v>
      </c>
      <c r="F57" s="43" t="s">
        <v>111</v>
      </c>
      <c r="G57" s="376"/>
    </row>
    <row r="58" ht="15.75" customHeight="1">
      <c r="A58" s="562">
        <v>58.0</v>
      </c>
      <c r="B58" s="563" t="s">
        <v>5649</v>
      </c>
      <c r="C58" s="562">
        <v>2017.0</v>
      </c>
      <c r="D58" s="562">
        <v>9.88210358E8</v>
      </c>
      <c r="E58" s="564" t="s">
        <v>5650</v>
      </c>
      <c r="F58" s="43" t="s">
        <v>111</v>
      </c>
      <c r="G58" s="376" t="s">
        <v>565</v>
      </c>
    </row>
    <row r="59" ht="15.75" customHeight="1">
      <c r="A59" s="562">
        <v>59.0</v>
      </c>
      <c r="B59" s="563" t="s">
        <v>1554</v>
      </c>
      <c r="C59" s="562">
        <v>2017.0</v>
      </c>
      <c r="D59" s="568" t="s">
        <v>5651</v>
      </c>
      <c r="E59" s="564" t="s">
        <v>5543</v>
      </c>
      <c r="F59" s="43" t="s">
        <v>111</v>
      </c>
      <c r="G59" s="376" t="s">
        <v>34</v>
      </c>
    </row>
    <row r="60" ht="15.75" customHeight="1">
      <c r="A60" s="562">
        <v>60.0</v>
      </c>
      <c r="B60" s="563" t="s">
        <v>5652</v>
      </c>
      <c r="C60" s="562">
        <v>2017.0</v>
      </c>
      <c r="D60" s="562">
        <v>9.67369273E8</v>
      </c>
      <c r="E60" s="564" t="s">
        <v>5650</v>
      </c>
      <c r="F60" s="43" t="s">
        <v>111</v>
      </c>
      <c r="G60" s="376" t="s">
        <v>34</v>
      </c>
    </row>
    <row r="61" ht="15.75" customHeight="1">
      <c r="A61" s="562">
        <v>61.0</v>
      </c>
      <c r="B61" s="563" t="s">
        <v>5653</v>
      </c>
      <c r="C61" s="562">
        <v>2013.0</v>
      </c>
      <c r="D61" s="562">
        <v>3.83546279E8</v>
      </c>
      <c r="E61" s="564" t="s">
        <v>5654</v>
      </c>
      <c r="F61" s="43" t="s">
        <v>111</v>
      </c>
      <c r="G61" s="376"/>
    </row>
    <row r="62" ht="15.75" customHeight="1">
      <c r="A62" s="562">
        <v>62.0</v>
      </c>
      <c r="B62" s="563" t="s">
        <v>5655</v>
      </c>
      <c r="C62" s="562">
        <v>2011.0</v>
      </c>
      <c r="D62" s="562">
        <v>9.87931984E8</v>
      </c>
      <c r="E62" s="564" t="s">
        <v>5656</v>
      </c>
      <c r="F62" s="43" t="s">
        <v>111</v>
      </c>
      <c r="G62" s="376" t="s">
        <v>216</v>
      </c>
    </row>
    <row r="63" ht="15.75" customHeight="1">
      <c r="A63" s="562">
        <v>63.0</v>
      </c>
      <c r="B63" s="563" t="s">
        <v>5657</v>
      </c>
      <c r="C63" s="562">
        <v>2013.0</v>
      </c>
      <c r="D63" s="562">
        <v>9.87931984E8</v>
      </c>
      <c r="E63" s="564" t="s">
        <v>5656</v>
      </c>
      <c r="F63" s="43" t="s">
        <v>111</v>
      </c>
      <c r="G63" s="376"/>
    </row>
    <row r="64" ht="15.75" customHeight="1">
      <c r="A64" s="562">
        <v>64.0</v>
      </c>
      <c r="B64" s="563" t="s">
        <v>5658</v>
      </c>
      <c r="C64" s="572">
        <v>43952.0</v>
      </c>
      <c r="D64" s="568" t="s">
        <v>5659</v>
      </c>
      <c r="E64" s="564" t="s">
        <v>5660</v>
      </c>
      <c r="F64" s="43" t="s">
        <v>111</v>
      </c>
      <c r="G64" s="376" t="s">
        <v>34</v>
      </c>
      <c r="H64" s="383" t="s">
        <v>5661</v>
      </c>
    </row>
    <row r="65" ht="15.75" customHeight="1">
      <c r="A65" s="562">
        <v>65.0</v>
      </c>
      <c r="B65" s="563" t="s">
        <v>5662</v>
      </c>
      <c r="C65" s="570">
        <v>41133.0</v>
      </c>
      <c r="D65" s="568" t="s">
        <v>5663</v>
      </c>
      <c r="E65" s="564" t="s">
        <v>5660</v>
      </c>
      <c r="F65" s="43" t="s">
        <v>111</v>
      </c>
      <c r="G65" s="376"/>
    </row>
    <row r="66" ht="15.75" customHeight="1">
      <c r="A66" s="562">
        <v>66.0</v>
      </c>
      <c r="B66" s="563" t="s">
        <v>5664</v>
      </c>
      <c r="C66" s="562">
        <v>2014.0</v>
      </c>
      <c r="D66" s="562">
        <v>3.47944794E8</v>
      </c>
      <c r="E66" s="564" t="s">
        <v>5665</v>
      </c>
      <c r="F66" s="43" t="s">
        <v>111</v>
      </c>
      <c r="G66" s="376"/>
    </row>
    <row r="67" ht="15.75" customHeight="1">
      <c r="A67" s="562">
        <v>67.0</v>
      </c>
      <c r="B67" s="563" t="s">
        <v>5666</v>
      </c>
      <c r="C67" s="570">
        <v>41220.0</v>
      </c>
      <c r="D67" s="562">
        <v>9.76484684E8</v>
      </c>
      <c r="E67" s="564" t="s">
        <v>5660</v>
      </c>
      <c r="F67" s="43" t="s">
        <v>111</v>
      </c>
      <c r="G67" s="376"/>
    </row>
    <row r="68" ht="15.75" customHeight="1">
      <c r="A68" s="562">
        <v>68.0</v>
      </c>
      <c r="B68" s="563" t="s">
        <v>5667</v>
      </c>
      <c r="C68" s="572">
        <v>41061.0</v>
      </c>
      <c r="D68" s="568" t="s">
        <v>5668</v>
      </c>
      <c r="E68" s="564" t="s">
        <v>5660</v>
      </c>
      <c r="F68" s="43" t="s">
        <v>111</v>
      </c>
      <c r="G68" s="376" t="s">
        <v>34</v>
      </c>
    </row>
    <row r="69" ht="15.75" customHeight="1">
      <c r="A69" s="562">
        <v>69.0</v>
      </c>
      <c r="B69" s="563" t="s">
        <v>5669</v>
      </c>
      <c r="C69" s="572">
        <v>41852.0</v>
      </c>
      <c r="D69" s="568" t="s">
        <v>5670</v>
      </c>
      <c r="E69" s="564" t="s">
        <v>5660</v>
      </c>
      <c r="F69" s="43" t="s">
        <v>111</v>
      </c>
      <c r="G69" s="376"/>
    </row>
    <row r="70" ht="15.75" customHeight="1">
      <c r="A70" s="562">
        <v>70.0</v>
      </c>
      <c r="B70" s="563" t="s">
        <v>5671</v>
      </c>
      <c r="C70" s="569">
        <v>42436.0</v>
      </c>
      <c r="D70" s="562">
        <v>9.44952515E8</v>
      </c>
      <c r="E70" s="564" t="s">
        <v>5672</v>
      </c>
      <c r="F70" s="43" t="s">
        <v>111</v>
      </c>
      <c r="G70" s="376" t="s">
        <v>34</v>
      </c>
    </row>
    <row r="71" ht="15.75" customHeight="1">
      <c r="A71" s="562">
        <v>71.0</v>
      </c>
      <c r="B71" s="563" t="s">
        <v>5673</v>
      </c>
      <c r="C71" s="572">
        <v>41791.0</v>
      </c>
      <c r="D71" s="562">
        <v>8.67048593E8</v>
      </c>
      <c r="E71" s="564" t="s">
        <v>5586</v>
      </c>
      <c r="F71" s="43" t="s">
        <v>111</v>
      </c>
      <c r="G71" s="376"/>
    </row>
    <row r="72" ht="15.75" customHeight="1">
      <c r="A72" s="562">
        <v>72.0</v>
      </c>
      <c r="B72" s="563" t="s">
        <v>5674</v>
      </c>
      <c r="C72" s="570">
        <v>43115.0</v>
      </c>
      <c r="D72" s="562">
        <v>3.74700233E8</v>
      </c>
      <c r="E72" s="564" t="s">
        <v>5675</v>
      </c>
      <c r="F72" s="43" t="s">
        <v>111</v>
      </c>
      <c r="G72" s="376" t="s">
        <v>216</v>
      </c>
      <c r="H72" s="383" t="s">
        <v>4997</v>
      </c>
    </row>
    <row r="73" ht="15.75" customHeight="1">
      <c r="A73" s="562">
        <v>73.0</v>
      </c>
      <c r="B73" s="563" t="s">
        <v>5676</v>
      </c>
      <c r="C73" s="570">
        <v>41436.0</v>
      </c>
      <c r="D73" s="562">
        <v>9.86318518E8</v>
      </c>
      <c r="E73" s="564" t="s">
        <v>5660</v>
      </c>
      <c r="F73" s="43" t="s">
        <v>111</v>
      </c>
      <c r="G73" s="376"/>
    </row>
    <row r="74" ht="15.75" customHeight="1">
      <c r="A74" s="562">
        <v>74.0</v>
      </c>
      <c r="B74" s="563" t="s">
        <v>5677</v>
      </c>
      <c r="C74" s="569">
        <v>41087.0</v>
      </c>
      <c r="D74" s="562">
        <v>9.76611817E8</v>
      </c>
      <c r="E74" s="564" t="s">
        <v>5650</v>
      </c>
      <c r="F74" s="43" t="s">
        <v>111</v>
      </c>
      <c r="G74" s="376"/>
    </row>
    <row r="75" ht="15.75" customHeight="1">
      <c r="A75" s="562">
        <v>75.0</v>
      </c>
      <c r="B75" s="573" t="s">
        <v>5678</v>
      </c>
      <c r="C75" s="570">
        <v>43824.0</v>
      </c>
      <c r="D75" s="562">
        <v>9.63117731E8</v>
      </c>
      <c r="E75" s="564" t="s">
        <v>5679</v>
      </c>
      <c r="F75" s="43" t="s">
        <v>111</v>
      </c>
      <c r="G75" s="376" t="s">
        <v>34</v>
      </c>
      <c r="H75" s="383" t="s">
        <v>5054</v>
      </c>
    </row>
    <row r="76" ht="15.75" customHeight="1">
      <c r="A76" s="562">
        <v>76.0</v>
      </c>
      <c r="B76" s="563" t="s">
        <v>5680</v>
      </c>
      <c r="C76" s="570">
        <v>41630.0</v>
      </c>
      <c r="D76" s="562">
        <v>7.72998307E8</v>
      </c>
      <c r="E76" s="564" t="s">
        <v>5660</v>
      </c>
      <c r="F76" s="43" t="s">
        <v>111</v>
      </c>
      <c r="G76" s="376"/>
    </row>
    <row r="77" ht="15.75" customHeight="1">
      <c r="A77" s="562">
        <v>77.0</v>
      </c>
      <c r="B77" s="563" t="s">
        <v>5681</v>
      </c>
      <c r="C77" s="569">
        <v>42939.0</v>
      </c>
      <c r="D77" s="568" t="s">
        <v>5682</v>
      </c>
      <c r="E77" s="564" t="s">
        <v>191</v>
      </c>
      <c r="F77" s="43" t="s">
        <v>111</v>
      </c>
      <c r="G77" s="376" t="s">
        <v>216</v>
      </c>
      <c r="H77" s="383" t="s">
        <v>4853</v>
      </c>
    </row>
    <row r="78" ht="15.75" customHeight="1">
      <c r="A78" s="562">
        <v>78.0</v>
      </c>
      <c r="B78" s="563" t="s">
        <v>5683</v>
      </c>
      <c r="C78" s="570">
        <v>42004.0</v>
      </c>
      <c r="D78" s="568" t="s">
        <v>5684</v>
      </c>
      <c r="E78" s="564" t="s">
        <v>191</v>
      </c>
      <c r="F78" s="43" t="s">
        <v>111</v>
      </c>
      <c r="G78" s="376"/>
    </row>
    <row r="79" ht="15.75" customHeight="1">
      <c r="A79" s="562">
        <v>79.0</v>
      </c>
      <c r="B79" s="563" t="s">
        <v>5685</v>
      </c>
      <c r="C79" s="570">
        <v>42668.0</v>
      </c>
      <c r="D79" s="562">
        <v>3.54788891E8</v>
      </c>
      <c r="E79" s="564" t="s">
        <v>5686</v>
      </c>
      <c r="F79" s="43" t="s">
        <v>111</v>
      </c>
      <c r="G79" s="376" t="s">
        <v>34</v>
      </c>
    </row>
    <row r="80" ht="15.75" customHeight="1">
      <c r="A80" s="562">
        <v>80.0</v>
      </c>
      <c r="B80" s="563" t="s">
        <v>5612</v>
      </c>
      <c r="C80" s="570">
        <v>42571.0</v>
      </c>
      <c r="D80" s="562">
        <v>9.74498906E8</v>
      </c>
      <c r="E80" s="564" t="s">
        <v>5620</v>
      </c>
      <c r="F80" s="43" t="s">
        <v>111</v>
      </c>
      <c r="G80" s="376" t="s">
        <v>565</v>
      </c>
      <c r="H80" s="383" t="s">
        <v>5687</v>
      </c>
    </row>
    <row r="81" ht="15.75" customHeight="1">
      <c r="A81" s="562">
        <v>81.0</v>
      </c>
      <c r="B81" s="563" t="s">
        <v>5688</v>
      </c>
      <c r="C81" s="570">
        <v>41131.0</v>
      </c>
      <c r="D81" s="562">
        <v>9.74498906E8</v>
      </c>
      <c r="E81" s="564" t="s">
        <v>5620</v>
      </c>
      <c r="F81" s="43" t="s">
        <v>111</v>
      </c>
      <c r="G81" s="376" t="s">
        <v>565</v>
      </c>
    </row>
    <row r="82" ht="15.75" customHeight="1">
      <c r="A82" s="562">
        <v>82.0</v>
      </c>
      <c r="B82" s="563" t="s">
        <v>5689</v>
      </c>
      <c r="C82" s="570">
        <v>41234.0</v>
      </c>
      <c r="D82" s="562">
        <v>8.062434909E9</v>
      </c>
      <c r="E82" s="564" t="s">
        <v>5624</v>
      </c>
      <c r="F82" s="43" t="s">
        <v>111</v>
      </c>
      <c r="G82" s="376"/>
    </row>
    <row r="83" ht="15.75" customHeight="1">
      <c r="A83" s="562">
        <v>83.0</v>
      </c>
      <c r="B83" s="563" t="s">
        <v>5690</v>
      </c>
      <c r="C83" s="570">
        <v>42286.0</v>
      </c>
      <c r="D83" s="562">
        <v>9.45887467E8</v>
      </c>
      <c r="E83" s="564" t="s">
        <v>5624</v>
      </c>
      <c r="F83" s="43" t="s">
        <v>111</v>
      </c>
      <c r="G83" s="376" t="s">
        <v>216</v>
      </c>
    </row>
    <row r="84" ht="15.75" customHeight="1">
      <c r="A84" s="562">
        <v>84.0</v>
      </c>
      <c r="B84" s="563" t="s">
        <v>876</v>
      </c>
      <c r="C84" s="562">
        <v>2017.0</v>
      </c>
      <c r="D84" s="568" t="s">
        <v>5691</v>
      </c>
      <c r="E84" s="564" t="s">
        <v>5650</v>
      </c>
      <c r="F84" s="43" t="s">
        <v>111</v>
      </c>
      <c r="G84" s="376" t="s">
        <v>34</v>
      </c>
      <c r="H84" s="383" t="s">
        <v>5692</v>
      </c>
    </row>
    <row r="85" ht="15.75" customHeight="1">
      <c r="A85" s="562">
        <v>85.0</v>
      </c>
      <c r="B85" s="563" t="s">
        <v>5693</v>
      </c>
      <c r="C85" s="562">
        <v>2017.0</v>
      </c>
      <c r="D85" s="562">
        <v>3.77485245E8</v>
      </c>
      <c r="E85" s="564" t="s">
        <v>5650</v>
      </c>
      <c r="F85" s="43" t="s">
        <v>111</v>
      </c>
      <c r="G85" s="376" t="s">
        <v>34</v>
      </c>
      <c r="H85" s="383" t="s">
        <v>5694</v>
      </c>
    </row>
    <row r="86" ht="15.75" customHeight="1">
      <c r="A86" s="562">
        <v>86.0</v>
      </c>
      <c r="B86" s="563" t="s">
        <v>5695</v>
      </c>
      <c r="C86" s="570">
        <v>41943.0</v>
      </c>
      <c r="D86" s="562">
        <v>8.98282292E8</v>
      </c>
      <c r="E86" s="564" t="s">
        <v>191</v>
      </c>
      <c r="F86" s="43" t="s">
        <v>111</v>
      </c>
      <c r="G86" s="376"/>
    </row>
    <row r="87" ht="15.75" customHeight="1">
      <c r="A87" s="562">
        <v>87.0</v>
      </c>
      <c r="B87" s="563" t="s">
        <v>5696</v>
      </c>
      <c r="C87" s="562">
        <v>2017.0</v>
      </c>
      <c r="D87" s="562">
        <v>9.67832163E8</v>
      </c>
      <c r="E87" s="564" t="s">
        <v>5697</v>
      </c>
      <c r="F87" s="43" t="s">
        <v>111</v>
      </c>
      <c r="G87" s="376" t="s">
        <v>34</v>
      </c>
      <c r="H87" s="383" t="s">
        <v>4898</v>
      </c>
    </row>
    <row r="88" ht="15.75" customHeight="1">
      <c r="A88" s="562">
        <v>88.0</v>
      </c>
      <c r="B88" s="563" t="s">
        <v>5698</v>
      </c>
      <c r="C88" s="569">
        <v>41586.0</v>
      </c>
      <c r="D88" s="562">
        <v>9.89317494E8</v>
      </c>
      <c r="E88" s="564" t="s">
        <v>5699</v>
      </c>
      <c r="F88" s="43" t="s">
        <v>111</v>
      </c>
      <c r="G88" s="376"/>
    </row>
    <row r="89" ht="15.75" customHeight="1">
      <c r="A89" s="562">
        <v>89.0</v>
      </c>
      <c r="B89" s="563" t="s">
        <v>5700</v>
      </c>
      <c r="C89" s="570">
        <v>43038.0</v>
      </c>
      <c r="D89" s="562">
        <v>9.62773816E8</v>
      </c>
      <c r="E89" s="564" t="s">
        <v>5552</v>
      </c>
      <c r="F89" s="43" t="s">
        <v>111</v>
      </c>
      <c r="G89" s="376" t="s">
        <v>34</v>
      </c>
      <c r="H89" s="383" t="s">
        <v>4898</v>
      </c>
    </row>
    <row r="90" ht="15.75" customHeight="1">
      <c r="A90" s="562">
        <v>90.0</v>
      </c>
      <c r="B90" s="563" t="s">
        <v>5701</v>
      </c>
      <c r="C90" s="570">
        <v>42146.0</v>
      </c>
      <c r="D90" s="562">
        <v>9.05189614E8</v>
      </c>
      <c r="E90" s="564" t="s">
        <v>5654</v>
      </c>
      <c r="F90" s="43" t="s">
        <v>111</v>
      </c>
      <c r="G90" s="376"/>
    </row>
    <row r="91" ht="15.75" customHeight="1">
      <c r="A91" s="562">
        <v>91.0</v>
      </c>
      <c r="B91" s="563" t="s">
        <v>5702</v>
      </c>
      <c r="C91" s="569">
        <v>41794.0</v>
      </c>
      <c r="D91" s="562">
        <v>3.87187963E8</v>
      </c>
      <c r="E91" s="564" t="s">
        <v>5559</v>
      </c>
      <c r="F91" s="43" t="s">
        <v>111</v>
      </c>
      <c r="G91" s="376"/>
    </row>
    <row r="92" ht="15.75" customHeight="1">
      <c r="A92" s="562">
        <v>92.0</v>
      </c>
      <c r="B92" s="563" t="s">
        <v>5703</v>
      </c>
      <c r="C92" s="570">
        <v>41202.0</v>
      </c>
      <c r="D92" s="562">
        <v>9.09822387E8</v>
      </c>
      <c r="E92" s="564" t="s">
        <v>5699</v>
      </c>
      <c r="F92" s="43" t="s">
        <v>111</v>
      </c>
      <c r="G92" s="376"/>
    </row>
    <row r="93" ht="15.75" customHeight="1">
      <c r="A93" s="562">
        <v>93.0</v>
      </c>
      <c r="B93" s="563" t="s">
        <v>5704</v>
      </c>
      <c r="C93" s="569">
        <v>41914.0</v>
      </c>
      <c r="D93" s="562">
        <v>9.09822387E8</v>
      </c>
      <c r="E93" s="564" t="s">
        <v>5699</v>
      </c>
      <c r="F93" s="43" t="s">
        <v>111</v>
      </c>
      <c r="G93" s="376"/>
    </row>
    <row r="94" ht="15.75" customHeight="1">
      <c r="A94" s="562">
        <v>94.0</v>
      </c>
      <c r="B94" s="563" t="s">
        <v>5705</v>
      </c>
      <c r="C94" s="570">
        <v>40853.0</v>
      </c>
      <c r="D94" s="562">
        <v>9.75618696E8</v>
      </c>
      <c r="E94" s="564" t="s">
        <v>191</v>
      </c>
      <c r="F94" s="43" t="s">
        <v>111</v>
      </c>
      <c r="G94" s="376"/>
    </row>
    <row r="95" ht="15.75" customHeight="1">
      <c r="A95" s="562">
        <v>95.0</v>
      </c>
      <c r="B95" s="563" t="s">
        <v>5706</v>
      </c>
      <c r="C95" s="569">
        <v>41376.0</v>
      </c>
      <c r="D95" s="562">
        <v>9.75618696E8</v>
      </c>
      <c r="E95" s="564" t="s">
        <v>191</v>
      </c>
      <c r="F95" s="43" t="s">
        <v>111</v>
      </c>
      <c r="G95" s="376"/>
    </row>
    <row r="96" ht="15.75" customHeight="1">
      <c r="A96" s="562">
        <v>96.0</v>
      </c>
      <c r="B96" s="563" t="s">
        <v>5707</v>
      </c>
      <c r="C96" s="569">
        <v>42570.0</v>
      </c>
      <c r="D96" s="562">
        <v>9.83710385E8</v>
      </c>
      <c r="E96" s="564" t="s">
        <v>191</v>
      </c>
      <c r="F96" s="43" t="s">
        <v>111</v>
      </c>
      <c r="G96" s="376"/>
    </row>
    <row r="97" ht="15.75" customHeight="1">
      <c r="A97" s="562">
        <v>97.0</v>
      </c>
      <c r="B97" s="563" t="s">
        <v>5708</v>
      </c>
      <c r="C97" s="574">
        <v>43074.0</v>
      </c>
      <c r="D97" s="575" t="s">
        <v>5709</v>
      </c>
      <c r="E97" s="571" t="s">
        <v>191</v>
      </c>
      <c r="F97" s="43" t="s">
        <v>111</v>
      </c>
      <c r="G97" s="376" t="s">
        <v>34</v>
      </c>
      <c r="H97" s="383" t="s">
        <v>5710</v>
      </c>
    </row>
    <row r="98" ht="15.75" customHeight="1">
      <c r="A98" s="562">
        <v>98.0</v>
      </c>
      <c r="B98" s="563" t="s">
        <v>5711</v>
      </c>
      <c r="C98" s="562">
        <v>2016.0</v>
      </c>
      <c r="D98" s="562">
        <v>3.56088891E8</v>
      </c>
      <c r="E98" s="564" t="s">
        <v>5712</v>
      </c>
      <c r="F98" s="43" t="s">
        <v>111</v>
      </c>
      <c r="G98" s="376" t="s">
        <v>34</v>
      </c>
    </row>
    <row r="99" ht="15.75" customHeight="1">
      <c r="A99" s="562">
        <v>99.0</v>
      </c>
      <c r="B99" s="563" t="s">
        <v>5465</v>
      </c>
      <c r="C99" s="562">
        <v>2011.0</v>
      </c>
      <c r="D99" s="562">
        <v>9.85179995E8</v>
      </c>
      <c r="E99" s="564" t="s">
        <v>5699</v>
      </c>
      <c r="F99" s="43" t="s">
        <v>111</v>
      </c>
      <c r="G99" s="376"/>
    </row>
    <row r="100" ht="15.75" customHeight="1">
      <c r="A100" s="562">
        <v>100.0</v>
      </c>
      <c r="B100" s="563" t="s">
        <v>5713</v>
      </c>
      <c r="C100" s="562">
        <v>2012.0</v>
      </c>
      <c r="D100" s="562">
        <v>9.47290726E8</v>
      </c>
      <c r="E100" s="564" t="s">
        <v>5714</v>
      </c>
      <c r="F100" s="43" t="s">
        <v>111</v>
      </c>
      <c r="G100" s="376" t="s">
        <v>34</v>
      </c>
    </row>
    <row r="101" ht="15.75" customHeight="1">
      <c r="A101" s="562">
        <v>101.0</v>
      </c>
      <c r="B101" s="563" t="s">
        <v>5715</v>
      </c>
      <c r="C101" s="562">
        <v>2013.0</v>
      </c>
      <c r="D101" s="562">
        <v>9.83056552E8</v>
      </c>
      <c r="E101" s="564" t="s">
        <v>5716</v>
      </c>
      <c r="F101" s="43" t="s">
        <v>111</v>
      </c>
      <c r="G101" s="376"/>
    </row>
    <row r="102" ht="15.75" customHeight="1">
      <c r="A102" s="562">
        <v>102.0</v>
      </c>
      <c r="B102" s="563" t="s">
        <v>5717</v>
      </c>
      <c r="C102" s="562">
        <v>2017.0</v>
      </c>
      <c r="D102" s="562">
        <v>9.83056552E8</v>
      </c>
      <c r="E102" s="564" t="s">
        <v>5716</v>
      </c>
      <c r="F102" s="43" t="s">
        <v>111</v>
      </c>
      <c r="G102" s="376" t="s">
        <v>34</v>
      </c>
      <c r="H102" s="383" t="s">
        <v>5710</v>
      </c>
    </row>
    <row r="103" ht="15.75" customHeight="1">
      <c r="A103" s="562">
        <v>103.0</v>
      </c>
      <c r="B103" s="563" t="s">
        <v>5718</v>
      </c>
      <c r="C103" s="562">
        <v>2010.0</v>
      </c>
      <c r="D103" s="562">
        <v>9.73278699E8</v>
      </c>
      <c r="E103" s="564" t="s">
        <v>191</v>
      </c>
      <c r="F103" s="43" t="s">
        <v>111</v>
      </c>
      <c r="G103" s="376"/>
    </row>
    <row r="104" ht="15.75" customHeight="1">
      <c r="A104" s="562">
        <v>104.0</v>
      </c>
      <c r="B104" s="563" t="s">
        <v>5719</v>
      </c>
      <c r="C104" s="562">
        <v>2012.0</v>
      </c>
      <c r="D104" s="562">
        <v>9.73278699E8</v>
      </c>
      <c r="E104" s="564" t="s">
        <v>191</v>
      </c>
      <c r="F104" s="43" t="s">
        <v>111</v>
      </c>
      <c r="G104" s="376"/>
    </row>
    <row r="105" ht="15.75" customHeight="1">
      <c r="A105" s="562">
        <v>105.0</v>
      </c>
      <c r="B105" s="563" t="s">
        <v>3257</v>
      </c>
      <c r="C105" s="562">
        <v>2015.0</v>
      </c>
      <c r="D105" s="562">
        <v>3.83428034E8</v>
      </c>
      <c r="E105" s="564" t="s">
        <v>191</v>
      </c>
      <c r="F105" s="43" t="s">
        <v>111</v>
      </c>
      <c r="G105" s="376"/>
    </row>
    <row r="106" ht="15.75" customHeight="1">
      <c r="A106" s="562">
        <v>106.0</v>
      </c>
      <c r="B106" s="563" t="s">
        <v>5720</v>
      </c>
      <c r="C106" s="562">
        <v>2017.0</v>
      </c>
      <c r="D106" s="562">
        <v>9.04755925E8</v>
      </c>
      <c r="E106" s="564" t="s">
        <v>191</v>
      </c>
      <c r="F106" s="43" t="s">
        <v>111</v>
      </c>
      <c r="G106" s="376" t="s">
        <v>34</v>
      </c>
      <c r="H106" s="383" t="s">
        <v>4898</v>
      </c>
    </row>
    <row r="107" ht="15.75" customHeight="1">
      <c r="A107" s="562">
        <v>107.0</v>
      </c>
      <c r="B107" s="563" t="s">
        <v>5721</v>
      </c>
      <c r="C107" s="570">
        <v>42328.0</v>
      </c>
      <c r="D107" s="568" t="s">
        <v>5722</v>
      </c>
      <c r="E107" s="564" t="s">
        <v>5714</v>
      </c>
      <c r="F107" s="43" t="s">
        <v>111</v>
      </c>
      <c r="G107" s="376"/>
    </row>
    <row r="108" ht="15.75" customHeight="1">
      <c r="A108" s="562">
        <v>108.0</v>
      </c>
      <c r="B108" s="563" t="s">
        <v>5723</v>
      </c>
      <c r="C108" s="570">
        <v>43329.0</v>
      </c>
      <c r="D108" s="571"/>
      <c r="E108" s="564" t="s">
        <v>5724</v>
      </c>
      <c r="F108" s="43" t="s">
        <v>111</v>
      </c>
      <c r="G108" s="376" t="s">
        <v>34</v>
      </c>
      <c r="H108" s="383" t="s">
        <v>4898</v>
      </c>
    </row>
    <row r="109" ht="15.75" customHeight="1">
      <c r="A109" s="562">
        <v>109.0</v>
      </c>
      <c r="B109" s="563" t="s">
        <v>5585</v>
      </c>
      <c r="C109" s="571"/>
      <c r="D109" s="571"/>
      <c r="E109" s="564" t="s">
        <v>191</v>
      </c>
      <c r="F109" s="43" t="s">
        <v>111</v>
      </c>
      <c r="G109" s="376"/>
    </row>
    <row r="110" ht="15.75" customHeight="1">
      <c r="A110" s="562">
        <v>110.0</v>
      </c>
      <c r="B110" s="563" t="s">
        <v>5725</v>
      </c>
      <c r="C110" s="562">
        <v>2017.0</v>
      </c>
      <c r="D110" s="562">
        <v>9.44365468E8</v>
      </c>
      <c r="E110" s="564" t="s">
        <v>5624</v>
      </c>
      <c r="F110" s="43" t="s">
        <v>111</v>
      </c>
      <c r="G110" s="376"/>
    </row>
    <row r="111" ht="15.75" customHeight="1">
      <c r="A111" s="562">
        <v>111.0</v>
      </c>
      <c r="B111" s="563" t="s">
        <v>5726</v>
      </c>
      <c r="C111" s="570">
        <v>40888.0</v>
      </c>
      <c r="D111" s="562">
        <v>9.45161146E8</v>
      </c>
      <c r="E111" s="564" t="s">
        <v>5727</v>
      </c>
      <c r="F111" s="43" t="s">
        <v>111</v>
      </c>
      <c r="G111" s="376"/>
    </row>
    <row r="112" ht="15.75" customHeight="1">
      <c r="A112" s="576">
        <v>112.0</v>
      </c>
      <c r="B112" s="563" t="s">
        <v>5728</v>
      </c>
      <c r="C112" s="574">
        <v>40834.0</v>
      </c>
      <c r="D112" s="562">
        <v>9.45161146E8</v>
      </c>
      <c r="E112" s="564" t="s">
        <v>5727</v>
      </c>
      <c r="F112" s="43" t="s">
        <v>111</v>
      </c>
      <c r="G112" s="376" t="s">
        <v>34</v>
      </c>
      <c r="H112" s="383" t="s">
        <v>4898</v>
      </c>
    </row>
    <row r="113" ht="15.75" customHeight="1">
      <c r="A113" s="576">
        <v>113.0</v>
      </c>
      <c r="B113" s="563" t="s">
        <v>5729</v>
      </c>
      <c r="C113" s="574">
        <v>41204.0</v>
      </c>
      <c r="D113" s="562">
        <v>9.45161146E8</v>
      </c>
      <c r="E113" s="564" t="s">
        <v>5727</v>
      </c>
      <c r="F113" s="43" t="s">
        <v>111</v>
      </c>
      <c r="G113" s="376"/>
    </row>
    <row r="114" ht="15.75" customHeight="1">
      <c r="A114" s="576">
        <v>114.0</v>
      </c>
      <c r="B114" s="563" t="s">
        <v>5730</v>
      </c>
      <c r="C114" s="577">
        <v>42225.0</v>
      </c>
      <c r="D114" s="562">
        <v>9.45161146E8</v>
      </c>
      <c r="E114" s="564" t="s">
        <v>5727</v>
      </c>
      <c r="F114" s="43" t="s">
        <v>111</v>
      </c>
      <c r="G114" s="376"/>
    </row>
    <row r="115" ht="15.75" customHeight="1">
      <c r="A115" s="576">
        <v>115.0</v>
      </c>
      <c r="B115" s="563" t="s">
        <v>5731</v>
      </c>
      <c r="C115" s="571"/>
      <c r="D115" s="562">
        <v>9.45161146E8</v>
      </c>
      <c r="E115" s="564" t="s">
        <v>5727</v>
      </c>
      <c r="F115" s="43" t="s">
        <v>111</v>
      </c>
      <c r="G115" s="376"/>
    </row>
    <row r="116" ht="15.75" customHeight="1">
      <c r="A116" s="576">
        <v>116.0</v>
      </c>
      <c r="B116" s="563" t="s">
        <v>5732</v>
      </c>
      <c r="C116" s="576">
        <v>2015.0</v>
      </c>
      <c r="D116" s="576">
        <v>3.56914186E8</v>
      </c>
      <c r="E116" s="571" t="s">
        <v>2379</v>
      </c>
      <c r="F116" s="43" t="s">
        <v>111</v>
      </c>
      <c r="G116" s="376"/>
    </row>
    <row r="117" ht="15.75" customHeight="1">
      <c r="A117" s="571"/>
      <c r="B117" s="563" t="s">
        <v>5362</v>
      </c>
      <c r="C117" s="576">
        <v>2012.0</v>
      </c>
      <c r="D117" s="578">
        <v>9.0526276E8</v>
      </c>
      <c r="E117" s="571" t="s">
        <v>64</v>
      </c>
      <c r="F117" s="43" t="s">
        <v>111</v>
      </c>
      <c r="G117" s="376" t="s">
        <v>34</v>
      </c>
    </row>
    <row r="118" ht="15.75" customHeight="1">
      <c r="A118" s="576">
        <v>118.0</v>
      </c>
      <c r="B118" s="563" t="s">
        <v>5733</v>
      </c>
      <c r="C118" s="577">
        <v>43630.0</v>
      </c>
      <c r="D118" s="578">
        <v>3.98199623E8</v>
      </c>
      <c r="E118" s="571" t="s">
        <v>5592</v>
      </c>
      <c r="F118" s="43" t="s">
        <v>111</v>
      </c>
      <c r="G118" s="376" t="s">
        <v>34</v>
      </c>
      <c r="H118" s="383" t="s">
        <v>5734</v>
      </c>
    </row>
    <row r="119" ht="15.75" customHeight="1">
      <c r="A119" s="576">
        <v>119.0</v>
      </c>
      <c r="B119" s="563" t="s">
        <v>5735</v>
      </c>
      <c r="C119" s="574">
        <v>42577.0</v>
      </c>
      <c r="D119" s="578">
        <v>3.93548536E8</v>
      </c>
      <c r="E119" s="571" t="s">
        <v>191</v>
      </c>
      <c r="F119" s="43" t="s">
        <v>111</v>
      </c>
      <c r="G119" s="376"/>
    </row>
    <row r="120" ht="15.75" customHeight="1">
      <c r="A120" s="576">
        <v>120.0</v>
      </c>
      <c r="B120" s="563" t="s">
        <v>5736</v>
      </c>
      <c r="C120" s="574">
        <v>42319.0</v>
      </c>
      <c r="D120" s="578">
        <v>3.93548536E8</v>
      </c>
      <c r="E120" s="571" t="s">
        <v>191</v>
      </c>
      <c r="F120" s="43" t="s">
        <v>111</v>
      </c>
      <c r="G120" s="376"/>
    </row>
    <row r="121" ht="15.75" customHeight="1">
      <c r="A121" s="576">
        <v>121.0</v>
      </c>
      <c r="B121" s="563" t="s">
        <v>5737</v>
      </c>
      <c r="C121" s="576">
        <v>2017.0</v>
      </c>
      <c r="D121" s="575" t="s">
        <v>5738</v>
      </c>
      <c r="E121" s="571" t="s">
        <v>5565</v>
      </c>
      <c r="F121" s="43" t="s">
        <v>111</v>
      </c>
      <c r="G121" s="376" t="s">
        <v>34</v>
      </c>
      <c r="H121" s="383" t="s">
        <v>4898</v>
      </c>
    </row>
    <row r="122" ht="15.75" customHeight="1">
      <c r="A122" s="576">
        <v>122.0</v>
      </c>
      <c r="B122" s="563" t="s">
        <v>5739</v>
      </c>
      <c r="C122" s="576">
        <v>2016.0</v>
      </c>
      <c r="D122" s="578">
        <v>9.77832933E8</v>
      </c>
      <c r="E122" s="571" t="s">
        <v>5620</v>
      </c>
      <c r="F122" s="43" t="s">
        <v>111</v>
      </c>
      <c r="G122" s="376"/>
    </row>
    <row r="123" ht="15.75" customHeight="1">
      <c r="A123" s="576">
        <v>123.0</v>
      </c>
      <c r="B123" s="563" t="s">
        <v>5666</v>
      </c>
      <c r="C123" s="576">
        <v>2017.0</v>
      </c>
      <c r="D123" s="578">
        <v>9.0814028E8</v>
      </c>
      <c r="E123" s="571" t="s">
        <v>5740</v>
      </c>
      <c r="F123" s="43" t="s">
        <v>111</v>
      </c>
      <c r="G123" s="376" t="s">
        <v>34</v>
      </c>
    </row>
    <row r="124" ht="15.75" customHeight="1">
      <c r="A124" s="576">
        <v>124.0</v>
      </c>
      <c r="B124" s="560" t="s">
        <v>5741</v>
      </c>
      <c r="C124" s="576">
        <v>2017.0</v>
      </c>
      <c r="D124" s="578">
        <v>9.74688407E8</v>
      </c>
      <c r="E124" s="571" t="s">
        <v>5650</v>
      </c>
      <c r="F124" s="43" t="s">
        <v>111</v>
      </c>
      <c r="G124" s="376" t="s">
        <v>34</v>
      </c>
    </row>
    <row r="125" ht="15.75" customHeight="1">
      <c r="A125" s="576">
        <v>125.0</v>
      </c>
      <c r="B125" s="560" t="s">
        <v>5742</v>
      </c>
      <c r="C125" s="576">
        <v>2015.0</v>
      </c>
      <c r="D125" s="578">
        <v>9.47333583E8</v>
      </c>
      <c r="E125" s="571"/>
      <c r="F125" s="43" t="s">
        <v>111</v>
      </c>
      <c r="G125" s="376"/>
    </row>
    <row r="126" ht="15.75" customHeight="1">
      <c r="A126" s="576">
        <v>126.0</v>
      </c>
      <c r="B126" s="563" t="s">
        <v>5743</v>
      </c>
      <c r="C126" s="576">
        <v>2019.0</v>
      </c>
      <c r="D126" s="578">
        <v>9.77075614E8</v>
      </c>
      <c r="E126" s="571" t="s">
        <v>5665</v>
      </c>
      <c r="F126" s="43" t="s">
        <v>111</v>
      </c>
      <c r="G126" s="376" t="s">
        <v>34</v>
      </c>
    </row>
    <row r="127" ht="15.75" customHeight="1">
      <c r="A127" s="576">
        <v>127.0</v>
      </c>
      <c r="B127" s="563" t="s">
        <v>5744</v>
      </c>
      <c r="C127" s="576">
        <v>2013.0</v>
      </c>
      <c r="D127" s="571" t="s">
        <v>5745</v>
      </c>
      <c r="E127" s="571"/>
      <c r="F127" s="43" t="s">
        <v>111</v>
      </c>
      <c r="G127" s="376"/>
    </row>
    <row r="128" ht="15.75" customHeight="1">
      <c r="A128" s="576">
        <v>128.0</v>
      </c>
      <c r="B128" s="563" t="s">
        <v>5746</v>
      </c>
      <c r="C128" s="576">
        <v>2015.0</v>
      </c>
      <c r="D128" s="571" t="s">
        <v>5747</v>
      </c>
      <c r="E128" s="571" t="s">
        <v>191</v>
      </c>
      <c r="F128" s="43" t="s">
        <v>111</v>
      </c>
      <c r="G128" s="376"/>
    </row>
    <row r="129" ht="15.75" customHeight="1">
      <c r="A129" s="576">
        <v>129.0</v>
      </c>
      <c r="B129" s="563" t="s">
        <v>5664</v>
      </c>
      <c r="C129" s="576">
        <v>2012.0</v>
      </c>
      <c r="D129" s="571" t="s">
        <v>5747</v>
      </c>
      <c r="E129" s="571" t="s">
        <v>191</v>
      </c>
      <c r="F129" s="43" t="s">
        <v>111</v>
      </c>
      <c r="G129" s="376"/>
    </row>
    <row r="130" ht="15.75" customHeight="1">
      <c r="A130" s="576">
        <v>130.0</v>
      </c>
      <c r="B130" s="563" t="s">
        <v>5748</v>
      </c>
      <c r="C130" s="576">
        <v>2017.0</v>
      </c>
      <c r="D130" s="571" t="s">
        <v>5749</v>
      </c>
      <c r="E130" s="571" t="s">
        <v>191</v>
      </c>
      <c r="F130" s="43" t="s">
        <v>111</v>
      </c>
      <c r="G130" s="376" t="s">
        <v>34</v>
      </c>
    </row>
    <row r="131" ht="15.75" customHeight="1">
      <c r="A131" s="576">
        <v>131.0</v>
      </c>
      <c r="B131" s="563" t="s">
        <v>5750</v>
      </c>
      <c r="C131" s="576">
        <v>2014.0</v>
      </c>
      <c r="D131" s="575" t="s">
        <v>5751</v>
      </c>
      <c r="E131" s="571" t="s">
        <v>5752</v>
      </c>
      <c r="F131" s="43" t="s">
        <v>111</v>
      </c>
      <c r="G131" s="376"/>
    </row>
    <row r="132" ht="15.75" customHeight="1">
      <c r="A132" s="576">
        <v>132.0</v>
      </c>
      <c r="B132" s="563" t="s">
        <v>5753</v>
      </c>
      <c r="C132" s="576">
        <v>2017.0</v>
      </c>
      <c r="D132" s="578">
        <v>9.87840405E8</v>
      </c>
      <c r="E132" s="571" t="s">
        <v>191</v>
      </c>
      <c r="F132" s="43" t="s">
        <v>111</v>
      </c>
      <c r="G132" s="376" t="s">
        <v>34</v>
      </c>
    </row>
    <row r="133" ht="15.75" customHeight="1">
      <c r="A133" s="576">
        <v>133.0</v>
      </c>
      <c r="B133" s="563" t="s">
        <v>5754</v>
      </c>
      <c r="C133" s="576">
        <v>2013.0</v>
      </c>
      <c r="D133" s="571" t="s">
        <v>5755</v>
      </c>
      <c r="E133" s="571" t="s">
        <v>191</v>
      </c>
      <c r="F133" s="43" t="s">
        <v>111</v>
      </c>
      <c r="G133" s="376"/>
    </row>
    <row r="134" ht="15.75" customHeight="1">
      <c r="A134" s="576">
        <v>134.0</v>
      </c>
      <c r="B134" s="563" t="s">
        <v>4950</v>
      </c>
      <c r="C134" s="576">
        <v>2015.0</v>
      </c>
      <c r="D134" s="571" t="s">
        <v>5755</v>
      </c>
      <c r="E134" s="571" t="s">
        <v>191</v>
      </c>
      <c r="F134" s="43" t="s">
        <v>111</v>
      </c>
      <c r="G134" s="376"/>
    </row>
    <row r="135" ht="15.75" customHeight="1">
      <c r="A135" s="576">
        <v>135.0</v>
      </c>
      <c r="B135" s="563" t="s">
        <v>5756</v>
      </c>
      <c r="C135" s="576">
        <v>2013.0</v>
      </c>
      <c r="D135" s="578">
        <v>9.75674079E8</v>
      </c>
      <c r="E135" s="571" t="s">
        <v>5650</v>
      </c>
      <c r="F135" s="43" t="s">
        <v>111</v>
      </c>
      <c r="G135" s="376"/>
    </row>
    <row r="136" ht="15.75" customHeight="1">
      <c r="A136" s="576">
        <v>136.0</v>
      </c>
      <c r="B136" s="563" t="s">
        <v>5757</v>
      </c>
      <c r="C136" s="576">
        <v>2015.0</v>
      </c>
      <c r="D136" s="578">
        <v>9.04233902E8</v>
      </c>
      <c r="E136" s="571" t="s">
        <v>5601</v>
      </c>
      <c r="F136" s="43" t="s">
        <v>111</v>
      </c>
      <c r="G136" s="376" t="s">
        <v>34</v>
      </c>
    </row>
    <row r="137" ht="15.75" customHeight="1">
      <c r="A137" s="576">
        <v>140.0</v>
      </c>
      <c r="B137" s="563" t="s">
        <v>5758</v>
      </c>
      <c r="C137" s="576">
        <v>2015.0</v>
      </c>
      <c r="D137" s="578">
        <v>9.78567516E8</v>
      </c>
      <c r="E137" s="571" t="s">
        <v>5759</v>
      </c>
      <c r="F137" s="43" t="s">
        <v>111</v>
      </c>
      <c r="G137" s="376" t="s">
        <v>34</v>
      </c>
    </row>
    <row r="138" ht="15.75" customHeight="1">
      <c r="A138" s="576">
        <v>142.0</v>
      </c>
      <c r="B138" s="563" t="s">
        <v>5760</v>
      </c>
      <c r="C138" s="576">
        <v>2013.0</v>
      </c>
      <c r="D138" s="575" t="s">
        <v>5761</v>
      </c>
      <c r="E138" s="571" t="s">
        <v>5604</v>
      </c>
      <c r="F138" s="43" t="s">
        <v>111</v>
      </c>
      <c r="G138" s="376" t="s">
        <v>34</v>
      </c>
    </row>
    <row r="139" ht="15.75" customHeight="1">
      <c r="A139" s="576">
        <v>143.0</v>
      </c>
      <c r="B139" s="563" t="s">
        <v>5762</v>
      </c>
      <c r="C139" s="576">
        <v>2013.0</v>
      </c>
      <c r="D139" s="578">
        <v>9.77828899E8</v>
      </c>
      <c r="E139" s="571" t="s">
        <v>64</v>
      </c>
      <c r="F139" s="43" t="s">
        <v>111</v>
      </c>
      <c r="G139" s="376" t="s">
        <v>34</v>
      </c>
    </row>
    <row r="140" ht="15.75" customHeight="1">
      <c r="A140" s="576">
        <v>144.0</v>
      </c>
      <c r="B140" s="563" t="s">
        <v>5763</v>
      </c>
      <c r="C140" s="576">
        <v>2018.0</v>
      </c>
      <c r="D140" s="578">
        <v>8.86786886E8</v>
      </c>
      <c r="E140" s="571" t="s">
        <v>5586</v>
      </c>
      <c r="F140" s="43" t="s">
        <v>111</v>
      </c>
      <c r="G140" s="376" t="s">
        <v>34</v>
      </c>
    </row>
    <row r="141" ht="15.75" customHeight="1">
      <c r="A141" s="576">
        <v>145.0</v>
      </c>
      <c r="B141" s="563" t="s">
        <v>5764</v>
      </c>
      <c r="C141" s="576">
        <v>2013.0</v>
      </c>
      <c r="D141" s="578">
        <v>9.32217789E8</v>
      </c>
      <c r="E141" s="571" t="s">
        <v>5765</v>
      </c>
      <c r="F141" s="43" t="s">
        <v>111</v>
      </c>
      <c r="G141" s="376"/>
    </row>
    <row r="142" ht="15.75" customHeight="1">
      <c r="A142" s="576">
        <v>146.0</v>
      </c>
      <c r="B142" s="563" t="s">
        <v>5766</v>
      </c>
      <c r="C142" s="576">
        <v>2014.0</v>
      </c>
      <c r="D142" s="578">
        <v>9.87988934E8</v>
      </c>
      <c r="E142" s="571" t="s">
        <v>5624</v>
      </c>
      <c r="F142" s="43" t="s">
        <v>111</v>
      </c>
      <c r="G142" s="376"/>
    </row>
    <row r="143" ht="15.75" customHeight="1">
      <c r="A143" s="576">
        <v>147.0</v>
      </c>
      <c r="B143" s="571" t="s">
        <v>2871</v>
      </c>
      <c r="C143" s="578">
        <v>2014.0</v>
      </c>
      <c r="D143" s="578">
        <v>9.73058299E8</v>
      </c>
      <c r="E143" s="571" t="s">
        <v>191</v>
      </c>
      <c r="F143" s="43" t="s">
        <v>111</v>
      </c>
      <c r="G143" s="376"/>
    </row>
    <row r="144" ht="15.75" customHeight="1">
      <c r="A144" s="576">
        <v>148.0</v>
      </c>
      <c r="B144" s="563" t="s">
        <v>5767</v>
      </c>
      <c r="C144" s="576">
        <v>2014.0</v>
      </c>
      <c r="D144" s="578">
        <v>3.82884967E8</v>
      </c>
      <c r="E144" s="571" t="s">
        <v>5543</v>
      </c>
      <c r="F144" s="43" t="s">
        <v>111</v>
      </c>
      <c r="G144" s="376"/>
    </row>
    <row r="145" ht="15.75" customHeight="1">
      <c r="A145" s="576">
        <v>149.0</v>
      </c>
      <c r="B145" s="563" t="s">
        <v>5768</v>
      </c>
      <c r="C145" s="576">
        <v>2018.0</v>
      </c>
      <c r="D145" s="578">
        <v>7.02065623E8</v>
      </c>
      <c r="E145" s="571" t="s">
        <v>5699</v>
      </c>
      <c r="F145" s="43" t="s">
        <v>111</v>
      </c>
      <c r="G145" s="376" t="s">
        <v>34</v>
      </c>
    </row>
    <row r="146" ht="15.75" customHeight="1">
      <c r="A146" s="576">
        <v>150.0</v>
      </c>
      <c r="B146" s="563" t="s">
        <v>5769</v>
      </c>
      <c r="C146" s="574">
        <v>41785.0</v>
      </c>
      <c r="D146" s="578">
        <v>9.75668977E8</v>
      </c>
      <c r="E146" s="571" t="s">
        <v>191</v>
      </c>
      <c r="F146" s="43" t="s">
        <v>111</v>
      </c>
      <c r="G146" s="376"/>
    </row>
    <row r="147" ht="15.75" customHeight="1">
      <c r="A147" s="576">
        <v>151.0</v>
      </c>
      <c r="B147" s="563" t="s">
        <v>5770</v>
      </c>
      <c r="C147" s="576">
        <v>2016.0</v>
      </c>
      <c r="D147" s="578">
        <v>9.71735323E8</v>
      </c>
      <c r="E147" s="571" t="s">
        <v>191</v>
      </c>
      <c r="F147" s="43" t="s">
        <v>111</v>
      </c>
      <c r="G147" s="376" t="s">
        <v>34</v>
      </c>
    </row>
    <row r="148" ht="15.75" customHeight="1">
      <c r="A148" s="576">
        <v>152.0</v>
      </c>
      <c r="B148" s="563" t="s">
        <v>5771</v>
      </c>
      <c r="C148" s="576">
        <v>2013.0</v>
      </c>
      <c r="D148" s="578">
        <v>9.15471377E8</v>
      </c>
      <c r="E148" s="571" t="s">
        <v>5772</v>
      </c>
      <c r="F148" s="43" t="s">
        <v>111</v>
      </c>
      <c r="G148" s="376"/>
    </row>
    <row r="149" ht="15.75" customHeight="1">
      <c r="A149" s="576">
        <v>153.0</v>
      </c>
      <c r="B149" s="563" t="s">
        <v>5773</v>
      </c>
      <c r="C149" s="576">
        <v>2016.0</v>
      </c>
      <c r="D149" s="578">
        <v>3.88816066E8</v>
      </c>
      <c r="E149" s="571" t="s">
        <v>191</v>
      </c>
      <c r="F149" s="43" t="s">
        <v>111</v>
      </c>
      <c r="G149" s="376"/>
    </row>
    <row r="150" ht="15.75" customHeight="1">
      <c r="A150" s="576">
        <v>154.0</v>
      </c>
      <c r="B150" s="563" t="s">
        <v>5774</v>
      </c>
      <c r="C150" s="576">
        <v>2012.0</v>
      </c>
      <c r="D150" s="578">
        <v>9.33124456E8</v>
      </c>
      <c r="E150" s="571"/>
      <c r="F150" s="43" t="s">
        <v>111</v>
      </c>
      <c r="G150" s="376"/>
    </row>
    <row r="151" ht="15.75" customHeight="1">
      <c r="A151" s="576">
        <v>155.0</v>
      </c>
      <c r="B151" s="563" t="s">
        <v>5775</v>
      </c>
      <c r="C151" s="576">
        <v>2017.0</v>
      </c>
      <c r="D151" s="578">
        <v>9.64250918E8</v>
      </c>
      <c r="E151" s="571" t="s">
        <v>5776</v>
      </c>
      <c r="F151" s="43" t="s">
        <v>111</v>
      </c>
      <c r="G151" s="376" t="s">
        <v>216</v>
      </c>
    </row>
    <row r="152" ht="15.75" customHeight="1">
      <c r="A152" s="576">
        <v>156.0</v>
      </c>
      <c r="B152" s="563" t="s">
        <v>5777</v>
      </c>
      <c r="C152" s="576">
        <v>2017.0</v>
      </c>
      <c r="D152" s="578">
        <v>9.79355982E8</v>
      </c>
      <c r="E152" s="571" t="s">
        <v>191</v>
      </c>
      <c r="F152" s="43" t="s">
        <v>111</v>
      </c>
      <c r="G152" s="376" t="s">
        <v>34</v>
      </c>
    </row>
    <row r="153" ht="15.75" customHeight="1">
      <c r="A153" s="576">
        <v>157.0</v>
      </c>
      <c r="B153" s="563" t="s">
        <v>5778</v>
      </c>
      <c r="C153" s="576">
        <v>2017.0</v>
      </c>
      <c r="D153" s="578">
        <v>9.79355982E8</v>
      </c>
      <c r="E153" s="571" t="s">
        <v>5779</v>
      </c>
      <c r="F153" s="43" t="s">
        <v>111</v>
      </c>
      <c r="G153" s="376" t="s">
        <v>34</v>
      </c>
    </row>
    <row r="154" ht="15.75" customHeight="1">
      <c r="A154" s="576">
        <v>158.0</v>
      </c>
      <c r="B154" s="563" t="s">
        <v>5780</v>
      </c>
      <c r="C154" s="576">
        <v>2016.0</v>
      </c>
      <c r="D154" s="578">
        <v>9.86436091E8</v>
      </c>
      <c r="E154" s="571" t="s">
        <v>5650</v>
      </c>
      <c r="F154" s="43" t="s">
        <v>111</v>
      </c>
      <c r="G154" s="376"/>
    </row>
    <row r="155" ht="15.75" customHeight="1">
      <c r="A155" s="576">
        <v>159.0</v>
      </c>
      <c r="B155" s="563" t="s">
        <v>5781</v>
      </c>
      <c r="C155" s="576">
        <v>2018.0</v>
      </c>
      <c r="D155" s="578">
        <v>3.28832822E8</v>
      </c>
      <c r="E155" s="571" t="s">
        <v>5620</v>
      </c>
      <c r="F155" s="43" t="s">
        <v>111</v>
      </c>
      <c r="G155" s="376" t="s">
        <v>34</v>
      </c>
    </row>
    <row r="156" ht="15.75" customHeight="1">
      <c r="A156" s="576">
        <v>160.0</v>
      </c>
      <c r="B156" s="563" t="s">
        <v>5782</v>
      </c>
      <c r="C156" s="576">
        <v>2018.0</v>
      </c>
      <c r="D156" s="578">
        <v>9.83381188E8</v>
      </c>
      <c r="E156" s="571" t="s">
        <v>5783</v>
      </c>
      <c r="F156" s="43" t="s">
        <v>111</v>
      </c>
      <c r="G156" s="376" t="s">
        <v>34</v>
      </c>
    </row>
    <row r="157" ht="15.75" customHeight="1">
      <c r="A157" s="576">
        <v>161.0</v>
      </c>
      <c r="B157" s="563" t="s">
        <v>5784</v>
      </c>
      <c r="C157" s="576">
        <v>2020.0</v>
      </c>
      <c r="D157" s="578">
        <v>8.68869904E8</v>
      </c>
      <c r="E157" s="571" t="s">
        <v>191</v>
      </c>
      <c r="F157" s="43" t="s">
        <v>111</v>
      </c>
      <c r="G157" s="376" t="s">
        <v>34</v>
      </c>
    </row>
    <row r="158" ht="15.75" customHeight="1">
      <c r="A158" s="576">
        <v>162.0</v>
      </c>
      <c r="B158" s="563" t="s">
        <v>5785</v>
      </c>
      <c r="C158" s="576">
        <v>2014.0</v>
      </c>
      <c r="D158" s="578">
        <v>9.89306555E8</v>
      </c>
      <c r="E158" s="571" t="s">
        <v>5650</v>
      </c>
      <c r="F158" s="43" t="s">
        <v>111</v>
      </c>
      <c r="G158" s="376"/>
    </row>
    <row r="159" ht="15.75" customHeight="1">
      <c r="A159" s="576">
        <v>163.0</v>
      </c>
      <c r="B159" s="563" t="s">
        <v>5786</v>
      </c>
      <c r="C159" s="576">
        <v>2020.0</v>
      </c>
      <c r="D159" s="578">
        <v>8.22089255E8</v>
      </c>
      <c r="E159" s="571" t="s">
        <v>5679</v>
      </c>
      <c r="F159" s="43" t="s">
        <v>111</v>
      </c>
      <c r="G159" s="376" t="s">
        <v>34</v>
      </c>
    </row>
    <row r="160" ht="15.75" customHeight="1">
      <c r="A160" s="576">
        <v>164.0</v>
      </c>
      <c r="B160" s="563" t="s">
        <v>5787</v>
      </c>
      <c r="C160" s="574">
        <v>41584.0</v>
      </c>
      <c r="D160" s="578">
        <v>9.05246155E8</v>
      </c>
      <c r="E160" s="571" t="s">
        <v>64</v>
      </c>
      <c r="F160" s="43" t="s">
        <v>111</v>
      </c>
      <c r="G160" s="376" t="s">
        <v>34</v>
      </c>
    </row>
    <row r="161" ht="15.75" customHeight="1">
      <c r="A161" s="576">
        <v>165.0</v>
      </c>
      <c r="B161" s="563" t="s">
        <v>5788</v>
      </c>
      <c r="C161" s="574">
        <v>43383.0</v>
      </c>
      <c r="D161" s="578">
        <v>9.79119428E8</v>
      </c>
      <c r="E161" s="571" t="s">
        <v>5789</v>
      </c>
      <c r="F161" s="43" t="s">
        <v>111</v>
      </c>
      <c r="G161" s="376" t="s">
        <v>34</v>
      </c>
    </row>
    <row r="162" ht="15.75" customHeight="1">
      <c r="A162" s="576">
        <v>166.0</v>
      </c>
      <c r="B162" s="563" t="s">
        <v>5790</v>
      </c>
      <c r="C162" s="576">
        <v>2014.0</v>
      </c>
      <c r="D162" s="578">
        <v>9.41430891E8</v>
      </c>
      <c r="E162" s="571" t="s">
        <v>5791</v>
      </c>
      <c r="F162" s="43" t="s">
        <v>111</v>
      </c>
      <c r="G162" s="376" t="s">
        <v>216</v>
      </c>
    </row>
    <row r="163" ht="15.75" customHeight="1">
      <c r="A163" s="576">
        <v>167.0</v>
      </c>
      <c r="B163" s="563" t="s">
        <v>5792</v>
      </c>
      <c r="C163" s="576">
        <v>2016.0</v>
      </c>
      <c r="D163" s="578">
        <v>9.41430891E8</v>
      </c>
      <c r="E163" s="571" t="s">
        <v>5724</v>
      </c>
      <c r="F163" s="43" t="s">
        <v>111</v>
      </c>
      <c r="G163" s="376" t="s">
        <v>216</v>
      </c>
    </row>
    <row r="164" ht="15.75" customHeight="1">
      <c r="A164" s="576">
        <v>168.0</v>
      </c>
      <c r="B164" s="563" t="s">
        <v>5793</v>
      </c>
      <c r="C164" s="576">
        <v>2015.0</v>
      </c>
      <c r="D164" s="578">
        <v>3.76446896E8</v>
      </c>
      <c r="E164" s="571" t="s">
        <v>5565</v>
      </c>
      <c r="F164" s="43" t="s">
        <v>111</v>
      </c>
      <c r="G164" s="376" t="s">
        <v>34</v>
      </c>
    </row>
    <row r="165" ht="15.75" customHeight="1">
      <c r="A165" s="576">
        <v>169.0</v>
      </c>
      <c r="B165" s="563" t="s">
        <v>5794</v>
      </c>
      <c r="C165" s="576">
        <v>2016.0</v>
      </c>
      <c r="D165" s="578">
        <v>3.76446896E8</v>
      </c>
      <c r="E165" s="571" t="s">
        <v>5565</v>
      </c>
      <c r="F165" s="43" t="s">
        <v>111</v>
      </c>
      <c r="G165" s="376" t="s">
        <v>34</v>
      </c>
    </row>
    <row r="166" ht="15.75" customHeight="1">
      <c r="A166" s="576">
        <v>170.0</v>
      </c>
      <c r="B166" s="563" t="s">
        <v>5795</v>
      </c>
      <c r="C166" s="576">
        <v>2018.0</v>
      </c>
      <c r="D166" s="578">
        <v>3.96816971E8</v>
      </c>
      <c r="E166" s="571" t="s">
        <v>5724</v>
      </c>
      <c r="F166" s="43" t="s">
        <v>111</v>
      </c>
      <c r="G166" s="376" t="s">
        <v>34</v>
      </c>
    </row>
    <row r="167" ht="15.75" customHeight="1">
      <c r="A167" s="576">
        <v>171.0</v>
      </c>
      <c r="B167" s="563" t="s">
        <v>5796</v>
      </c>
      <c r="C167" s="576">
        <v>2014.0</v>
      </c>
      <c r="D167" s="578">
        <v>9.77933786E8</v>
      </c>
      <c r="E167" s="571" t="s">
        <v>5740</v>
      </c>
      <c r="F167" s="43" t="s">
        <v>111</v>
      </c>
      <c r="G167" s="376"/>
    </row>
    <row r="168" ht="15.75" customHeight="1">
      <c r="A168" s="576">
        <v>172.0</v>
      </c>
      <c r="B168" s="563" t="s">
        <v>5797</v>
      </c>
      <c r="C168" s="576">
        <v>2018.0</v>
      </c>
      <c r="D168" s="578">
        <v>9.77933786E8</v>
      </c>
      <c r="E168" s="571" t="s">
        <v>5740</v>
      </c>
      <c r="F168" s="43" t="s">
        <v>111</v>
      </c>
      <c r="G168" s="376" t="s">
        <v>34</v>
      </c>
    </row>
    <row r="169" ht="15.75" customHeight="1">
      <c r="A169" s="576">
        <v>173.0</v>
      </c>
      <c r="B169" s="563" t="s">
        <v>5798</v>
      </c>
      <c r="C169" s="576">
        <v>2010.0</v>
      </c>
      <c r="D169" s="578">
        <v>3.82389847E8</v>
      </c>
      <c r="E169" s="571" t="s">
        <v>5799</v>
      </c>
      <c r="F169" s="43" t="s">
        <v>111</v>
      </c>
      <c r="G169" s="376"/>
    </row>
    <row r="170" ht="15.75" customHeight="1">
      <c r="A170" s="576">
        <v>174.0</v>
      </c>
      <c r="B170" s="563" t="s">
        <v>5800</v>
      </c>
      <c r="C170" s="576">
        <v>2015.0</v>
      </c>
      <c r="D170" s="578">
        <v>3.82389847E8</v>
      </c>
      <c r="E170" s="571" t="s">
        <v>5799</v>
      </c>
      <c r="F170" s="43" t="s">
        <v>111</v>
      </c>
      <c r="G170" s="376"/>
    </row>
    <row r="171" ht="15.75" customHeight="1">
      <c r="A171" s="576">
        <v>175.0</v>
      </c>
      <c r="B171" s="563" t="s">
        <v>5801</v>
      </c>
      <c r="C171" s="576">
        <v>2014.0</v>
      </c>
      <c r="D171" s="578">
        <v>9.74121828E8</v>
      </c>
      <c r="E171" s="571" t="s">
        <v>191</v>
      </c>
      <c r="F171" s="43" t="s">
        <v>111</v>
      </c>
      <c r="G171" s="376"/>
    </row>
    <row r="172" ht="15.75" customHeight="1">
      <c r="A172" s="576">
        <v>178.0</v>
      </c>
      <c r="B172" s="563" t="s">
        <v>5802</v>
      </c>
      <c r="C172" s="576">
        <v>2011.0</v>
      </c>
      <c r="D172" s="578">
        <v>9.76383622E8</v>
      </c>
      <c r="E172" s="571" t="s">
        <v>5772</v>
      </c>
      <c r="F172" s="43" t="s">
        <v>111</v>
      </c>
      <c r="G172" s="376"/>
    </row>
    <row r="173" ht="15.75" customHeight="1">
      <c r="A173" s="576">
        <v>179.0</v>
      </c>
      <c r="B173" s="563" t="s">
        <v>5803</v>
      </c>
      <c r="C173" s="576">
        <v>2013.0</v>
      </c>
      <c r="D173" s="578">
        <v>9.46528528E8</v>
      </c>
      <c r="E173" s="571" t="s">
        <v>5665</v>
      </c>
      <c r="F173" s="43" t="s">
        <v>111</v>
      </c>
      <c r="G173" s="376"/>
    </row>
    <row r="174" ht="15.75" customHeight="1">
      <c r="A174" s="576">
        <v>180.0</v>
      </c>
      <c r="B174" s="563" t="s">
        <v>5804</v>
      </c>
      <c r="C174" s="576">
        <v>2015.0</v>
      </c>
      <c r="D174" s="578">
        <v>3.72898166E8</v>
      </c>
      <c r="E174" s="571" t="s">
        <v>5592</v>
      </c>
      <c r="F174" s="43" t="s">
        <v>111</v>
      </c>
      <c r="G174" s="376" t="s">
        <v>216</v>
      </c>
    </row>
    <row r="175" ht="15.75" customHeight="1">
      <c r="A175" s="576">
        <v>181.0</v>
      </c>
      <c r="B175" s="563" t="s">
        <v>5805</v>
      </c>
      <c r="C175" s="576">
        <v>2017.0</v>
      </c>
      <c r="D175" s="578">
        <v>9.79284098E8</v>
      </c>
      <c r="E175" s="571" t="s">
        <v>5665</v>
      </c>
      <c r="F175" s="43" t="s">
        <v>111</v>
      </c>
      <c r="G175" s="376" t="s">
        <v>34</v>
      </c>
    </row>
    <row r="176" ht="15.75" customHeight="1">
      <c r="A176" s="576">
        <v>182.0</v>
      </c>
      <c r="B176" s="563" t="s">
        <v>5806</v>
      </c>
      <c r="C176" s="576">
        <v>2018.0</v>
      </c>
      <c r="D176" s="578">
        <v>9.3625966E8</v>
      </c>
      <c r="E176" s="571" t="s">
        <v>191</v>
      </c>
      <c r="F176" s="43" t="s">
        <v>111</v>
      </c>
      <c r="G176" s="376" t="s">
        <v>34</v>
      </c>
    </row>
    <row r="177" ht="15.75" customHeight="1">
      <c r="A177" s="576">
        <v>183.0</v>
      </c>
      <c r="B177" s="563" t="s">
        <v>1028</v>
      </c>
      <c r="C177" s="576">
        <v>2017.0</v>
      </c>
      <c r="D177" s="578">
        <v>9.06550822E8</v>
      </c>
      <c r="E177" s="571" t="s">
        <v>64</v>
      </c>
      <c r="F177" s="43" t="s">
        <v>111</v>
      </c>
      <c r="G177" s="376" t="s">
        <v>34</v>
      </c>
    </row>
    <row r="178" ht="15.75" customHeight="1">
      <c r="A178" s="559">
        <v>184.0</v>
      </c>
      <c r="B178" s="563" t="s">
        <v>5807</v>
      </c>
      <c r="C178" s="576">
        <v>2012.0</v>
      </c>
      <c r="D178" s="578">
        <v>9.88522702E8</v>
      </c>
      <c r="E178" s="571" t="s">
        <v>4017</v>
      </c>
      <c r="F178" s="43" t="s">
        <v>111</v>
      </c>
      <c r="G178" s="376"/>
    </row>
    <row r="179" ht="15.75" customHeight="1">
      <c r="A179" s="576">
        <v>185.0</v>
      </c>
      <c r="B179" s="563" t="s">
        <v>5808</v>
      </c>
      <c r="C179" s="576">
        <v>2015.0</v>
      </c>
      <c r="D179" s="578">
        <v>9.85058605E8</v>
      </c>
      <c r="E179" s="571" t="s">
        <v>191</v>
      </c>
      <c r="F179" s="43" t="s">
        <v>111</v>
      </c>
      <c r="G179" s="376"/>
    </row>
    <row r="180" ht="15.75" customHeight="1">
      <c r="A180" s="576">
        <v>186.0</v>
      </c>
      <c r="B180" s="563" t="s">
        <v>5809</v>
      </c>
      <c r="C180" s="576">
        <v>2019.0</v>
      </c>
      <c r="D180" s="578">
        <v>9.85058605E8</v>
      </c>
      <c r="E180" s="571" t="s">
        <v>191</v>
      </c>
      <c r="F180" s="43" t="s">
        <v>111</v>
      </c>
      <c r="G180" s="376" t="s">
        <v>34</v>
      </c>
    </row>
    <row r="181" ht="15.75" customHeight="1">
      <c r="A181" s="576">
        <v>187.0</v>
      </c>
      <c r="B181" s="563" t="s">
        <v>5810</v>
      </c>
      <c r="C181" s="576">
        <v>2014.0</v>
      </c>
      <c r="D181" s="578">
        <v>9.7956722E8</v>
      </c>
      <c r="E181" s="571" t="s">
        <v>5811</v>
      </c>
      <c r="F181" s="43" t="s">
        <v>111</v>
      </c>
      <c r="G181" s="376"/>
    </row>
    <row r="182" ht="15.75" customHeight="1">
      <c r="A182" s="576">
        <v>188.0</v>
      </c>
      <c r="B182" s="563" t="s">
        <v>5812</v>
      </c>
      <c r="C182" s="576">
        <v>2015.0</v>
      </c>
      <c r="D182" s="575" t="s">
        <v>5813</v>
      </c>
      <c r="E182" s="571" t="s">
        <v>5814</v>
      </c>
      <c r="F182" s="43" t="s">
        <v>111</v>
      </c>
      <c r="G182" s="376"/>
    </row>
    <row r="183" ht="15.75" customHeight="1">
      <c r="A183" s="576">
        <v>189.0</v>
      </c>
      <c r="B183" s="563" t="s">
        <v>5815</v>
      </c>
      <c r="C183" s="576">
        <v>2016.0</v>
      </c>
      <c r="D183" s="578">
        <v>0.0975939676</v>
      </c>
      <c r="E183" s="571" t="s">
        <v>5816</v>
      </c>
      <c r="F183" s="43" t="s">
        <v>111</v>
      </c>
      <c r="G183" s="376"/>
    </row>
    <row r="184" ht="15.75" customHeight="1">
      <c r="A184" s="576">
        <v>190.0</v>
      </c>
      <c r="B184" s="563" t="s">
        <v>5817</v>
      </c>
      <c r="C184" s="576">
        <v>2017.0</v>
      </c>
      <c r="D184" s="578">
        <v>9.75939676E8</v>
      </c>
      <c r="E184" s="571" t="s">
        <v>5816</v>
      </c>
      <c r="F184" s="43" t="s">
        <v>111</v>
      </c>
      <c r="G184" s="376" t="s">
        <v>216</v>
      </c>
    </row>
    <row r="185" ht="15.75" customHeight="1">
      <c r="A185" s="576">
        <v>191.0</v>
      </c>
      <c r="B185" s="563" t="s">
        <v>5818</v>
      </c>
      <c r="C185" s="576">
        <v>2016.0</v>
      </c>
      <c r="D185" s="578">
        <v>9.16286166E8</v>
      </c>
      <c r="E185" s="571" t="s">
        <v>191</v>
      </c>
      <c r="F185" s="43" t="s">
        <v>111</v>
      </c>
      <c r="G185" s="376"/>
    </row>
    <row r="186" ht="15.75" customHeight="1">
      <c r="A186" s="576">
        <v>192.0</v>
      </c>
      <c r="B186" s="563" t="s">
        <v>5227</v>
      </c>
      <c r="C186" s="576">
        <v>2018.0</v>
      </c>
      <c r="D186" s="578">
        <v>9.01535919E8</v>
      </c>
      <c r="E186" s="571" t="s">
        <v>191</v>
      </c>
      <c r="F186" s="43" t="s">
        <v>111</v>
      </c>
      <c r="G186" s="376" t="s">
        <v>34</v>
      </c>
    </row>
    <row r="187" ht="15.75" customHeight="1">
      <c r="A187" s="576">
        <v>193.0</v>
      </c>
      <c r="B187" s="563" t="s">
        <v>5819</v>
      </c>
      <c r="C187" s="576">
        <v>2015.0</v>
      </c>
      <c r="D187" s="578">
        <v>9.81966956E8</v>
      </c>
      <c r="E187" s="571" t="s">
        <v>5586</v>
      </c>
      <c r="F187" s="43" t="s">
        <v>111</v>
      </c>
      <c r="G187" s="376"/>
    </row>
    <row r="188" ht="15.75" customHeight="1">
      <c r="A188" s="576">
        <v>194.0</v>
      </c>
      <c r="B188" s="563" t="s">
        <v>5820</v>
      </c>
      <c r="C188" s="576">
        <v>2016.0</v>
      </c>
      <c r="D188" s="578">
        <v>9.63077379E8</v>
      </c>
      <c r="E188" s="571" t="s">
        <v>5811</v>
      </c>
      <c r="F188" s="43" t="s">
        <v>111</v>
      </c>
      <c r="G188" s="376"/>
    </row>
    <row r="189" ht="15.75" customHeight="1">
      <c r="A189" s="576">
        <v>195.0</v>
      </c>
      <c r="B189" s="563" t="s">
        <v>5821</v>
      </c>
      <c r="C189" s="576">
        <v>2014.0</v>
      </c>
      <c r="D189" s="575" t="s">
        <v>5822</v>
      </c>
      <c r="E189" s="571" t="s">
        <v>191</v>
      </c>
      <c r="F189" s="43" t="s">
        <v>111</v>
      </c>
      <c r="G189" s="376"/>
    </row>
    <row r="190" ht="15.75" customHeight="1">
      <c r="A190" s="576">
        <v>196.0</v>
      </c>
      <c r="B190" s="563" t="s">
        <v>5823</v>
      </c>
      <c r="C190" s="576">
        <v>2016.0</v>
      </c>
      <c r="D190" s="575" t="s">
        <v>5822</v>
      </c>
      <c r="E190" s="571" t="s">
        <v>191</v>
      </c>
      <c r="F190" s="43" t="s">
        <v>111</v>
      </c>
      <c r="G190" s="376"/>
    </row>
    <row r="191" ht="15.75" customHeight="1">
      <c r="A191" s="576">
        <v>197.0</v>
      </c>
      <c r="B191" s="563" t="s">
        <v>5824</v>
      </c>
      <c r="C191" s="576">
        <v>2014.0</v>
      </c>
      <c r="D191" s="578">
        <v>9.77912906E8</v>
      </c>
      <c r="E191" s="571" t="s">
        <v>5716</v>
      </c>
      <c r="F191" s="43" t="s">
        <v>111</v>
      </c>
      <c r="G191" s="376" t="s">
        <v>34</v>
      </c>
    </row>
    <row r="192" ht="15.75" customHeight="1">
      <c r="A192" s="576">
        <v>198.0</v>
      </c>
      <c r="B192" s="563" t="s">
        <v>5825</v>
      </c>
      <c r="C192" s="576">
        <v>2017.0</v>
      </c>
      <c r="D192" s="578">
        <v>9.73848923E8</v>
      </c>
      <c r="E192" s="571" t="s">
        <v>5826</v>
      </c>
      <c r="F192" s="43" t="s">
        <v>111</v>
      </c>
      <c r="G192" s="376"/>
    </row>
    <row r="193" ht="15.75" customHeight="1">
      <c r="A193" s="576">
        <v>199.0</v>
      </c>
      <c r="B193" s="563" t="s">
        <v>5827</v>
      </c>
      <c r="C193" s="576">
        <v>2014.0</v>
      </c>
      <c r="D193" s="578">
        <v>8.5570809E8</v>
      </c>
      <c r="E193" s="571" t="s">
        <v>5660</v>
      </c>
      <c r="F193" s="43" t="s">
        <v>111</v>
      </c>
      <c r="G193" s="376"/>
    </row>
    <row r="194" ht="15.75" customHeight="1">
      <c r="A194" s="576">
        <v>200.0</v>
      </c>
      <c r="B194" s="563" t="s">
        <v>5828</v>
      </c>
      <c r="C194" s="576">
        <v>2015.0</v>
      </c>
      <c r="D194" s="578">
        <v>9.13246612E8</v>
      </c>
      <c r="E194" s="571" t="s">
        <v>5829</v>
      </c>
      <c r="F194" s="43" t="s">
        <v>111</v>
      </c>
      <c r="G194" s="376" t="s">
        <v>216</v>
      </c>
    </row>
    <row r="195" ht="15.75" customHeight="1">
      <c r="A195" s="576">
        <v>201.0</v>
      </c>
      <c r="B195" s="563" t="s">
        <v>5830</v>
      </c>
      <c r="C195" s="576">
        <v>2019.0</v>
      </c>
      <c r="D195" s="578">
        <v>9.44260912E8</v>
      </c>
      <c r="E195" s="571" t="s">
        <v>5578</v>
      </c>
      <c r="F195" s="43" t="s">
        <v>111</v>
      </c>
      <c r="G195" s="376" t="s">
        <v>34</v>
      </c>
    </row>
    <row r="196" ht="15.75" customHeight="1">
      <c r="A196" s="576">
        <v>202.0</v>
      </c>
      <c r="B196" s="563" t="s">
        <v>5831</v>
      </c>
      <c r="C196" s="576">
        <v>2016.0</v>
      </c>
      <c r="D196" s="578">
        <v>9.87380938E8</v>
      </c>
      <c r="E196" s="571" t="s">
        <v>5832</v>
      </c>
      <c r="F196" s="43" t="s">
        <v>111</v>
      </c>
      <c r="G196" s="376"/>
    </row>
    <row r="197" ht="15.75" customHeight="1">
      <c r="A197" s="559">
        <v>203.0</v>
      </c>
      <c r="B197" s="563" t="s">
        <v>5833</v>
      </c>
      <c r="C197" s="559">
        <v>2014.0</v>
      </c>
      <c r="D197" s="578">
        <v>9.73029219E8</v>
      </c>
      <c r="E197" s="561" t="s">
        <v>191</v>
      </c>
      <c r="F197" s="43" t="s">
        <v>111</v>
      </c>
      <c r="G197" s="376"/>
    </row>
    <row r="198" ht="15.75" customHeight="1">
      <c r="A198" s="576">
        <v>204.0</v>
      </c>
      <c r="B198" s="563" t="s">
        <v>5834</v>
      </c>
      <c r="C198" s="576">
        <v>2016.0</v>
      </c>
      <c r="D198" s="575" t="s">
        <v>5835</v>
      </c>
      <c r="E198" s="571" t="s">
        <v>5643</v>
      </c>
      <c r="F198" s="43" t="s">
        <v>111</v>
      </c>
      <c r="G198" s="376" t="s">
        <v>34</v>
      </c>
    </row>
    <row r="199" ht="15.75" customHeight="1">
      <c r="A199" s="576">
        <v>205.0</v>
      </c>
      <c r="B199" s="563" t="s">
        <v>5836</v>
      </c>
      <c r="C199" s="576">
        <v>2018.0</v>
      </c>
      <c r="D199" s="575" t="s">
        <v>5837</v>
      </c>
      <c r="E199" s="571" t="s">
        <v>5643</v>
      </c>
      <c r="F199" s="43" t="s">
        <v>111</v>
      </c>
      <c r="G199" s="376" t="s">
        <v>34</v>
      </c>
    </row>
    <row r="200" ht="15.75" customHeight="1">
      <c r="A200" s="576">
        <v>206.0</v>
      </c>
      <c r="B200" s="563" t="s">
        <v>5838</v>
      </c>
      <c r="C200" s="576">
        <v>2014.0</v>
      </c>
      <c r="D200" s="578">
        <v>9.36886968E8</v>
      </c>
      <c r="E200" s="571" t="s">
        <v>5765</v>
      </c>
      <c r="F200" s="43" t="s">
        <v>111</v>
      </c>
      <c r="G200" s="376"/>
    </row>
    <row r="201" ht="15.75" customHeight="1">
      <c r="A201" s="576">
        <v>207.0</v>
      </c>
      <c r="B201" s="563" t="s">
        <v>5839</v>
      </c>
      <c r="C201" s="576">
        <v>2014.0</v>
      </c>
      <c r="D201" s="578">
        <v>8.49811202E8</v>
      </c>
      <c r="E201" s="571" t="s">
        <v>5783</v>
      </c>
      <c r="F201" s="43" t="s">
        <v>111</v>
      </c>
      <c r="G201" s="376"/>
    </row>
    <row r="202" ht="15.75" customHeight="1">
      <c r="A202" s="576">
        <v>208.0</v>
      </c>
      <c r="B202" s="563" t="s">
        <v>5840</v>
      </c>
      <c r="C202" s="576">
        <v>2016.0</v>
      </c>
      <c r="D202" s="578">
        <v>9.74479886E8</v>
      </c>
      <c r="E202" s="571" t="s">
        <v>5724</v>
      </c>
      <c r="F202" s="43" t="s">
        <v>111</v>
      </c>
      <c r="G202" s="376"/>
    </row>
    <row r="203" ht="15.75" customHeight="1">
      <c r="A203" s="576">
        <v>209.0</v>
      </c>
      <c r="B203" s="563" t="s">
        <v>5841</v>
      </c>
      <c r="C203" s="576">
        <v>2015.0</v>
      </c>
      <c r="D203" s="575" t="s">
        <v>5842</v>
      </c>
      <c r="E203" s="571" t="s">
        <v>191</v>
      </c>
      <c r="F203" s="43" t="s">
        <v>111</v>
      </c>
      <c r="G203" s="376"/>
    </row>
    <row r="204" ht="15.75" customHeight="1">
      <c r="A204" s="576">
        <v>210.0</v>
      </c>
      <c r="B204" s="563" t="s">
        <v>5843</v>
      </c>
      <c r="C204" s="576">
        <v>2011.0</v>
      </c>
      <c r="D204" s="578">
        <v>9.89257909E8</v>
      </c>
      <c r="E204" s="571" t="s">
        <v>191</v>
      </c>
      <c r="F204" s="43" t="s">
        <v>111</v>
      </c>
      <c r="G204" s="376"/>
    </row>
    <row r="205" ht="15.75" customHeight="1">
      <c r="A205" s="576">
        <v>211.0</v>
      </c>
      <c r="B205" s="563" t="s">
        <v>5844</v>
      </c>
      <c r="C205" s="576">
        <v>2016.0</v>
      </c>
      <c r="D205" s="575" t="s">
        <v>5845</v>
      </c>
      <c r="E205" s="571" t="str">
        <f>E204</f>
        <v>Hà Nội</v>
      </c>
      <c r="F205" s="43" t="s">
        <v>111</v>
      </c>
      <c r="G205" s="376"/>
    </row>
    <row r="206" ht="15.75" customHeight="1">
      <c r="A206" s="576">
        <v>212.0</v>
      </c>
      <c r="B206" s="561" t="s">
        <v>5846</v>
      </c>
      <c r="C206" s="571"/>
      <c r="D206" s="571"/>
      <c r="E206" s="571" t="s">
        <v>191</v>
      </c>
      <c r="F206" s="43" t="s">
        <v>111</v>
      </c>
      <c r="G206" s="376"/>
    </row>
    <row r="207" ht="15.75" customHeight="1">
      <c r="A207" s="576">
        <v>213.0</v>
      </c>
      <c r="B207" s="571" t="s">
        <v>5847</v>
      </c>
      <c r="C207" s="559">
        <v>2014.0</v>
      </c>
      <c r="D207" s="576">
        <v>9.78290234E8</v>
      </c>
      <c r="E207" s="571" t="s">
        <v>5609</v>
      </c>
      <c r="F207" s="43" t="s">
        <v>111</v>
      </c>
      <c r="G207" s="376"/>
    </row>
    <row r="208" ht="15.75" customHeight="1">
      <c r="A208" s="576">
        <v>214.0</v>
      </c>
      <c r="B208" s="571" t="s">
        <v>5848</v>
      </c>
      <c r="C208" s="559">
        <v>2015.0</v>
      </c>
      <c r="D208" s="576">
        <v>9.15685097E8</v>
      </c>
      <c r="E208" s="571" t="s">
        <v>5765</v>
      </c>
      <c r="F208" s="43" t="s">
        <v>111</v>
      </c>
      <c r="G208" s="376"/>
    </row>
    <row r="209" ht="15.75" customHeight="1">
      <c r="A209" s="576">
        <v>215.0</v>
      </c>
      <c r="B209" s="571" t="s">
        <v>5849</v>
      </c>
      <c r="C209" s="559">
        <v>2015.0</v>
      </c>
      <c r="D209" s="576">
        <v>9.79160561E8</v>
      </c>
      <c r="E209" s="571" t="s">
        <v>5565</v>
      </c>
      <c r="F209" s="43" t="s">
        <v>111</v>
      </c>
      <c r="G209" s="376"/>
    </row>
    <row r="210" ht="15.75" customHeight="1">
      <c r="A210" s="576">
        <v>216.0</v>
      </c>
      <c r="B210" s="571" t="s">
        <v>5850</v>
      </c>
      <c r="C210" s="559">
        <v>2014.0</v>
      </c>
      <c r="D210" s="576">
        <v>9.79469029E8</v>
      </c>
      <c r="E210" s="571" t="s">
        <v>5829</v>
      </c>
      <c r="F210" s="43" t="s">
        <v>111</v>
      </c>
      <c r="G210" s="376"/>
    </row>
    <row r="211" ht="15.75" customHeight="1">
      <c r="A211" s="576">
        <v>217.0</v>
      </c>
      <c r="B211" s="571" t="s">
        <v>5851</v>
      </c>
      <c r="C211" s="559">
        <v>2017.0</v>
      </c>
      <c r="D211" s="576">
        <v>9.79469029E8</v>
      </c>
      <c r="E211" s="571" t="s">
        <v>5852</v>
      </c>
      <c r="F211" s="43" t="s">
        <v>111</v>
      </c>
      <c r="G211" s="376" t="s">
        <v>34</v>
      </c>
    </row>
    <row r="212" ht="15.75" customHeight="1">
      <c r="A212" s="576">
        <v>219.0</v>
      </c>
      <c r="B212" s="579" t="s">
        <v>5853</v>
      </c>
      <c r="C212" s="559">
        <v>2011.0</v>
      </c>
      <c r="D212" s="576">
        <v>9.86318518E8</v>
      </c>
      <c r="E212" s="571" t="s">
        <v>5660</v>
      </c>
      <c r="F212" s="43" t="s">
        <v>111</v>
      </c>
      <c r="G212" s="376"/>
    </row>
    <row r="213" ht="15.75" customHeight="1">
      <c r="A213" s="576">
        <v>218.0</v>
      </c>
      <c r="B213" s="571" t="s">
        <v>5854</v>
      </c>
      <c r="C213" s="559">
        <v>2013.0</v>
      </c>
      <c r="D213" s="580" t="s">
        <v>5855</v>
      </c>
      <c r="E213" s="571" t="s">
        <v>5856</v>
      </c>
      <c r="F213" s="43" t="s">
        <v>111</v>
      </c>
      <c r="G213" s="376"/>
    </row>
    <row r="214" ht="15.75" customHeight="1">
      <c r="A214" s="576">
        <v>219.0</v>
      </c>
      <c r="B214" s="563" t="s">
        <v>5857</v>
      </c>
      <c r="C214" s="576">
        <v>2012.0</v>
      </c>
      <c r="D214" s="578">
        <v>9.82839786E8</v>
      </c>
      <c r="E214" s="571" t="s">
        <v>5858</v>
      </c>
      <c r="F214" s="43" t="s">
        <v>111</v>
      </c>
      <c r="G214" s="376"/>
    </row>
    <row r="215" ht="15.75" customHeight="1">
      <c r="A215" s="576">
        <v>220.0</v>
      </c>
      <c r="B215" s="563" t="s">
        <v>5859</v>
      </c>
      <c r="C215" s="576">
        <v>2015.0</v>
      </c>
      <c r="D215" s="578">
        <v>9.160603E8</v>
      </c>
      <c r="E215" s="571" t="s">
        <v>191</v>
      </c>
      <c r="F215" s="43" t="s">
        <v>111</v>
      </c>
      <c r="G215" s="376"/>
    </row>
    <row r="216" ht="15.75" customHeight="1">
      <c r="A216" s="576">
        <v>221.0</v>
      </c>
      <c r="B216" s="563" t="s">
        <v>5860</v>
      </c>
      <c r="C216" s="576">
        <v>2014.0</v>
      </c>
      <c r="D216" s="578">
        <v>9.62857857E8</v>
      </c>
      <c r="E216" s="571" t="s">
        <v>5643</v>
      </c>
      <c r="F216" s="43" t="s">
        <v>111</v>
      </c>
      <c r="G216" s="376"/>
    </row>
    <row r="217" ht="15.75" customHeight="1">
      <c r="A217" s="576">
        <v>222.0</v>
      </c>
      <c r="B217" s="563" t="s">
        <v>5861</v>
      </c>
      <c r="C217" s="576">
        <v>2015.0</v>
      </c>
      <c r="D217" s="578">
        <v>9.8213119E8</v>
      </c>
      <c r="E217" s="571" t="s">
        <v>191</v>
      </c>
      <c r="F217" s="43" t="s">
        <v>111</v>
      </c>
      <c r="G217" s="376"/>
    </row>
    <row r="218" ht="15.75" customHeight="1">
      <c r="A218" s="576">
        <v>223.0</v>
      </c>
      <c r="B218" s="563" t="s">
        <v>5862</v>
      </c>
      <c r="C218" s="576">
        <v>2012.0</v>
      </c>
      <c r="D218" s="578">
        <v>9.73487305E8</v>
      </c>
      <c r="E218" s="571" t="s">
        <v>5650</v>
      </c>
      <c r="F218" s="43" t="s">
        <v>111</v>
      </c>
      <c r="G218" s="376"/>
    </row>
    <row r="219" ht="15.75" customHeight="1">
      <c r="A219" s="576">
        <v>224.0</v>
      </c>
      <c r="B219" s="563" t="s">
        <v>5863</v>
      </c>
      <c r="C219" s="576">
        <v>2012.0</v>
      </c>
      <c r="D219" s="578">
        <v>9.73487305E8</v>
      </c>
      <c r="E219" s="571" t="s">
        <v>5650</v>
      </c>
      <c r="F219" s="43" t="s">
        <v>111</v>
      </c>
      <c r="G219" s="376"/>
    </row>
    <row r="220" ht="15.75" customHeight="1">
      <c r="A220" s="576">
        <v>225.0</v>
      </c>
      <c r="B220" s="563" t="s">
        <v>5864</v>
      </c>
      <c r="C220" s="576">
        <v>2015.0</v>
      </c>
      <c r="D220" s="578">
        <v>3.88220828E8</v>
      </c>
      <c r="E220" s="571" t="s">
        <v>5543</v>
      </c>
      <c r="F220" s="43" t="s">
        <v>111</v>
      </c>
      <c r="G220" s="376"/>
    </row>
    <row r="221" ht="15.75" customHeight="1">
      <c r="A221" s="559">
        <v>226.0</v>
      </c>
      <c r="B221" s="563" t="s">
        <v>5865</v>
      </c>
      <c r="C221" s="576"/>
      <c r="D221" s="571"/>
      <c r="E221" s="571"/>
      <c r="F221" s="43" t="s">
        <v>111</v>
      </c>
      <c r="G221" s="376"/>
    </row>
    <row r="222" ht="15.75" customHeight="1">
      <c r="A222" s="559">
        <v>227.0</v>
      </c>
      <c r="B222" s="563" t="s">
        <v>5866</v>
      </c>
      <c r="C222" s="571"/>
      <c r="D222" s="571"/>
      <c r="E222" s="571"/>
      <c r="F222" s="43" t="s">
        <v>111</v>
      </c>
      <c r="G222" s="376"/>
    </row>
    <row r="223" ht="15.75" customHeight="1">
      <c r="A223" s="576">
        <v>228.0</v>
      </c>
      <c r="B223" s="563" t="s">
        <v>1154</v>
      </c>
      <c r="C223" s="576">
        <v>2015.0</v>
      </c>
      <c r="D223" s="578">
        <v>9.86398018E8</v>
      </c>
      <c r="E223" s="571" t="s">
        <v>5552</v>
      </c>
      <c r="F223" s="43" t="s">
        <v>111</v>
      </c>
      <c r="G223" s="376"/>
    </row>
    <row r="224" ht="15.75" customHeight="1">
      <c r="A224" s="576">
        <v>229.0</v>
      </c>
      <c r="B224" s="563" t="s">
        <v>5867</v>
      </c>
      <c r="C224" s="576">
        <v>2017.0</v>
      </c>
      <c r="D224" s="578">
        <v>9.89291499E8</v>
      </c>
      <c r="E224" s="571" t="s">
        <v>5765</v>
      </c>
      <c r="F224" s="43" t="s">
        <v>111</v>
      </c>
      <c r="G224" s="376" t="s">
        <v>565</v>
      </c>
      <c r="H224" s="383" t="s">
        <v>4096</v>
      </c>
    </row>
    <row r="225" ht="15.75" customHeight="1">
      <c r="A225" s="576">
        <v>230.0</v>
      </c>
      <c r="B225" s="563" t="s">
        <v>5868</v>
      </c>
      <c r="C225" s="576">
        <v>2016.0</v>
      </c>
      <c r="D225" s="578">
        <v>9.74002493E8</v>
      </c>
      <c r="E225" s="571" t="s">
        <v>5869</v>
      </c>
      <c r="F225" s="43" t="s">
        <v>111</v>
      </c>
      <c r="G225" s="376"/>
    </row>
    <row r="226" ht="15.75" customHeight="1">
      <c r="A226" s="576">
        <v>231.0</v>
      </c>
      <c r="B226" s="563" t="s">
        <v>5870</v>
      </c>
      <c r="C226" s="576">
        <v>2012.0</v>
      </c>
      <c r="D226" s="578">
        <v>9.37072922E8</v>
      </c>
      <c r="E226" s="571" t="s">
        <v>5660</v>
      </c>
      <c r="F226" s="43" t="s">
        <v>111</v>
      </c>
      <c r="G226" s="376"/>
    </row>
    <row r="227" ht="15.75" customHeight="1">
      <c r="A227" s="576">
        <v>232.0</v>
      </c>
      <c r="B227" s="563" t="s">
        <v>5871</v>
      </c>
      <c r="C227" s="576">
        <v>2017.0</v>
      </c>
      <c r="D227" s="578">
        <v>9.79815276E8</v>
      </c>
      <c r="E227" s="571" t="s">
        <v>5559</v>
      </c>
      <c r="F227" s="43" t="s">
        <v>111</v>
      </c>
      <c r="G227" s="376" t="s">
        <v>216</v>
      </c>
      <c r="H227" s="383" t="s">
        <v>4997</v>
      </c>
    </row>
    <row r="228" ht="15.75" customHeight="1"/>
    <row r="229" ht="15.75" customHeight="1"/>
    <row r="230" ht="15.75" customHeight="1">
      <c r="F230" s="383" t="s">
        <v>289</v>
      </c>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5EA97B06-ADCE-4576-8366-C60E49E73598}" filter="1" showAutoFilter="1">
      <autoFilter ref="$C$1:$C$230">
        <filterColumn colId="0">
          <filters blank="1">
            <filter val="11/12/2011"/>
            <filter val="12/8/2012"/>
            <filter val="10/8/2012"/>
            <filter val="08/11/2013"/>
            <filter val="27/06/2012"/>
            <filter val="22/12/2013"/>
            <filter val="06/04/2013"/>
            <filter val="11/6/2013"/>
            <filter val="2001"/>
            <filter val="22/10/2012"/>
            <filter val="6/11/2013"/>
            <filter val="06/2012"/>
            <filter val="6/11/2011"/>
            <filter val="21/11/2012"/>
            <filter val="12/04/2013"/>
            <filter val="2012"/>
            <filter val="2011"/>
            <filter val="2010"/>
            <filter val="20/10/2012"/>
            <filter val="15/5/2012"/>
            <filter val="18/10/2011"/>
            <filter val="7/11/2012"/>
            <filter val="2013"/>
          </filters>
        </filterColumn>
      </autoFilter>
      <extLst>
        <ext uri="GoogleSheetsCustomDataVersion1">
          <go:sheetsCustomData xmlns:go="http://customooxmlschemas.google.com/" filterViewId="1042695433"/>
        </ext>
      </extLst>
    </customSheetView>
  </customSheetViews>
  <mergeCells count="3">
    <mergeCell ref="K2:N2"/>
    <mergeCell ref="K3:N3"/>
    <mergeCell ref="K6:N6"/>
  </mergeCells>
  <conditionalFormatting sqref="C1:C1000">
    <cfRule type="containsText" dxfId="3" priority="1" operator="containsText" text="2017">
      <formula>NOT(ISERROR(SEARCH(("2017"),(C1))))</formula>
    </cfRule>
  </conditionalFormatting>
  <conditionalFormatting sqref="L30">
    <cfRule type="containsText" dxfId="3" priority="2" operator="containsText" text="2018">
      <formula>NOT(ISERROR(SEARCH(("2018"),(L30))))</formula>
    </cfRule>
  </conditionalFormatting>
  <conditionalFormatting sqref="C1:C1000">
    <cfRule type="containsText" dxfId="3" priority="3" operator="containsText" text="2018">
      <formula>NOT(ISERROR(SEARCH(("2018"),(C1))))</formula>
    </cfRule>
  </conditionalFormatting>
  <conditionalFormatting sqref="C1:C1000">
    <cfRule type="containsText" dxfId="3" priority="4" operator="containsText" text="2019">
      <formula>NOT(ISERROR(SEARCH(("2019"),(C1))))</formula>
    </cfRule>
  </conditionalFormatting>
  <conditionalFormatting sqref="C1:C1000">
    <cfRule type="containsText" dxfId="3" priority="5" operator="containsText" text="2020">
      <formula>NOT(ISERROR(SEARCH(("2020"),(C1))))</formula>
    </cfRule>
  </conditionalFormatting>
  <dataValidations>
    <dataValidation type="list" allowBlank="1" showErrorMessage="1" sqref="F2:F227">
      <formula1>"Loan,Phương,Cúc,Trang,Thảo,Yến,Linh,Ánh"</formula1>
    </dataValidation>
    <dataValidation type="list" allowBlank="1" showErrorMessage="1" sqref="G2:G227">
      <formula1>"Đã chuyển qua file tổng,Chưa liên lạc được,Từ chối,Đã liên lạc lần 1"</formula1>
    </dataValidation>
  </dataValidations>
  <hyperlinks>
    <hyperlink r:id="rId1" location="gid=75988744" ref="K3"/>
    <hyperlink r:id="rId2" location="gid=1666319970" ref="K6"/>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2.5"/>
    <col customWidth="1" min="3" max="3" width="26.88"/>
    <col customWidth="1" min="4" max="4" width="18.75"/>
    <col customWidth="1" min="5" max="5" width="19.13"/>
    <col customWidth="1" min="6" max="6" width="12.25"/>
    <col customWidth="1" min="7" max="7" width="12.63"/>
    <col customWidth="1" min="8" max="8" width="8.13"/>
    <col customWidth="1" min="9" max="9" width="13.25"/>
    <col customWidth="1" min="10" max="10" width="19.5"/>
    <col customWidth="1" min="11" max="11" width="12.25"/>
    <col customWidth="1" min="12" max="12" width="26.88"/>
    <col customWidth="1" min="13" max="13" width="17.88"/>
    <col customWidth="1" min="14" max="14" width="12.25"/>
    <col customWidth="1" min="15" max="15" width="24.13"/>
    <col customWidth="1" min="16" max="16" width="77.5"/>
    <col customWidth="1" min="17" max="17" width="12.13"/>
    <col customWidth="1" min="18" max="18" width="7.88"/>
    <col customWidth="1" min="19" max="19" width="39.0"/>
    <col customWidth="1" min="20" max="20" width="12.88"/>
    <col customWidth="1" min="21" max="21" width="11.63"/>
    <col customWidth="1" min="22" max="22" width="11.5"/>
    <col customWidth="1" min="23" max="23" width="10.5"/>
    <col customWidth="1" min="24" max="24" width="10.63"/>
    <col customWidth="1" min="25" max="25" width="10.0"/>
    <col customWidth="1" min="26" max="26" width="8.63"/>
    <col customWidth="1" min="27" max="27" width="10.38"/>
  </cols>
  <sheetData>
    <row r="1" ht="31.5" customHeight="1">
      <c r="A1" s="581"/>
      <c r="B1" s="582"/>
      <c r="C1" s="582"/>
      <c r="D1" s="582"/>
      <c r="E1" s="582"/>
      <c r="F1" s="582"/>
      <c r="G1" s="582"/>
      <c r="H1" s="582"/>
      <c r="I1" s="583"/>
      <c r="J1" s="584"/>
      <c r="K1" s="582"/>
      <c r="L1" s="582"/>
      <c r="M1" s="584"/>
      <c r="N1" s="581" t="s">
        <v>289</v>
      </c>
      <c r="O1" s="581"/>
      <c r="P1" s="581"/>
      <c r="Q1" s="581"/>
      <c r="R1" s="581"/>
      <c r="S1" s="581"/>
      <c r="T1" s="581"/>
      <c r="U1" s="585"/>
      <c r="V1" s="581"/>
      <c r="W1" s="581"/>
      <c r="X1" s="586"/>
      <c r="Y1" s="586"/>
      <c r="Z1" s="586"/>
      <c r="AA1" s="587"/>
    </row>
    <row r="2" ht="31.5" customHeight="1">
      <c r="A2" s="1" t="s">
        <v>0</v>
      </c>
      <c r="B2" s="238" t="s">
        <v>1</v>
      </c>
      <c r="C2" s="238"/>
      <c r="D2" s="238"/>
      <c r="E2" s="234" t="s">
        <v>4030</v>
      </c>
      <c r="F2" s="235"/>
      <c r="G2" s="235"/>
      <c r="H2" s="236"/>
      <c r="I2" s="588" t="s">
        <v>4031</v>
      </c>
      <c r="J2" s="235"/>
      <c r="K2" s="236"/>
      <c r="L2" s="6" t="s">
        <v>10</v>
      </c>
      <c r="M2" s="545" t="s">
        <v>5534</v>
      </c>
      <c r="N2" s="238" t="s">
        <v>11</v>
      </c>
      <c r="O2" s="238" t="s">
        <v>12</v>
      </c>
      <c r="P2" s="2" t="s">
        <v>14</v>
      </c>
      <c r="Q2" s="2" t="s">
        <v>16</v>
      </c>
      <c r="R2" s="2" t="s">
        <v>17</v>
      </c>
      <c r="S2" s="2" t="s">
        <v>18</v>
      </c>
      <c r="T2" s="2" t="s">
        <v>19</v>
      </c>
      <c r="U2" s="7" t="s">
        <v>20</v>
      </c>
      <c r="V2" s="234" t="s">
        <v>4032</v>
      </c>
      <c r="W2" s="235"/>
      <c r="X2" s="235"/>
      <c r="Y2" s="235"/>
      <c r="Z2" s="236"/>
      <c r="AA2" s="546"/>
    </row>
    <row r="3" ht="31.5" customHeight="1">
      <c r="A3" s="11"/>
      <c r="B3" s="238"/>
      <c r="C3" s="238" t="s">
        <v>2</v>
      </c>
      <c r="D3" s="238" t="s">
        <v>3</v>
      </c>
      <c r="E3" s="238" t="s">
        <v>4034</v>
      </c>
      <c r="F3" s="238" t="s">
        <v>4035</v>
      </c>
      <c r="G3" s="238" t="s">
        <v>5</v>
      </c>
      <c r="H3" s="238" t="s">
        <v>6</v>
      </c>
      <c r="I3" s="589" t="s">
        <v>4036</v>
      </c>
      <c r="J3" s="548" t="s">
        <v>8</v>
      </c>
      <c r="K3" s="240" t="s">
        <v>9</v>
      </c>
      <c r="L3" s="11"/>
      <c r="M3" s="11"/>
      <c r="N3" s="238"/>
      <c r="O3" s="238"/>
      <c r="P3" s="11"/>
      <c r="Q3" s="11"/>
      <c r="R3" s="11"/>
      <c r="S3" s="11"/>
      <c r="T3" s="11"/>
      <c r="U3" s="11"/>
      <c r="V3" s="238" t="s">
        <v>4037</v>
      </c>
      <c r="W3" s="238" t="s">
        <v>16</v>
      </c>
      <c r="X3" s="241" t="s">
        <v>4038</v>
      </c>
      <c r="Y3" s="241" t="s">
        <v>24</v>
      </c>
      <c r="Z3" s="241" t="s">
        <v>4039</v>
      </c>
      <c r="AA3" s="10" t="s">
        <v>26</v>
      </c>
    </row>
    <row r="4" ht="31.5" customHeight="1">
      <c r="A4" s="12">
        <v>45047.0</v>
      </c>
      <c r="B4" s="14" t="s">
        <v>4620</v>
      </c>
      <c r="C4" s="14" t="s">
        <v>4040</v>
      </c>
      <c r="D4" s="14"/>
      <c r="E4" s="14"/>
      <c r="F4" s="14"/>
      <c r="G4" s="14"/>
      <c r="H4" s="14"/>
      <c r="I4" s="590" t="s">
        <v>30</v>
      </c>
      <c r="J4" s="591" t="s">
        <v>5872</v>
      </c>
      <c r="K4" s="14"/>
      <c r="L4" s="14"/>
      <c r="M4" s="223"/>
      <c r="N4" s="14" t="s">
        <v>33</v>
      </c>
      <c r="O4" s="14" t="s">
        <v>34</v>
      </c>
      <c r="P4" s="14"/>
      <c r="Q4" s="14"/>
      <c r="R4" s="14"/>
      <c r="S4" s="14" t="s">
        <v>35</v>
      </c>
      <c r="T4" s="14" t="s">
        <v>36</v>
      </c>
      <c r="U4" s="17"/>
      <c r="V4" s="14"/>
      <c r="W4" s="14"/>
      <c r="X4" s="18"/>
      <c r="Y4" s="18"/>
      <c r="Z4" s="18"/>
      <c r="AA4" s="19">
        <f t="shared" ref="AA4:AA771" si="1">if(or(month(A4)&lt;5,A4=""),"", month(A4))</f>
        <v>5</v>
      </c>
    </row>
    <row r="5" ht="31.5" customHeight="1">
      <c r="A5" s="12">
        <v>45047.0</v>
      </c>
      <c r="B5" s="14" t="s">
        <v>4620</v>
      </c>
      <c r="C5" s="14" t="s">
        <v>37</v>
      </c>
      <c r="D5" s="14" t="s">
        <v>38</v>
      </c>
      <c r="E5" s="14"/>
      <c r="F5" s="14"/>
      <c r="G5" s="14"/>
      <c r="H5" s="14"/>
      <c r="I5" s="590" t="s">
        <v>39</v>
      </c>
      <c r="J5" s="591" t="s">
        <v>40</v>
      </c>
      <c r="K5" s="14"/>
      <c r="L5" s="592"/>
      <c r="M5" s="223"/>
      <c r="N5" s="14" t="s">
        <v>33</v>
      </c>
      <c r="O5" s="14" t="s">
        <v>34</v>
      </c>
      <c r="P5" s="14" t="s">
        <v>41</v>
      </c>
      <c r="Q5" s="14"/>
      <c r="R5" s="14"/>
      <c r="S5" s="14" t="s">
        <v>43</v>
      </c>
      <c r="T5" s="14" t="s">
        <v>36</v>
      </c>
      <c r="U5" s="17"/>
      <c r="V5" s="14"/>
      <c r="W5" s="14"/>
      <c r="X5" s="18"/>
      <c r="Y5" s="18"/>
      <c r="Z5" s="18"/>
      <c r="AA5" s="19">
        <f t="shared" si="1"/>
        <v>5</v>
      </c>
    </row>
    <row r="6" ht="31.5" customHeight="1">
      <c r="A6" s="12">
        <v>45052.0</v>
      </c>
      <c r="B6" s="14" t="s">
        <v>4620</v>
      </c>
      <c r="C6" s="14" t="s">
        <v>44</v>
      </c>
      <c r="D6" s="14" t="s">
        <v>45</v>
      </c>
      <c r="E6" s="14"/>
      <c r="F6" s="14" t="s">
        <v>419</v>
      </c>
      <c r="G6" s="14"/>
      <c r="H6" s="14"/>
      <c r="I6" s="593" t="s">
        <v>46</v>
      </c>
      <c r="J6" s="591" t="s">
        <v>47</v>
      </c>
      <c r="K6" s="14"/>
      <c r="L6" s="14"/>
      <c r="M6" s="591" t="s">
        <v>47</v>
      </c>
      <c r="N6" s="14" t="s">
        <v>48</v>
      </c>
      <c r="O6" s="14" t="s">
        <v>34</v>
      </c>
      <c r="P6" s="14"/>
      <c r="Q6" s="14"/>
      <c r="R6" s="14"/>
      <c r="S6" s="14" t="s">
        <v>49</v>
      </c>
      <c r="T6" s="14" t="s">
        <v>36</v>
      </c>
      <c r="U6" s="17"/>
      <c r="V6" s="14"/>
      <c r="W6" s="14"/>
      <c r="X6" s="18"/>
      <c r="Y6" s="18"/>
      <c r="Z6" s="18"/>
      <c r="AA6" s="19">
        <f t="shared" si="1"/>
        <v>5</v>
      </c>
    </row>
    <row r="7" ht="31.5" customHeight="1">
      <c r="A7" s="12">
        <v>45054.0</v>
      </c>
      <c r="B7" s="14" t="s">
        <v>4620</v>
      </c>
      <c r="C7" s="14" t="s">
        <v>50</v>
      </c>
      <c r="D7" s="14" t="s">
        <v>51</v>
      </c>
      <c r="E7" s="14"/>
      <c r="F7" s="14" t="s">
        <v>4042</v>
      </c>
      <c r="G7" s="14" t="s">
        <v>52</v>
      </c>
      <c r="H7" s="14"/>
      <c r="I7" s="590" t="s">
        <v>53</v>
      </c>
      <c r="J7" s="591" t="s">
        <v>54</v>
      </c>
      <c r="K7" s="14">
        <v>9.05575651E8</v>
      </c>
      <c r="L7" s="14" t="s">
        <v>4043</v>
      </c>
      <c r="M7" s="591" t="s">
        <v>5873</v>
      </c>
      <c r="N7" s="14" t="s">
        <v>56</v>
      </c>
      <c r="O7" s="14" t="s">
        <v>34</v>
      </c>
      <c r="P7" s="14" t="s">
        <v>57</v>
      </c>
      <c r="Q7" s="14"/>
      <c r="R7" s="14"/>
      <c r="S7" s="14" t="s">
        <v>58</v>
      </c>
      <c r="T7" s="14" t="s">
        <v>36</v>
      </c>
      <c r="U7" s="22"/>
      <c r="V7" s="14"/>
      <c r="W7" s="14"/>
      <c r="X7" s="18"/>
      <c r="Y7" s="18"/>
      <c r="Z7" s="18"/>
      <c r="AA7" s="19">
        <f t="shared" si="1"/>
        <v>5</v>
      </c>
    </row>
    <row r="8" ht="31.5" customHeight="1">
      <c r="A8" s="12">
        <v>45054.0</v>
      </c>
      <c r="B8" s="14" t="s">
        <v>73</v>
      </c>
      <c r="C8" s="14"/>
      <c r="D8" s="14" t="s">
        <v>4047</v>
      </c>
      <c r="E8" s="14"/>
      <c r="F8" s="14"/>
      <c r="G8" s="14"/>
      <c r="H8" s="14" t="s">
        <v>64</v>
      </c>
      <c r="I8" s="590" t="s">
        <v>75</v>
      </c>
      <c r="J8" s="223"/>
      <c r="K8" s="14"/>
      <c r="L8" s="14" t="s">
        <v>76</v>
      </c>
      <c r="M8" s="223"/>
      <c r="N8" s="14" t="s">
        <v>33</v>
      </c>
      <c r="O8" s="14" t="s">
        <v>34</v>
      </c>
      <c r="P8" s="14"/>
      <c r="Q8" s="14"/>
      <c r="R8" s="14"/>
      <c r="S8" s="14" t="s">
        <v>77</v>
      </c>
      <c r="T8" s="14"/>
      <c r="U8" s="17"/>
      <c r="V8" s="14"/>
      <c r="W8" s="14"/>
      <c r="X8" s="18"/>
      <c r="Y8" s="18"/>
      <c r="Z8" s="18"/>
      <c r="AA8" s="19">
        <f t="shared" si="1"/>
        <v>5</v>
      </c>
    </row>
    <row r="9" ht="31.5" customHeight="1">
      <c r="A9" s="12">
        <v>45054.0</v>
      </c>
      <c r="B9" s="14" t="s">
        <v>4621</v>
      </c>
      <c r="C9" s="14"/>
      <c r="D9" s="14" t="s">
        <v>93</v>
      </c>
      <c r="E9" s="14"/>
      <c r="F9" s="14"/>
      <c r="G9" s="14"/>
      <c r="H9" s="14" t="s">
        <v>64</v>
      </c>
      <c r="I9" s="590" t="s">
        <v>94</v>
      </c>
      <c r="J9" s="223"/>
      <c r="K9" s="14"/>
      <c r="L9" s="14" t="s">
        <v>95</v>
      </c>
      <c r="M9" s="223"/>
      <c r="N9" s="14" t="s">
        <v>33</v>
      </c>
      <c r="O9" s="14" t="s">
        <v>34</v>
      </c>
      <c r="P9" s="14"/>
      <c r="Q9" s="14"/>
      <c r="R9" s="14"/>
      <c r="S9" s="14" t="s">
        <v>96</v>
      </c>
      <c r="T9" s="14"/>
      <c r="U9" s="17"/>
      <c r="V9" s="14"/>
      <c r="W9" s="14"/>
      <c r="X9" s="18"/>
      <c r="Y9" s="18"/>
      <c r="Z9" s="18"/>
      <c r="AA9" s="19">
        <f t="shared" si="1"/>
        <v>5</v>
      </c>
    </row>
    <row r="10" ht="31.5" customHeight="1">
      <c r="A10" s="12">
        <v>45055.0</v>
      </c>
      <c r="B10" s="14" t="s">
        <v>4620</v>
      </c>
      <c r="C10" s="37" t="s">
        <v>4051</v>
      </c>
      <c r="D10" s="14" t="s">
        <v>4052</v>
      </c>
      <c r="E10" s="14"/>
      <c r="F10" s="14"/>
      <c r="G10" s="14"/>
      <c r="H10" s="14"/>
      <c r="I10" s="590" t="s">
        <v>99</v>
      </c>
      <c r="J10" s="223"/>
      <c r="K10" s="14"/>
      <c r="L10" s="14"/>
      <c r="M10" s="223"/>
      <c r="N10" s="14" t="s">
        <v>48</v>
      </c>
      <c r="O10" s="14" t="s">
        <v>34</v>
      </c>
      <c r="P10" s="14"/>
      <c r="Q10" s="14"/>
      <c r="R10" s="14"/>
      <c r="S10" s="14" t="s">
        <v>100</v>
      </c>
      <c r="T10" s="14" t="s">
        <v>4053</v>
      </c>
      <c r="U10" s="36"/>
      <c r="V10" s="14"/>
      <c r="W10" s="14"/>
      <c r="X10" s="18"/>
      <c r="Y10" s="18"/>
      <c r="Z10" s="18"/>
      <c r="AA10" s="19">
        <f t="shared" si="1"/>
        <v>5</v>
      </c>
    </row>
    <row r="11" ht="31.5" customHeight="1">
      <c r="A11" s="39">
        <v>45056.0</v>
      </c>
      <c r="B11" s="37" t="s">
        <v>4620</v>
      </c>
      <c r="C11" s="37" t="s">
        <v>4054</v>
      </c>
      <c r="D11" s="37" t="s">
        <v>102</v>
      </c>
      <c r="E11" s="37"/>
      <c r="F11" s="37"/>
      <c r="G11" s="37" t="s">
        <v>103</v>
      </c>
      <c r="H11" s="37" t="s">
        <v>64</v>
      </c>
      <c r="I11" s="594" t="s">
        <v>104</v>
      </c>
      <c r="J11" s="595"/>
      <c r="K11" s="37"/>
      <c r="L11" s="37" t="s">
        <v>105</v>
      </c>
      <c r="M11" s="595"/>
      <c r="N11" s="37" t="s">
        <v>33</v>
      </c>
      <c r="O11" s="37" t="s">
        <v>34</v>
      </c>
      <c r="P11" s="37" t="s">
        <v>106</v>
      </c>
      <c r="Q11" s="14"/>
      <c r="R11" s="14"/>
      <c r="S11" s="37" t="s">
        <v>107</v>
      </c>
      <c r="T11" s="37" t="s">
        <v>36</v>
      </c>
      <c r="U11" s="36"/>
      <c r="V11" s="37"/>
      <c r="W11" s="37"/>
      <c r="X11" s="38"/>
      <c r="Y11" s="38"/>
      <c r="Z11" s="38"/>
      <c r="AA11" s="19">
        <f t="shared" si="1"/>
        <v>5</v>
      </c>
    </row>
    <row r="12" ht="31.5" customHeight="1">
      <c r="A12" s="12">
        <v>45057.0</v>
      </c>
      <c r="B12" s="14" t="s">
        <v>4620</v>
      </c>
      <c r="C12" s="14" t="s">
        <v>108</v>
      </c>
      <c r="D12" s="14" t="s">
        <v>109</v>
      </c>
      <c r="E12" s="14"/>
      <c r="F12" s="14">
        <v>2007.0</v>
      </c>
      <c r="G12" s="14" t="s">
        <v>103</v>
      </c>
      <c r="H12" s="14"/>
      <c r="I12" s="590" t="s">
        <v>110</v>
      </c>
      <c r="J12" s="223"/>
      <c r="K12" s="14"/>
      <c r="L12" s="14"/>
      <c r="M12" s="223"/>
      <c r="N12" s="14" t="s">
        <v>111</v>
      </c>
      <c r="O12" s="14" t="s">
        <v>34</v>
      </c>
      <c r="P12" s="14" t="s">
        <v>112</v>
      </c>
      <c r="Q12" s="14"/>
      <c r="R12" s="14"/>
      <c r="S12" s="14" t="s">
        <v>113</v>
      </c>
      <c r="T12" s="14" t="s">
        <v>4053</v>
      </c>
      <c r="U12" s="17"/>
      <c r="V12" s="14"/>
      <c r="W12" s="14"/>
      <c r="X12" s="18"/>
      <c r="Y12" s="18"/>
      <c r="Z12" s="18"/>
      <c r="AA12" s="19">
        <f t="shared" si="1"/>
        <v>5</v>
      </c>
    </row>
    <row r="13" ht="31.5" customHeight="1">
      <c r="A13" s="12">
        <v>45057.0</v>
      </c>
      <c r="B13" s="14" t="s">
        <v>4620</v>
      </c>
      <c r="C13" s="14" t="s">
        <v>114</v>
      </c>
      <c r="D13" s="14"/>
      <c r="E13" s="14"/>
      <c r="F13" s="14"/>
      <c r="G13" s="14" t="s">
        <v>115</v>
      </c>
      <c r="H13" s="14" t="s">
        <v>64</v>
      </c>
      <c r="I13" s="590" t="s">
        <v>116</v>
      </c>
      <c r="J13" s="223"/>
      <c r="K13" s="14"/>
      <c r="L13" s="14"/>
      <c r="M13" s="223"/>
      <c r="N13" s="14" t="s">
        <v>48</v>
      </c>
      <c r="O13" s="14" t="s">
        <v>34</v>
      </c>
      <c r="P13" s="14"/>
      <c r="Q13" s="14"/>
      <c r="R13" s="14"/>
      <c r="S13" s="14" t="s">
        <v>5874</v>
      </c>
      <c r="T13" s="14" t="s">
        <v>36</v>
      </c>
      <c r="U13" s="41"/>
      <c r="V13" s="14"/>
      <c r="W13" s="14"/>
      <c r="X13" s="18"/>
      <c r="Y13" s="18"/>
      <c r="Z13" s="18"/>
      <c r="AA13" s="19">
        <f t="shared" si="1"/>
        <v>5</v>
      </c>
    </row>
    <row r="14" ht="31.5" customHeight="1">
      <c r="A14" s="12">
        <v>45057.0</v>
      </c>
      <c r="B14" s="14" t="s">
        <v>4620</v>
      </c>
      <c r="C14" s="14" t="s">
        <v>118</v>
      </c>
      <c r="D14" s="14" t="s">
        <v>119</v>
      </c>
      <c r="E14" s="14"/>
      <c r="F14" s="14" t="s">
        <v>1244</v>
      </c>
      <c r="G14" s="14"/>
      <c r="H14" s="14" t="s">
        <v>64</v>
      </c>
      <c r="I14" s="590" t="s">
        <v>120</v>
      </c>
      <c r="J14" s="223"/>
      <c r="K14" s="14"/>
      <c r="L14" s="14" t="s">
        <v>121</v>
      </c>
      <c r="M14" s="223"/>
      <c r="N14" s="14" t="s">
        <v>111</v>
      </c>
      <c r="O14" s="14" t="s">
        <v>34</v>
      </c>
      <c r="P14" s="14"/>
      <c r="Q14" s="14"/>
      <c r="R14" s="14"/>
      <c r="S14" s="14" t="s">
        <v>122</v>
      </c>
      <c r="T14" s="14" t="s">
        <v>36</v>
      </c>
      <c r="U14" s="41"/>
      <c r="V14" s="14"/>
      <c r="W14" s="14"/>
      <c r="X14" s="18"/>
      <c r="Y14" s="18"/>
      <c r="Z14" s="18"/>
      <c r="AA14" s="19">
        <f t="shared" si="1"/>
        <v>5</v>
      </c>
    </row>
    <row r="15" ht="31.5" customHeight="1">
      <c r="A15" s="12">
        <v>45057.0</v>
      </c>
      <c r="B15" s="14" t="s">
        <v>4620</v>
      </c>
      <c r="C15" s="14" t="s">
        <v>4056</v>
      </c>
      <c r="D15" s="14" t="s">
        <v>124</v>
      </c>
      <c r="E15" s="14"/>
      <c r="F15" s="14"/>
      <c r="G15" s="14"/>
      <c r="H15" s="14" t="s">
        <v>64</v>
      </c>
      <c r="I15" s="596" t="s">
        <v>125</v>
      </c>
      <c r="J15" s="223"/>
      <c r="K15" s="42" t="s">
        <v>125</v>
      </c>
      <c r="L15" s="14" t="s">
        <v>126</v>
      </c>
      <c r="M15" s="223"/>
      <c r="N15" s="14" t="s">
        <v>111</v>
      </c>
      <c r="O15" s="14" t="s">
        <v>34</v>
      </c>
      <c r="P15" s="14" t="s">
        <v>127</v>
      </c>
      <c r="Q15" s="14"/>
      <c r="R15" s="14"/>
      <c r="S15" s="14" t="s">
        <v>5875</v>
      </c>
      <c r="T15" s="14" t="s">
        <v>5876</v>
      </c>
      <c r="U15" s="41"/>
      <c r="V15" s="14"/>
      <c r="W15" s="14"/>
      <c r="X15" s="18"/>
      <c r="Y15" s="18"/>
      <c r="Z15" s="18"/>
      <c r="AA15" s="19">
        <f t="shared" si="1"/>
        <v>5</v>
      </c>
    </row>
    <row r="16" ht="31.5" customHeight="1">
      <c r="A16" s="12">
        <v>45057.0</v>
      </c>
      <c r="B16" s="14" t="s">
        <v>4620</v>
      </c>
      <c r="C16" s="14" t="s">
        <v>135</v>
      </c>
      <c r="D16" s="14"/>
      <c r="E16" s="14"/>
      <c r="F16" s="14" t="s">
        <v>457</v>
      </c>
      <c r="G16" s="14"/>
      <c r="H16" s="14" t="s">
        <v>64</v>
      </c>
      <c r="I16" s="590" t="s">
        <v>136</v>
      </c>
      <c r="J16" s="223"/>
      <c r="K16" s="14"/>
      <c r="L16" s="14" t="s">
        <v>137</v>
      </c>
      <c r="M16" s="591" t="s">
        <v>5877</v>
      </c>
      <c r="N16" s="14" t="s">
        <v>48</v>
      </c>
      <c r="O16" s="14" t="s">
        <v>34</v>
      </c>
      <c r="P16" s="14"/>
      <c r="Q16" s="14"/>
      <c r="R16" s="14"/>
      <c r="S16" s="14" t="s">
        <v>138</v>
      </c>
      <c r="T16" s="14" t="s">
        <v>36</v>
      </c>
      <c r="U16" s="41"/>
      <c r="V16" s="14"/>
      <c r="W16" s="14"/>
      <c r="X16" s="18"/>
      <c r="Y16" s="18"/>
      <c r="Z16" s="18"/>
      <c r="AA16" s="19">
        <f t="shared" si="1"/>
        <v>5</v>
      </c>
    </row>
    <row r="17" ht="31.5" customHeight="1">
      <c r="A17" s="12">
        <v>45058.0</v>
      </c>
      <c r="B17" s="14" t="s">
        <v>4620</v>
      </c>
      <c r="C17" s="14"/>
      <c r="D17" s="43" t="s">
        <v>139</v>
      </c>
      <c r="E17" s="14"/>
      <c r="F17" s="14"/>
      <c r="G17" s="14">
        <v>3.0</v>
      </c>
      <c r="H17" s="14"/>
      <c r="I17" s="596" t="s">
        <v>140</v>
      </c>
      <c r="J17" s="223"/>
      <c r="K17" s="14"/>
      <c r="L17" s="14"/>
      <c r="M17" s="223"/>
      <c r="N17" s="14" t="s">
        <v>48</v>
      </c>
      <c r="O17" s="14" t="s">
        <v>34</v>
      </c>
      <c r="P17" s="14"/>
      <c r="Q17" s="14"/>
      <c r="R17" s="14"/>
      <c r="S17" s="14" t="s">
        <v>141</v>
      </c>
      <c r="T17" s="14" t="s">
        <v>36</v>
      </c>
      <c r="U17" s="17"/>
      <c r="V17" s="14"/>
      <c r="W17" s="14"/>
      <c r="X17" s="18"/>
      <c r="Y17" s="18"/>
      <c r="Z17" s="18"/>
      <c r="AA17" s="19">
        <f t="shared" si="1"/>
        <v>5</v>
      </c>
    </row>
    <row r="18" ht="31.5" customHeight="1">
      <c r="A18" s="12">
        <v>45048.0</v>
      </c>
      <c r="B18" s="14" t="s">
        <v>4621</v>
      </c>
      <c r="C18" s="14"/>
      <c r="D18" s="14" t="s">
        <v>142</v>
      </c>
      <c r="E18" s="14"/>
      <c r="F18" s="14"/>
      <c r="G18" s="14" t="s">
        <v>143</v>
      </c>
      <c r="H18" s="14"/>
      <c r="I18" s="590" t="s">
        <v>144</v>
      </c>
      <c r="J18" s="591" t="s">
        <v>145</v>
      </c>
      <c r="K18" s="14"/>
      <c r="L18" s="14" t="s">
        <v>146</v>
      </c>
      <c r="M18" s="223"/>
      <c r="N18" s="14" t="s">
        <v>48</v>
      </c>
      <c r="O18" s="14" t="s">
        <v>34</v>
      </c>
      <c r="P18" s="14"/>
      <c r="Q18" s="14"/>
      <c r="R18" s="14"/>
      <c r="S18" s="14" t="s">
        <v>147</v>
      </c>
      <c r="T18" s="14" t="s">
        <v>36</v>
      </c>
      <c r="U18" s="41"/>
      <c r="V18" s="14"/>
      <c r="W18" s="14"/>
      <c r="X18" s="18"/>
      <c r="Y18" s="18"/>
      <c r="Z18" s="18"/>
      <c r="AA18" s="19">
        <f t="shared" si="1"/>
        <v>5</v>
      </c>
    </row>
    <row r="19" ht="31.5" customHeight="1">
      <c r="A19" s="12">
        <v>45059.0</v>
      </c>
      <c r="B19" s="14" t="s">
        <v>4621</v>
      </c>
      <c r="C19" s="14"/>
      <c r="D19" s="14" t="s">
        <v>148</v>
      </c>
      <c r="E19" s="14"/>
      <c r="F19" s="14"/>
      <c r="G19" s="14" t="s">
        <v>149</v>
      </c>
      <c r="H19" s="14" t="s">
        <v>64</v>
      </c>
      <c r="I19" s="590"/>
      <c r="J19" s="591" t="s">
        <v>150</v>
      </c>
      <c r="K19" s="14"/>
      <c r="L19" s="14" t="s">
        <v>151</v>
      </c>
      <c r="M19" s="591" t="s">
        <v>5878</v>
      </c>
      <c r="N19" s="14" t="s">
        <v>152</v>
      </c>
      <c r="O19" s="14" t="s">
        <v>34</v>
      </c>
      <c r="P19" s="14"/>
      <c r="Q19" s="14"/>
      <c r="R19" s="14"/>
      <c r="S19" s="14" t="s">
        <v>153</v>
      </c>
      <c r="T19" s="14" t="s">
        <v>36</v>
      </c>
      <c r="U19" s="17"/>
      <c r="V19" s="14"/>
      <c r="W19" s="14"/>
      <c r="X19" s="18"/>
      <c r="Y19" s="18"/>
      <c r="Z19" s="18"/>
      <c r="AA19" s="19">
        <f t="shared" si="1"/>
        <v>5</v>
      </c>
    </row>
    <row r="20" ht="31.5" customHeight="1">
      <c r="A20" s="12">
        <v>45059.0</v>
      </c>
      <c r="B20" s="14" t="s">
        <v>60</v>
      </c>
      <c r="C20" s="14" t="s">
        <v>154</v>
      </c>
      <c r="D20" s="14" t="s">
        <v>4059</v>
      </c>
      <c r="E20" s="14"/>
      <c r="F20" s="14">
        <v>2012.0</v>
      </c>
      <c r="G20" s="14" t="s">
        <v>155</v>
      </c>
      <c r="H20" s="14"/>
      <c r="I20" s="590" t="s">
        <v>156</v>
      </c>
      <c r="J20" s="223"/>
      <c r="K20" s="14"/>
      <c r="L20" s="14" t="s">
        <v>4060</v>
      </c>
      <c r="M20" s="223"/>
      <c r="N20" s="14" t="s">
        <v>48</v>
      </c>
      <c r="O20" s="14" t="s">
        <v>158</v>
      </c>
      <c r="P20" s="14" t="s">
        <v>159</v>
      </c>
      <c r="Q20" s="14"/>
      <c r="R20" s="14"/>
      <c r="S20" s="14" t="s">
        <v>160</v>
      </c>
      <c r="T20" s="14" t="s">
        <v>4061</v>
      </c>
      <c r="U20" s="17"/>
      <c r="V20" s="14"/>
      <c r="W20" s="14"/>
      <c r="X20" s="18"/>
      <c r="Y20" s="18"/>
      <c r="Z20" s="18"/>
      <c r="AA20" s="19">
        <f t="shared" si="1"/>
        <v>5</v>
      </c>
    </row>
    <row r="21" ht="31.5" customHeight="1">
      <c r="A21" s="12">
        <v>45059.0</v>
      </c>
      <c r="B21" s="44" t="s">
        <v>60</v>
      </c>
      <c r="C21" s="44" t="s">
        <v>161</v>
      </c>
      <c r="D21" s="44" t="s">
        <v>162</v>
      </c>
      <c r="E21" s="44"/>
      <c r="F21" s="44" t="s">
        <v>646</v>
      </c>
      <c r="G21" s="44"/>
      <c r="H21" s="44"/>
      <c r="I21" s="597" t="s">
        <v>163</v>
      </c>
      <c r="J21" s="598"/>
      <c r="K21" s="44" t="s">
        <v>164</v>
      </c>
      <c r="L21" s="249">
        <v>45052.0</v>
      </c>
      <c r="M21" s="598" t="s">
        <v>5879</v>
      </c>
      <c r="N21" s="44" t="s">
        <v>111</v>
      </c>
      <c r="O21" s="44" t="s">
        <v>34</v>
      </c>
      <c r="P21" s="44" t="s">
        <v>4062</v>
      </c>
      <c r="Q21" s="14"/>
      <c r="R21" s="14"/>
      <c r="S21" s="44" t="s">
        <v>166</v>
      </c>
      <c r="T21" s="44" t="s">
        <v>4063</v>
      </c>
      <c r="U21" s="48">
        <v>45094.0</v>
      </c>
      <c r="V21" s="44"/>
      <c r="W21" s="44"/>
      <c r="X21" s="45"/>
      <c r="Y21" s="45"/>
      <c r="Z21" s="45"/>
      <c r="AA21" s="19">
        <f t="shared" si="1"/>
        <v>5</v>
      </c>
    </row>
    <row r="22" ht="31.5" customHeight="1">
      <c r="A22" s="49">
        <v>45061.0</v>
      </c>
      <c r="B22" s="14" t="s">
        <v>4620</v>
      </c>
      <c r="C22" s="53" t="s">
        <v>4064</v>
      </c>
      <c r="D22" s="14" t="s">
        <v>168</v>
      </c>
      <c r="E22" s="14"/>
      <c r="F22" s="14">
        <v>2016.0</v>
      </c>
      <c r="G22" s="14" t="s">
        <v>169</v>
      </c>
      <c r="H22" s="14"/>
      <c r="I22" s="599" t="s">
        <v>170</v>
      </c>
      <c r="J22" s="600" t="s">
        <v>171</v>
      </c>
      <c r="K22" s="53"/>
      <c r="L22" s="53" t="s">
        <v>5880</v>
      </c>
      <c r="M22" s="600" t="s">
        <v>5881</v>
      </c>
      <c r="N22" s="14" t="s">
        <v>111</v>
      </c>
      <c r="O22" s="14" t="s">
        <v>34</v>
      </c>
      <c r="P22" s="14" t="s">
        <v>173</v>
      </c>
      <c r="Q22" s="14"/>
      <c r="R22" s="14"/>
      <c r="S22" s="53" t="s">
        <v>174</v>
      </c>
      <c r="T22" s="53" t="s">
        <v>36</v>
      </c>
      <c r="U22" s="54"/>
      <c r="V22" s="14"/>
      <c r="W22" s="14"/>
      <c r="X22" s="18"/>
      <c r="Y22" s="18"/>
      <c r="Z22" s="18"/>
      <c r="AA22" s="19">
        <f t="shared" si="1"/>
        <v>5</v>
      </c>
    </row>
    <row r="23" ht="31.5" customHeight="1">
      <c r="A23" s="49">
        <v>45061.0</v>
      </c>
      <c r="B23" s="14" t="s">
        <v>4620</v>
      </c>
      <c r="C23" s="11"/>
      <c r="D23" s="14" t="s">
        <v>175</v>
      </c>
      <c r="E23" s="14"/>
      <c r="F23" s="14">
        <v>2015.0</v>
      </c>
      <c r="G23" s="14" t="s">
        <v>176</v>
      </c>
      <c r="H23" s="14"/>
      <c r="I23" s="11"/>
      <c r="J23" s="11"/>
      <c r="K23" s="11"/>
      <c r="L23" s="11"/>
      <c r="M23" s="11"/>
      <c r="N23" s="14" t="s">
        <v>111</v>
      </c>
      <c r="O23" s="14" t="s">
        <v>34</v>
      </c>
      <c r="P23" s="62" t="s">
        <v>177</v>
      </c>
      <c r="Q23" s="14"/>
      <c r="R23" s="14"/>
      <c r="S23" s="11"/>
      <c r="T23" s="11"/>
      <c r="U23" s="11"/>
      <c r="V23" s="14"/>
      <c r="W23" s="14"/>
      <c r="X23" s="18"/>
      <c r="Y23" s="18"/>
      <c r="Z23" s="18"/>
      <c r="AA23" s="19">
        <f t="shared" si="1"/>
        <v>5</v>
      </c>
    </row>
    <row r="24" ht="31.5" customHeight="1">
      <c r="A24" s="12">
        <v>45061.0</v>
      </c>
      <c r="B24" s="14" t="s">
        <v>84</v>
      </c>
      <c r="C24" s="14"/>
      <c r="D24" s="14" t="s">
        <v>178</v>
      </c>
      <c r="E24" s="14"/>
      <c r="F24" s="14"/>
      <c r="G24" s="14"/>
      <c r="H24" s="14"/>
      <c r="I24" s="590" t="s">
        <v>179</v>
      </c>
      <c r="J24" s="223"/>
      <c r="K24" s="14"/>
      <c r="L24" s="14" t="s">
        <v>180</v>
      </c>
      <c r="M24" s="223"/>
      <c r="N24" s="14" t="s">
        <v>111</v>
      </c>
      <c r="O24" s="14" t="s">
        <v>34</v>
      </c>
      <c r="P24" s="14"/>
      <c r="Q24" s="14"/>
      <c r="R24" s="14"/>
      <c r="S24" s="14" t="s">
        <v>181</v>
      </c>
      <c r="T24" s="14" t="s">
        <v>36</v>
      </c>
      <c r="U24" s="17"/>
      <c r="V24" s="14"/>
      <c r="W24" s="14"/>
      <c r="X24" s="18"/>
      <c r="Y24" s="18"/>
      <c r="Z24" s="18"/>
      <c r="AA24" s="19">
        <f t="shared" si="1"/>
        <v>5</v>
      </c>
    </row>
    <row r="25" ht="31.5" customHeight="1">
      <c r="A25" s="12">
        <v>45062.0</v>
      </c>
      <c r="B25" s="14" t="s">
        <v>60</v>
      </c>
      <c r="C25" s="14" t="s">
        <v>4066</v>
      </c>
      <c r="D25" s="14" t="s">
        <v>183</v>
      </c>
      <c r="E25" s="14"/>
      <c r="F25" s="14"/>
      <c r="G25" s="14"/>
      <c r="H25" s="14"/>
      <c r="I25" s="590"/>
      <c r="J25" s="223"/>
      <c r="K25" s="14" t="s">
        <v>5882</v>
      </c>
      <c r="L25" s="14" t="s">
        <v>186</v>
      </c>
      <c r="M25" s="223"/>
      <c r="N25" s="14" t="s">
        <v>111</v>
      </c>
      <c r="O25" s="14" t="s">
        <v>34</v>
      </c>
      <c r="P25" s="14" t="s">
        <v>187</v>
      </c>
      <c r="Q25" s="14"/>
      <c r="R25" s="14"/>
      <c r="S25" s="14" t="s">
        <v>188</v>
      </c>
      <c r="T25" s="14" t="s">
        <v>36</v>
      </c>
      <c r="U25" s="17"/>
      <c r="V25" s="14"/>
      <c r="W25" s="14"/>
      <c r="X25" s="18"/>
      <c r="Y25" s="18"/>
      <c r="Z25" s="18"/>
      <c r="AA25" s="19">
        <f t="shared" si="1"/>
        <v>5</v>
      </c>
    </row>
    <row r="26" ht="31.5" customHeight="1">
      <c r="A26" s="12">
        <v>45062.0</v>
      </c>
      <c r="B26" s="14" t="s">
        <v>4620</v>
      </c>
      <c r="C26" s="14" t="s">
        <v>189</v>
      </c>
      <c r="D26" s="14" t="s">
        <v>190</v>
      </c>
      <c r="E26" s="14"/>
      <c r="F26" s="14" t="s">
        <v>425</v>
      </c>
      <c r="G26" s="14"/>
      <c r="H26" s="14" t="s">
        <v>191</v>
      </c>
      <c r="I26" s="601" t="s">
        <v>192</v>
      </c>
      <c r="J26" s="591" t="s">
        <v>193</v>
      </c>
      <c r="K26" s="14"/>
      <c r="L26" s="14" t="s">
        <v>4067</v>
      </c>
      <c r="M26" s="591" t="s">
        <v>5883</v>
      </c>
      <c r="N26" s="14" t="s">
        <v>48</v>
      </c>
      <c r="O26" s="14" t="s">
        <v>34</v>
      </c>
      <c r="P26" s="14"/>
      <c r="Q26" s="14"/>
      <c r="R26" s="14"/>
      <c r="S26" s="14" t="s">
        <v>195</v>
      </c>
      <c r="T26" s="14" t="s">
        <v>36</v>
      </c>
      <c r="U26" s="17"/>
      <c r="V26" s="14"/>
      <c r="W26" s="14"/>
      <c r="X26" s="18"/>
      <c r="Y26" s="18"/>
      <c r="Z26" s="18"/>
      <c r="AA26" s="19">
        <f t="shared" si="1"/>
        <v>5</v>
      </c>
    </row>
    <row r="27" ht="31.5" customHeight="1">
      <c r="A27" s="12">
        <v>45063.0</v>
      </c>
      <c r="B27" s="14" t="s">
        <v>4620</v>
      </c>
      <c r="C27" s="14" t="s">
        <v>4068</v>
      </c>
      <c r="D27" s="14" t="s">
        <v>197</v>
      </c>
      <c r="E27" s="14"/>
      <c r="F27" s="142">
        <v>42500.0</v>
      </c>
      <c r="G27" s="14"/>
      <c r="H27" s="14"/>
      <c r="I27" s="590" t="s">
        <v>198</v>
      </c>
      <c r="J27" s="223"/>
      <c r="K27" s="14"/>
      <c r="L27" s="14" t="s">
        <v>199</v>
      </c>
      <c r="M27" s="223"/>
      <c r="N27" s="14" t="s">
        <v>111</v>
      </c>
      <c r="O27" s="14" t="s">
        <v>34</v>
      </c>
      <c r="P27" s="14"/>
      <c r="Q27" s="14"/>
      <c r="R27" s="14"/>
      <c r="S27" s="14" t="s">
        <v>200</v>
      </c>
      <c r="T27" s="14" t="s">
        <v>4069</v>
      </c>
      <c r="U27" s="17"/>
      <c r="V27" s="14"/>
      <c r="W27" s="14"/>
      <c r="X27" s="18"/>
      <c r="Y27" s="18"/>
      <c r="Z27" s="18"/>
      <c r="AA27" s="19">
        <f t="shared" si="1"/>
        <v>5</v>
      </c>
    </row>
    <row r="28" ht="31.5" customHeight="1">
      <c r="A28" s="12">
        <v>45063.0</v>
      </c>
      <c r="B28" s="14" t="s">
        <v>201</v>
      </c>
      <c r="C28" s="14" t="s">
        <v>4070</v>
      </c>
      <c r="D28" s="14"/>
      <c r="E28" s="14"/>
      <c r="F28" s="14" t="s">
        <v>4071</v>
      </c>
      <c r="G28" s="14">
        <v>2.0</v>
      </c>
      <c r="H28" s="14" t="s">
        <v>203</v>
      </c>
      <c r="I28" s="590" t="s">
        <v>204</v>
      </c>
      <c r="J28" s="223"/>
      <c r="K28" s="14"/>
      <c r="L28" s="14"/>
      <c r="M28" s="223"/>
      <c r="N28" s="14" t="s">
        <v>56</v>
      </c>
      <c r="O28" s="14" t="s">
        <v>34</v>
      </c>
      <c r="P28" s="14" t="s">
        <v>205</v>
      </c>
      <c r="Q28" s="14"/>
      <c r="R28" s="14"/>
      <c r="S28" s="14" t="s">
        <v>206</v>
      </c>
      <c r="T28" s="14" t="s">
        <v>4072</v>
      </c>
      <c r="U28" s="17"/>
      <c r="V28" s="14"/>
      <c r="W28" s="14"/>
      <c r="X28" s="18"/>
      <c r="Y28" s="18"/>
      <c r="Z28" s="18"/>
      <c r="AA28" s="19">
        <f t="shared" si="1"/>
        <v>5</v>
      </c>
    </row>
    <row r="29" ht="31.5" customHeight="1">
      <c r="A29" s="12">
        <v>45063.0</v>
      </c>
      <c r="B29" s="14" t="s">
        <v>4621</v>
      </c>
      <c r="C29" s="14"/>
      <c r="D29" s="14" t="s">
        <v>207</v>
      </c>
      <c r="E29" s="14"/>
      <c r="F29" s="14"/>
      <c r="G29" s="14" t="s">
        <v>149</v>
      </c>
      <c r="H29" s="14"/>
      <c r="I29" s="590" t="s">
        <v>94</v>
      </c>
      <c r="J29" s="223"/>
      <c r="K29" s="14" t="s">
        <v>208</v>
      </c>
      <c r="L29" s="14" t="s">
        <v>209</v>
      </c>
      <c r="M29" s="223"/>
      <c r="N29" s="14" t="s">
        <v>56</v>
      </c>
      <c r="O29" s="14" t="s">
        <v>34</v>
      </c>
      <c r="P29" s="14"/>
      <c r="Q29" s="14"/>
      <c r="R29" s="14"/>
      <c r="S29" s="14"/>
      <c r="T29" s="14"/>
      <c r="U29" s="17"/>
      <c r="V29" s="14"/>
      <c r="W29" s="14"/>
      <c r="X29" s="18"/>
      <c r="Y29" s="18"/>
      <c r="Z29" s="18"/>
      <c r="AA29" s="19">
        <f t="shared" si="1"/>
        <v>5</v>
      </c>
    </row>
    <row r="30" ht="31.5" customHeight="1">
      <c r="A30" s="12">
        <v>45063.0</v>
      </c>
      <c r="B30" s="14" t="s">
        <v>4620</v>
      </c>
      <c r="C30" s="14"/>
      <c r="D30" s="14" t="s">
        <v>210</v>
      </c>
      <c r="E30" s="14"/>
      <c r="F30" s="14"/>
      <c r="G30" s="14">
        <v>4.0</v>
      </c>
      <c r="H30" s="14"/>
      <c r="I30" s="590" t="s">
        <v>211</v>
      </c>
      <c r="J30" s="223"/>
      <c r="K30" s="14"/>
      <c r="L30" s="14"/>
      <c r="M30" s="223"/>
      <c r="N30" s="14" t="s">
        <v>48</v>
      </c>
      <c r="O30" s="14" t="s">
        <v>34</v>
      </c>
      <c r="P30" s="14"/>
      <c r="Q30" s="14"/>
      <c r="R30" s="14"/>
      <c r="S30" s="14" t="s">
        <v>212</v>
      </c>
      <c r="T30" s="14" t="s">
        <v>4073</v>
      </c>
      <c r="U30" s="17"/>
      <c r="V30" s="14"/>
      <c r="W30" s="14"/>
      <c r="X30" s="18"/>
      <c r="Y30" s="18"/>
      <c r="Z30" s="18"/>
      <c r="AA30" s="19">
        <f t="shared" si="1"/>
        <v>5</v>
      </c>
    </row>
    <row r="31" ht="31.5" customHeight="1">
      <c r="A31" s="12">
        <v>45063.0</v>
      </c>
      <c r="B31" s="14" t="s">
        <v>4621</v>
      </c>
      <c r="C31" s="14"/>
      <c r="D31" s="14" t="s">
        <v>213</v>
      </c>
      <c r="E31" s="14"/>
      <c r="F31" s="14"/>
      <c r="G31" s="14"/>
      <c r="H31" s="14"/>
      <c r="I31" s="590" t="s">
        <v>214</v>
      </c>
      <c r="J31" s="223"/>
      <c r="K31" s="14"/>
      <c r="L31" s="14" t="s">
        <v>215</v>
      </c>
      <c r="M31" s="223"/>
      <c r="N31" s="14" t="s">
        <v>152</v>
      </c>
      <c r="O31" s="14" t="s">
        <v>216</v>
      </c>
      <c r="P31" s="14"/>
      <c r="Q31" s="14"/>
      <c r="R31" s="14"/>
      <c r="S31" s="14" t="s">
        <v>217</v>
      </c>
      <c r="T31" s="14" t="s">
        <v>4073</v>
      </c>
      <c r="U31" s="17"/>
      <c r="V31" s="14"/>
      <c r="W31" s="14"/>
      <c r="X31" s="18"/>
      <c r="Y31" s="18"/>
      <c r="Z31" s="18"/>
      <c r="AA31" s="19">
        <f t="shared" si="1"/>
        <v>5</v>
      </c>
    </row>
    <row r="32" ht="31.5" customHeight="1">
      <c r="A32" s="12">
        <v>45064.0</v>
      </c>
      <c r="B32" s="14" t="s">
        <v>4621</v>
      </c>
      <c r="C32" s="14"/>
      <c r="D32" s="14" t="s">
        <v>218</v>
      </c>
      <c r="E32" s="14"/>
      <c r="F32" s="14"/>
      <c r="G32" s="14" t="s">
        <v>219</v>
      </c>
      <c r="H32" s="14"/>
      <c r="I32" s="590"/>
      <c r="J32" s="223"/>
      <c r="K32" s="14"/>
      <c r="L32" s="14" t="s">
        <v>221</v>
      </c>
      <c r="M32" s="223"/>
      <c r="N32" s="14" t="s">
        <v>152</v>
      </c>
      <c r="O32" s="14" t="s">
        <v>216</v>
      </c>
      <c r="P32" s="14"/>
      <c r="Q32" s="14"/>
      <c r="R32" s="14"/>
      <c r="S32" s="14" t="s">
        <v>222</v>
      </c>
      <c r="T32" s="14" t="s">
        <v>4073</v>
      </c>
      <c r="U32" s="17"/>
      <c r="V32" s="14"/>
      <c r="W32" s="14"/>
      <c r="X32" s="18"/>
      <c r="Y32" s="18"/>
      <c r="Z32" s="18"/>
      <c r="AA32" s="19">
        <f t="shared" si="1"/>
        <v>5</v>
      </c>
    </row>
    <row r="33" ht="31.5" customHeight="1">
      <c r="A33" s="12">
        <v>45064.0</v>
      </c>
      <c r="B33" s="14" t="s">
        <v>4621</v>
      </c>
      <c r="C33" s="14"/>
      <c r="D33" s="14" t="s">
        <v>223</v>
      </c>
      <c r="E33" s="14"/>
      <c r="F33" s="14"/>
      <c r="G33" s="14"/>
      <c r="H33" s="14"/>
      <c r="I33" s="590"/>
      <c r="J33" s="223"/>
      <c r="K33" s="14"/>
      <c r="L33" s="14"/>
      <c r="M33" s="223"/>
      <c r="N33" s="14" t="s">
        <v>152</v>
      </c>
      <c r="O33" s="14" t="s">
        <v>34</v>
      </c>
      <c r="P33" s="14"/>
      <c r="Q33" s="14"/>
      <c r="R33" s="14"/>
      <c r="S33" s="14" t="s">
        <v>225</v>
      </c>
      <c r="T33" s="14"/>
      <c r="U33" s="17"/>
      <c r="V33" s="14"/>
      <c r="W33" s="14"/>
      <c r="X33" s="18"/>
      <c r="Y33" s="18"/>
      <c r="Z33" s="18"/>
      <c r="AA33" s="19">
        <f t="shared" si="1"/>
        <v>5</v>
      </c>
    </row>
    <row r="34" ht="31.5" customHeight="1">
      <c r="A34" s="12">
        <v>45064.0</v>
      </c>
      <c r="B34" s="14" t="s">
        <v>4620</v>
      </c>
      <c r="C34" s="14" t="s">
        <v>226</v>
      </c>
      <c r="D34" s="14"/>
      <c r="E34" s="14"/>
      <c r="F34" s="14" t="s">
        <v>1244</v>
      </c>
      <c r="G34" s="14"/>
      <c r="H34" s="14"/>
      <c r="I34" s="590" t="s">
        <v>227</v>
      </c>
      <c r="J34" s="223"/>
      <c r="K34" s="14"/>
      <c r="L34" s="14"/>
      <c r="M34" s="223"/>
      <c r="N34" s="14" t="s">
        <v>56</v>
      </c>
      <c r="O34" s="14" t="s">
        <v>34</v>
      </c>
      <c r="P34" s="14"/>
      <c r="Q34" s="14"/>
      <c r="R34" s="14"/>
      <c r="S34" s="14" t="s">
        <v>228</v>
      </c>
      <c r="T34" s="14" t="s">
        <v>4074</v>
      </c>
      <c r="U34" s="17"/>
      <c r="V34" s="14"/>
      <c r="W34" s="14"/>
      <c r="X34" s="18"/>
      <c r="Y34" s="18"/>
      <c r="Z34" s="18"/>
      <c r="AA34" s="19">
        <f t="shared" si="1"/>
        <v>5</v>
      </c>
    </row>
    <row r="35" ht="31.5" customHeight="1">
      <c r="A35" s="12">
        <v>45065.0</v>
      </c>
      <c r="B35" s="14" t="s">
        <v>4620</v>
      </c>
      <c r="C35" s="14" t="s">
        <v>240</v>
      </c>
      <c r="D35" s="14"/>
      <c r="E35" s="14"/>
      <c r="F35" s="14" t="s">
        <v>4078</v>
      </c>
      <c r="G35" s="14"/>
      <c r="H35" s="14"/>
      <c r="I35" s="590" t="s">
        <v>241</v>
      </c>
      <c r="J35" s="223"/>
      <c r="K35" s="14"/>
      <c r="L35" s="14" t="s">
        <v>242</v>
      </c>
      <c r="M35" s="223"/>
      <c r="N35" s="14" t="s">
        <v>111</v>
      </c>
      <c r="O35" s="14" t="s">
        <v>34</v>
      </c>
      <c r="P35" s="14"/>
      <c r="Q35" s="14"/>
      <c r="R35" s="14"/>
      <c r="S35" s="14" t="s">
        <v>243</v>
      </c>
      <c r="T35" s="14" t="s">
        <v>36</v>
      </c>
      <c r="U35" s="17"/>
      <c r="V35" s="14"/>
      <c r="W35" s="14"/>
      <c r="X35" s="18"/>
      <c r="Y35" s="18"/>
      <c r="Z35" s="18"/>
      <c r="AA35" s="19">
        <f t="shared" si="1"/>
        <v>5</v>
      </c>
    </row>
    <row r="36" ht="31.5" customHeight="1">
      <c r="A36" s="59">
        <v>45065.0</v>
      </c>
      <c r="B36" s="14" t="s">
        <v>4621</v>
      </c>
      <c r="C36" s="226"/>
      <c r="D36" s="14" t="s">
        <v>244</v>
      </c>
      <c r="E36" s="14"/>
      <c r="F36" s="14"/>
      <c r="G36" s="14"/>
      <c r="H36" s="14"/>
      <c r="I36" s="590"/>
      <c r="J36" s="223"/>
      <c r="K36" s="14"/>
      <c r="L36" s="14" t="s">
        <v>5884</v>
      </c>
      <c r="M36" s="602" t="s">
        <v>5885</v>
      </c>
      <c r="N36" s="14" t="s">
        <v>152</v>
      </c>
      <c r="O36" s="14" t="s">
        <v>34</v>
      </c>
      <c r="P36" s="14"/>
      <c r="Q36" s="14"/>
      <c r="R36" s="14"/>
      <c r="S36" s="14" t="s">
        <v>246</v>
      </c>
      <c r="T36" s="14" t="s">
        <v>36</v>
      </c>
      <c r="U36" s="17"/>
      <c r="V36" s="14"/>
      <c r="W36" s="14"/>
      <c r="X36" s="18"/>
      <c r="Y36" s="18"/>
      <c r="Z36" s="18"/>
      <c r="AA36" s="19">
        <f t="shared" si="1"/>
        <v>5</v>
      </c>
    </row>
    <row r="37" ht="31.5" customHeight="1">
      <c r="A37" s="59">
        <v>45065.0</v>
      </c>
      <c r="B37" s="14" t="s">
        <v>4621</v>
      </c>
      <c r="C37" s="226"/>
      <c r="D37" s="14" t="s">
        <v>247</v>
      </c>
      <c r="E37" s="14"/>
      <c r="F37" s="14" t="s">
        <v>219</v>
      </c>
      <c r="G37" s="14"/>
      <c r="H37" s="14"/>
      <c r="I37" s="590"/>
      <c r="J37" s="223"/>
      <c r="K37" s="14"/>
      <c r="L37" s="14" t="s">
        <v>249</v>
      </c>
      <c r="M37" s="602" t="s">
        <v>5886</v>
      </c>
      <c r="N37" s="14" t="s">
        <v>152</v>
      </c>
      <c r="O37" s="14" t="s">
        <v>34</v>
      </c>
      <c r="P37" s="14"/>
      <c r="Q37" s="14"/>
      <c r="R37" s="14"/>
      <c r="S37" s="14" t="s">
        <v>250</v>
      </c>
      <c r="T37" s="14"/>
      <c r="U37" s="17"/>
      <c r="V37" s="14"/>
      <c r="W37" s="14"/>
      <c r="X37" s="18"/>
      <c r="Y37" s="18"/>
      <c r="Z37" s="18"/>
      <c r="AA37" s="19">
        <f t="shared" si="1"/>
        <v>5</v>
      </c>
    </row>
    <row r="38" ht="31.5" customHeight="1">
      <c r="A38" s="12">
        <v>45063.0</v>
      </c>
      <c r="B38" s="14" t="s">
        <v>201</v>
      </c>
      <c r="C38" s="14"/>
      <c r="D38" s="14" t="s">
        <v>4080</v>
      </c>
      <c r="E38" s="14"/>
      <c r="F38" s="14"/>
      <c r="G38" s="14"/>
      <c r="H38" s="14" t="s">
        <v>203</v>
      </c>
      <c r="I38" s="590" t="s">
        <v>252</v>
      </c>
      <c r="J38" s="223"/>
      <c r="K38" s="14"/>
      <c r="L38" s="14" t="s">
        <v>253</v>
      </c>
      <c r="M38" s="223"/>
      <c r="N38" s="14" t="s">
        <v>111</v>
      </c>
      <c r="O38" s="14" t="s">
        <v>34</v>
      </c>
      <c r="P38" s="14"/>
      <c r="Q38" s="14"/>
      <c r="R38" s="14"/>
      <c r="S38" s="14" t="s">
        <v>254</v>
      </c>
      <c r="T38" s="14" t="s">
        <v>4053</v>
      </c>
      <c r="U38" s="17"/>
      <c r="V38" s="14"/>
      <c r="W38" s="14"/>
      <c r="X38" s="18"/>
      <c r="Y38" s="18"/>
      <c r="Z38" s="18"/>
      <c r="AA38" s="19">
        <f t="shared" si="1"/>
        <v>5</v>
      </c>
    </row>
    <row r="39" ht="31.5" customHeight="1">
      <c r="A39" s="12">
        <v>45066.0</v>
      </c>
      <c r="B39" s="14" t="s">
        <v>4620</v>
      </c>
      <c r="C39" s="14" t="s">
        <v>255</v>
      </c>
      <c r="D39" s="14"/>
      <c r="E39" s="14"/>
      <c r="F39" s="14"/>
      <c r="G39" s="14"/>
      <c r="H39" s="14"/>
      <c r="I39" s="590" t="s">
        <v>256</v>
      </c>
      <c r="J39" s="223"/>
      <c r="K39" s="14"/>
      <c r="L39" s="14"/>
      <c r="M39" s="223"/>
      <c r="N39" s="14" t="s">
        <v>56</v>
      </c>
      <c r="O39" s="14" t="s">
        <v>34</v>
      </c>
      <c r="P39" s="14"/>
      <c r="Q39" s="14"/>
      <c r="R39" s="14"/>
      <c r="S39" s="14" t="s">
        <v>257</v>
      </c>
      <c r="T39" s="14" t="s">
        <v>36</v>
      </c>
      <c r="U39" s="17"/>
      <c r="V39" s="14"/>
      <c r="W39" s="14"/>
      <c r="X39" s="18"/>
      <c r="Y39" s="18"/>
      <c r="Z39" s="18"/>
      <c r="AA39" s="19">
        <f t="shared" si="1"/>
        <v>5</v>
      </c>
    </row>
    <row r="40" ht="31.5" customHeight="1">
      <c r="A40" s="12">
        <v>45066.0</v>
      </c>
      <c r="B40" s="14" t="s">
        <v>4620</v>
      </c>
      <c r="C40" s="14" t="s">
        <v>258</v>
      </c>
      <c r="D40" s="14"/>
      <c r="E40" s="14"/>
      <c r="F40" s="14" t="s">
        <v>437</v>
      </c>
      <c r="G40" s="14"/>
      <c r="H40" s="14"/>
      <c r="I40" s="590" t="s">
        <v>259</v>
      </c>
      <c r="J40" s="223"/>
      <c r="K40" s="14"/>
      <c r="L40" s="14" t="s">
        <v>260</v>
      </c>
      <c r="M40" s="223"/>
      <c r="N40" s="14" t="s">
        <v>111</v>
      </c>
      <c r="O40" s="14" t="s">
        <v>34</v>
      </c>
      <c r="P40" s="14"/>
      <c r="Q40" s="14"/>
      <c r="R40" s="14"/>
      <c r="S40" s="14" t="s">
        <v>261</v>
      </c>
      <c r="T40" s="14" t="s">
        <v>36</v>
      </c>
      <c r="U40" s="17"/>
      <c r="V40" s="14"/>
      <c r="W40" s="14"/>
      <c r="X40" s="18"/>
      <c r="Y40" s="18"/>
      <c r="Z40" s="18"/>
      <c r="AA40" s="19">
        <f t="shared" si="1"/>
        <v>5</v>
      </c>
    </row>
    <row r="41" ht="31.5" customHeight="1">
      <c r="A41" s="12">
        <v>45066.0</v>
      </c>
      <c r="B41" s="14" t="s">
        <v>4620</v>
      </c>
      <c r="C41" s="14" t="s">
        <v>262</v>
      </c>
      <c r="D41" s="14" t="s">
        <v>263</v>
      </c>
      <c r="E41" s="14"/>
      <c r="F41" s="14" t="s">
        <v>419</v>
      </c>
      <c r="G41" s="14"/>
      <c r="H41" s="14"/>
      <c r="I41" s="603" t="s">
        <v>264</v>
      </c>
      <c r="J41" s="223"/>
      <c r="K41" s="14"/>
      <c r="L41" s="14" t="s">
        <v>265</v>
      </c>
      <c r="M41" s="223"/>
      <c r="N41" s="14" t="s">
        <v>48</v>
      </c>
      <c r="O41" s="14" t="s">
        <v>34</v>
      </c>
      <c r="P41" s="14"/>
      <c r="Q41" s="14"/>
      <c r="R41" s="14"/>
      <c r="S41" s="14" t="s">
        <v>266</v>
      </c>
      <c r="T41" s="14" t="s">
        <v>4073</v>
      </c>
      <c r="U41" s="17"/>
      <c r="V41" s="14"/>
      <c r="W41" s="14"/>
      <c r="X41" s="18"/>
      <c r="Y41" s="18"/>
      <c r="Z41" s="18"/>
      <c r="AA41" s="19">
        <f t="shared" si="1"/>
        <v>5</v>
      </c>
    </row>
    <row r="42" ht="31.5" customHeight="1">
      <c r="A42" s="12">
        <v>45066.0</v>
      </c>
      <c r="B42" s="14" t="s">
        <v>4620</v>
      </c>
      <c r="C42" s="226" t="s">
        <v>267</v>
      </c>
      <c r="D42" s="14"/>
      <c r="E42" s="14"/>
      <c r="F42" s="14" t="s">
        <v>542</v>
      </c>
      <c r="G42" s="14"/>
      <c r="H42" s="14"/>
      <c r="I42" s="604" t="s">
        <v>268</v>
      </c>
      <c r="J42" s="223"/>
      <c r="K42" s="14"/>
      <c r="L42" s="14"/>
      <c r="M42" s="223"/>
      <c r="N42" s="14" t="s">
        <v>111</v>
      </c>
      <c r="O42" s="14" t="s">
        <v>34</v>
      </c>
      <c r="P42" s="14"/>
      <c r="Q42" s="14"/>
      <c r="R42" s="14"/>
      <c r="S42" s="14" t="s">
        <v>269</v>
      </c>
      <c r="T42" s="14" t="s">
        <v>4053</v>
      </c>
      <c r="U42" s="17"/>
      <c r="V42" s="14"/>
      <c r="W42" s="14"/>
      <c r="X42" s="18"/>
      <c r="Y42" s="18"/>
      <c r="Z42" s="18"/>
      <c r="AA42" s="19">
        <f t="shared" si="1"/>
        <v>5</v>
      </c>
    </row>
    <row r="43" ht="31.5" customHeight="1">
      <c r="A43" s="12">
        <v>45066.0</v>
      </c>
      <c r="B43" s="14" t="s">
        <v>4620</v>
      </c>
      <c r="C43" s="14" t="s">
        <v>270</v>
      </c>
      <c r="D43" s="14" t="s">
        <v>271</v>
      </c>
      <c r="E43" s="14"/>
      <c r="F43" s="14" t="s">
        <v>437</v>
      </c>
      <c r="G43" s="14">
        <v>10.0</v>
      </c>
      <c r="H43" s="14"/>
      <c r="I43" s="604" t="s">
        <v>272</v>
      </c>
      <c r="J43" s="223"/>
      <c r="K43" s="14"/>
      <c r="L43" s="14" t="s">
        <v>273</v>
      </c>
      <c r="M43" s="223"/>
      <c r="N43" s="14" t="s">
        <v>48</v>
      </c>
      <c r="O43" s="14" t="s">
        <v>34</v>
      </c>
      <c r="P43" s="14" t="s">
        <v>274</v>
      </c>
      <c r="Q43" s="14"/>
      <c r="R43" s="14"/>
      <c r="S43" s="14" t="s">
        <v>275</v>
      </c>
      <c r="T43" s="14" t="s">
        <v>4081</v>
      </c>
      <c r="U43" s="17"/>
      <c r="V43" s="14"/>
      <c r="W43" s="14"/>
      <c r="X43" s="18"/>
      <c r="Y43" s="18"/>
      <c r="Z43" s="18"/>
      <c r="AA43" s="19">
        <f t="shared" si="1"/>
        <v>5</v>
      </c>
    </row>
    <row r="44" ht="31.5" customHeight="1">
      <c r="A44" s="12">
        <v>45067.0</v>
      </c>
      <c r="B44" s="14" t="s">
        <v>4620</v>
      </c>
      <c r="C44" s="14" t="s">
        <v>276</v>
      </c>
      <c r="D44" s="14" t="s">
        <v>4082</v>
      </c>
      <c r="E44" s="14"/>
      <c r="F44" s="142">
        <v>43054.0</v>
      </c>
      <c r="G44" s="14"/>
      <c r="H44" s="14"/>
      <c r="I44" s="604" t="s">
        <v>278</v>
      </c>
      <c r="J44" s="223"/>
      <c r="K44" s="14"/>
      <c r="L44" s="14"/>
      <c r="M44" s="223"/>
      <c r="N44" s="14" t="s">
        <v>111</v>
      </c>
      <c r="O44" s="14" t="s">
        <v>13</v>
      </c>
      <c r="P44" s="14" t="s">
        <v>279</v>
      </c>
      <c r="Q44" s="14"/>
      <c r="R44" s="14"/>
      <c r="S44" s="14" t="s">
        <v>280</v>
      </c>
      <c r="T44" s="14" t="s">
        <v>4083</v>
      </c>
      <c r="U44" s="17"/>
      <c r="V44" s="14"/>
      <c r="W44" s="14"/>
      <c r="X44" s="18"/>
      <c r="Y44" s="18"/>
      <c r="Z44" s="18"/>
      <c r="AA44" s="19">
        <f t="shared" si="1"/>
        <v>5</v>
      </c>
    </row>
    <row r="45" ht="31.5" customHeight="1">
      <c r="A45" s="12">
        <v>45067.0</v>
      </c>
      <c r="B45" s="14" t="s">
        <v>4620</v>
      </c>
      <c r="C45" s="14" t="s">
        <v>281</v>
      </c>
      <c r="D45" s="14" t="s">
        <v>282</v>
      </c>
      <c r="E45" s="14"/>
      <c r="F45" s="14" t="s">
        <v>358</v>
      </c>
      <c r="G45" s="14"/>
      <c r="H45" s="14"/>
      <c r="I45" s="604" t="s">
        <v>283</v>
      </c>
      <c r="J45" s="223"/>
      <c r="K45" s="14"/>
      <c r="L45" s="14"/>
      <c r="M45" s="223"/>
      <c r="N45" s="14" t="s">
        <v>56</v>
      </c>
      <c r="O45" s="14" t="s">
        <v>34</v>
      </c>
      <c r="P45" s="14"/>
      <c r="Q45" s="14"/>
      <c r="R45" s="14"/>
      <c r="S45" s="14" t="s">
        <v>284</v>
      </c>
      <c r="T45" s="14" t="s">
        <v>4053</v>
      </c>
      <c r="U45" s="17"/>
      <c r="V45" s="14"/>
      <c r="W45" s="14"/>
      <c r="X45" s="18"/>
      <c r="Y45" s="18"/>
      <c r="Z45" s="18"/>
      <c r="AA45" s="19">
        <f t="shared" si="1"/>
        <v>5</v>
      </c>
    </row>
    <row r="46" ht="31.5" customHeight="1">
      <c r="A46" s="12">
        <v>45068.0</v>
      </c>
      <c r="B46" s="14" t="s">
        <v>201</v>
      </c>
      <c r="C46" s="14" t="s">
        <v>4084</v>
      </c>
      <c r="D46" s="14" t="s">
        <v>286</v>
      </c>
      <c r="E46" s="14"/>
      <c r="F46" s="14" t="s">
        <v>155</v>
      </c>
      <c r="G46" s="14"/>
      <c r="H46" s="14"/>
      <c r="I46" s="604" t="s">
        <v>287</v>
      </c>
      <c r="J46" s="223"/>
      <c r="K46" s="14"/>
      <c r="L46" s="14"/>
      <c r="M46" s="223"/>
      <c r="N46" s="14" t="s">
        <v>111</v>
      </c>
      <c r="O46" s="14" t="s">
        <v>158</v>
      </c>
      <c r="P46" s="14" t="s">
        <v>289</v>
      </c>
      <c r="Q46" s="14"/>
      <c r="R46" s="14"/>
      <c r="S46" s="14" t="s">
        <v>290</v>
      </c>
      <c r="T46" s="14" t="s">
        <v>4085</v>
      </c>
      <c r="U46" s="17"/>
      <c r="V46" s="14"/>
      <c r="W46" s="14"/>
      <c r="X46" s="18"/>
      <c r="Y46" s="18"/>
      <c r="Z46" s="18"/>
      <c r="AA46" s="19">
        <f t="shared" si="1"/>
        <v>5</v>
      </c>
    </row>
    <row r="47" ht="31.5" customHeight="1">
      <c r="A47" s="12">
        <v>45068.0</v>
      </c>
      <c r="B47" s="14" t="s">
        <v>4621</v>
      </c>
      <c r="C47" s="14" t="s">
        <v>291</v>
      </c>
      <c r="D47" s="14" t="s">
        <v>292</v>
      </c>
      <c r="E47" s="14"/>
      <c r="F47" s="14" t="s">
        <v>505</v>
      </c>
      <c r="G47" s="14"/>
      <c r="H47" s="14"/>
      <c r="I47" s="604" t="s">
        <v>293</v>
      </c>
      <c r="J47" s="223"/>
      <c r="K47" s="14"/>
      <c r="L47" s="14" t="s">
        <v>294</v>
      </c>
      <c r="M47" s="591" t="s">
        <v>5887</v>
      </c>
      <c r="N47" s="14" t="s">
        <v>111</v>
      </c>
      <c r="O47" s="14" t="s">
        <v>34</v>
      </c>
      <c r="P47" s="14"/>
      <c r="Q47" s="14"/>
      <c r="R47" s="14"/>
      <c r="S47" s="14" t="s">
        <v>295</v>
      </c>
      <c r="T47" s="14" t="s">
        <v>4083</v>
      </c>
      <c r="U47" s="17"/>
      <c r="V47" s="14"/>
      <c r="W47" s="14"/>
      <c r="X47" s="18"/>
      <c r="Y47" s="18"/>
      <c r="Z47" s="18"/>
      <c r="AA47" s="19">
        <f t="shared" si="1"/>
        <v>5</v>
      </c>
    </row>
    <row r="48" ht="31.5" customHeight="1">
      <c r="A48" s="12">
        <v>45068.0</v>
      </c>
      <c r="B48" s="14" t="s">
        <v>201</v>
      </c>
      <c r="C48" s="14" t="s">
        <v>296</v>
      </c>
      <c r="D48" s="14"/>
      <c r="E48" s="14"/>
      <c r="F48" s="14"/>
      <c r="G48" s="14" t="s">
        <v>297</v>
      </c>
      <c r="H48" s="14"/>
      <c r="I48" s="604" t="s">
        <v>298</v>
      </c>
      <c r="J48" s="223"/>
      <c r="K48" s="14"/>
      <c r="L48" s="14"/>
      <c r="M48" s="223"/>
      <c r="N48" s="14" t="s">
        <v>111</v>
      </c>
      <c r="O48" s="14" t="s">
        <v>34</v>
      </c>
      <c r="P48" s="14" t="s">
        <v>299</v>
      </c>
      <c r="Q48" s="14" t="s">
        <v>91</v>
      </c>
      <c r="R48" s="14"/>
      <c r="S48" s="14" t="s">
        <v>300</v>
      </c>
      <c r="T48" s="14" t="s">
        <v>4086</v>
      </c>
      <c r="U48" s="61" t="s">
        <v>36</v>
      </c>
      <c r="V48" s="14"/>
      <c r="W48" s="14"/>
      <c r="X48" s="18"/>
      <c r="Y48" s="18"/>
      <c r="Z48" s="18"/>
      <c r="AA48" s="19">
        <f t="shared" si="1"/>
        <v>5</v>
      </c>
    </row>
    <row r="49" ht="31.5" customHeight="1">
      <c r="A49" s="12">
        <v>45068.0</v>
      </c>
      <c r="B49" s="14" t="s">
        <v>4621</v>
      </c>
      <c r="C49" s="14"/>
      <c r="D49" s="605" t="s">
        <v>301</v>
      </c>
      <c r="E49" s="14"/>
      <c r="F49" s="14"/>
      <c r="G49" s="14"/>
      <c r="H49" s="14"/>
      <c r="I49" s="590" t="s">
        <v>302</v>
      </c>
      <c r="J49" s="223"/>
      <c r="K49" s="14"/>
      <c r="L49" s="14"/>
      <c r="M49" s="223"/>
      <c r="N49" s="14" t="s">
        <v>152</v>
      </c>
      <c r="O49" s="14" t="s">
        <v>34</v>
      </c>
      <c r="P49" s="14"/>
      <c r="Q49" s="14"/>
      <c r="R49" s="14"/>
      <c r="S49" s="14" t="s">
        <v>303</v>
      </c>
      <c r="T49" s="14" t="s">
        <v>4083</v>
      </c>
      <c r="U49" s="17"/>
      <c r="V49" s="14"/>
      <c r="W49" s="14"/>
      <c r="X49" s="18"/>
      <c r="Y49" s="18"/>
      <c r="Z49" s="18"/>
      <c r="AA49" s="19">
        <f t="shared" si="1"/>
        <v>5</v>
      </c>
    </row>
    <row r="50" ht="31.5" customHeight="1">
      <c r="A50" s="12">
        <v>45069.0</v>
      </c>
      <c r="B50" s="14" t="s">
        <v>201</v>
      </c>
      <c r="C50" s="14" t="s">
        <v>4092</v>
      </c>
      <c r="D50" s="14"/>
      <c r="E50" s="14"/>
      <c r="F50" s="14" t="s">
        <v>505</v>
      </c>
      <c r="G50" s="14"/>
      <c r="H50" s="14"/>
      <c r="I50" s="606" t="s">
        <v>323</v>
      </c>
      <c r="J50" s="223"/>
      <c r="K50" s="14"/>
      <c r="L50" s="14" t="s">
        <v>4093</v>
      </c>
      <c r="M50" s="223"/>
      <c r="N50" s="14" t="s">
        <v>152</v>
      </c>
      <c r="O50" s="14" t="s">
        <v>34</v>
      </c>
      <c r="P50" s="14"/>
      <c r="Q50" s="14"/>
      <c r="R50" s="14"/>
      <c r="S50" s="14" t="s">
        <v>325</v>
      </c>
      <c r="T50" s="14"/>
      <c r="U50" s="17"/>
      <c r="V50" s="14"/>
      <c r="W50" s="14"/>
      <c r="X50" s="18"/>
      <c r="Y50" s="18"/>
      <c r="Z50" s="18"/>
      <c r="AA50" s="19">
        <f t="shared" si="1"/>
        <v>5</v>
      </c>
    </row>
    <row r="51" ht="31.5" customHeight="1">
      <c r="A51" s="12">
        <v>45069.0</v>
      </c>
      <c r="B51" s="14" t="s">
        <v>201</v>
      </c>
      <c r="C51" s="14" t="s">
        <v>4094</v>
      </c>
      <c r="D51" s="14"/>
      <c r="E51" s="14"/>
      <c r="F51" s="14" t="s">
        <v>155</v>
      </c>
      <c r="G51" s="14"/>
      <c r="H51" s="14"/>
      <c r="I51" s="590" t="s">
        <v>327</v>
      </c>
      <c r="J51" s="223"/>
      <c r="K51" s="14"/>
      <c r="L51" s="14" t="s">
        <v>4095</v>
      </c>
      <c r="M51" s="223"/>
      <c r="N51" s="14" t="s">
        <v>111</v>
      </c>
      <c r="O51" s="14" t="s">
        <v>34</v>
      </c>
      <c r="P51" s="14"/>
      <c r="Q51" s="14"/>
      <c r="R51" s="14"/>
      <c r="S51" s="14" t="s">
        <v>329</v>
      </c>
      <c r="T51" s="14" t="s">
        <v>4096</v>
      </c>
      <c r="U51" s="17">
        <v>45094.0</v>
      </c>
      <c r="V51" s="14"/>
      <c r="W51" s="14"/>
      <c r="X51" s="18"/>
      <c r="Y51" s="18"/>
      <c r="Z51" s="18"/>
      <c r="AA51" s="19">
        <f t="shared" si="1"/>
        <v>5</v>
      </c>
    </row>
    <row r="52" ht="31.5" customHeight="1">
      <c r="A52" s="12">
        <v>45069.0</v>
      </c>
      <c r="B52" s="14" t="s">
        <v>4620</v>
      </c>
      <c r="C52" s="14" t="s">
        <v>4097</v>
      </c>
      <c r="D52" s="14"/>
      <c r="E52" s="14"/>
      <c r="F52" s="14" t="s">
        <v>505</v>
      </c>
      <c r="G52" s="14"/>
      <c r="H52" s="14"/>
      <c r="I52" s="590" t="s">
        <v>331</v>
      </c>
      <c r="J52" s="223"/>
      <c r="K52" s="14"/>
      <c r="L52" s="14" t="s">
        <v>332</v>
      </c>
      <c r="M52" s="591" t="s">
        <v>5888</v>
      </c>
      <c r="N52" s="14" t="s">
        <v>48</v>
      </c>
      <c r="O52" s="14" t="s">
        <v>333</v>
      </c>
      <c r="P52" s="14"/>
      <c r="Q52" s="14"/>
      <c r="R52" s="14"/>
      <c r="S52" s="14" t="s">
        <v>334</v>
      </c>
      <c r="T52" s="14" t="s">
        <v>36</v>
      </c>
      <c r="U52" s="17"/>
      <c r="V52" s="14"/>
      <c r="W52" s="14"/>
      <c r="X52" s="18"/>
      <c r="Y52" s="18"/>
      <c r="Z52" s="18"/>
      <c r="AA52" s="19">
        <f t="shared" si="1"/>
        <v>5</v>
      </c>
    </row>
    <row r="53" ht="31.5" customHeight="1">
      <c r="A53" s="12">
        <v>45070.0</v>
      </c>
      <c r="B53" s="14" t="s">
        <v>340</v>
      </c>
      <c r="C53" s="14" t="s">
        <v>341</v>
      </c>
      <c r="D53" s="14" t="s">
        <v>342</v>
      </c>
      <c r="E53" s="14"/>
      <c r="F53" s="14"/>
      <c r="G53" s="14" t="s">
        <v>343</v>
      </c>
      <c r="H53" s="14"/>
      <c r="I53" s="590" t="s">
        <v>344</v>
      </c>
      <c r="J53" s="223"/>
      <c r="K53" s="14"/>
      <c r="L53" s="14" t="s">
        <v>345</v>
      </c>
      <c r="M53" s="223"/>
      <c r="N53" s="14" t="s">
        <v>48</v>
      </c>
      <c r="O53" s="14" t="s">
        <v>34</v>
      </c>
      <c r="P53" s="14" t="s">
        <v>4099</v>
      </c>
      <c r="Q53" s="14"/>
      <c r="R53" s="14"/>
      <c r="S53" s="14" t="s">
        <v>347</v>
      </c>
      <c r="T53" s="14" t="s">
        <v>36</v>
      </c>
      <c r="U53" s="17"/>
      <c r="V53" s="14"/>
      <c r="W53" s="14"/>
      <c r="X53" s="18"/>
      <c r="Y53" s="18"/>
      <c r="Z53" s="18"/>
      <c r="AA53" s="19">
        <f t="shared" si="1"/>
        <v>5</v>
      </c>
    </row>
    <row r="54" ht="31.5" customHeight="1">
      <c r="A54" s="12">
        <v>45070.0</v>
      </c>
      <c r="B54" s="14" t="s">
        <v>4620</v>
      </c>
      <c r="C54" s="14" t="s">
        <v>353</v>
      </c>
      <c r="D54" s="14"/>
      <c r="E54" s="14" t="s">
        <v>168</v>
      </c>
      <c r="F54" s="14"/>
      <c r="G54" s="14"/>
      <c r="H54" s="14"/>
      <c r="I54" s="590" t="s">
        <v>354</v>
      </c>
      <c r="J54" s="223"/>
      <c r="K54" s="14"/>
      <c r="L54" s="253" t="s">
        <v>355</v>
      </c>
      <c r="M54" s="591" t="s">
        <v>5889</v>
      </c>
      <c r="N54" s="14" t="s">
        <v>111</v>
      </c>
      <c r="O54" s="14" t="s">
        <v>34</v>
      </c>
      <c r="P54" s="14"/>
      <c r="Q54" s="14"/>
      <c r="R54" s="14"/>
      <c r="S54" s="14" t="s">
        <v>356</v>
      </c>
      <c r="T54" s="14" t="s">
        <v>36</v>
      </c>
      <c r="U54" s="17"/>
      <c r="V54" s="14"/>
      <c r="W54" s="14"/>
      <c r="X54" s="18"/>
      <c r="Y54" s="18"/>
      <c r="Z54" s="18"/>
      <c r="AA54" s="19">
        <f t="shared" si="1"/>
        <v>5</v>
      </c>
    </row>
    <row r="55" ht="31.5" customHeight="1">
      <c r="A55" s="12">
        <v>45070.0</v>
      </c>
      <c r="B55" s="14" t="s">
        <v>4620</v>
      </c>
      <c r="C55" s="14" t="s">
        <v>357</v>
      </c>
      <c r="D55" s="14"/>
      <c r="E55" s="14" t="s">
        <v>4100</v>
      </c>
      <c r="F55" s="14"/>
      <c r="G55" s="14" t="s">
        <v>358</v>
      </c>
      <c r="H55" s="15"/>
      <c r="I55" s="590" t="s">
        <v>359</v>
      </c>
      <c r="J55" s="223"/>
      <c r="K55" s="14"/>
      <c r="L55" s="14" t="s">
        <v>360</v>
      </c>
      <c r="M55" s="591" t="s">
        <v>5890</v>
      </c>
      <c r="N55" s="14" t="s">
        <v>111</v>
      </c>
      <c r="O55" s="14" t="s">
        <v>34</v>
      </c>
      <c r="P55" s="14" t="s">
        <v>361</v>
      </c>
      <c r="Q55" s="14"/>
      <c r="R55" s="14"/>
      <c r="S55" s="14" t="s">
        <v>362</v>
      </c>
      <c r="T55" s="14" t="s">
        <v>4053</v>
      </c>
      <c r="U55" s="17"/>
      <c r="V55" s="14"/>
      <c r="W55" s="14"/>
      <c r="X55" s="18"/>
      <c r="Y55" s="18"/>
      <c r="Z55" s="18"/>
      <c r="AA55" s="19">
        <f t="shared" si="1"/>
        <v>5</v>
      </c>
    </row>
    <row r="56" ht="31.5" customHeight="1">
      <c r="A56" s="12">
        <v>45070.0</v>
      </c>
      <c r="B56" s="14" t="s">
        <v>4620</v>
      </c>
      <c r="C56" s="14" t="s">
        <v>363</v>
      </c>
      <c r="D56" s="14" t="s">
        <v>364</v>
      </c>
      <c r="E56" s="14"/>
      <c r="F56" s="142">
        <v>43083.0</v>
      </c>
      <c r="G56" s="14" t="s">
        <v>365</v>
      </c>
      <c r="H56" s="14"/>
      <c r="I56" s="590" t="s">
        <v>366</v>
      </c>
      <c r="J56" s="223"/>
      <c r="K56" s="14"/>
      <c r="L56" s="254" t="s">
        <v>4101</v>
      </c>
      <c r="M56" s="223"/>
      <c r="N56" s="14" t="s">
        <v>111</v>
      </c>
      <c r="O56" s="14" t="s">
        <v>34</v>
      </c>
      <c r="P56" s="14"/>
      <c r="Q56" s="14"/>
      <c r="R56" s="14"/>
      <c r="S56" s="14" t="s">
        <v>368</v>
      </c>
      <c r="T56" s="14" t="s">
        <v>36</v>
      </c>
      <c r="U56" s="17"/>
      <c r="V56" s="14"/>
      <c r="W56" s="14"/>
      <c r="X56" s="18"/>
      <c r="Y56" s="18"/>
      <c r="Z56" s="18"/>
      <c r="AA56" s="19">
        <f t="shared" si="1"/>
        <v>5</v>
      </c>
    </row>
    <row r="57" ht="31.5" customHeight="1">
      <c r="A57" s="255">
        <v>45070.0</v>
      </c>
      <c r="B57" s="256" t="s">
        <v>84</v>
      </c>
      <c r="C57" s="256" t="s">
        <v>369</v>
      </c>
      <c r="D57" s="256" t="s">
        <v>370</v>
      </c>
      <c r="E57" s="256"/>
      <c r="F57" s="256"/>
      <c r="G57" s="256" t="s">
        <v>371</v>
      </c>
      <c r="H57" s="256"/>
      <c r="I57" s="607" t="s">
        <v>372</v>
      </c>
      <c r="J57" s="608"/>
      <c r="K57" s="256"/>
      <c r="L57" s="256" t="s">
        <v>373</v>
      </c>
      <c r="M57" s="608"/>
      <c r="N57" s="256" t="s">
        <v>89</v>
      </c>
      <c r="O57" s="256" t="s">
        <v>34</v>
      </c>
      <c r="P57" s="256" t="s">
        <v>374</v>
      </c>
      <c r="Q57" s="256"/>
      <c r="R57" s="256"/>
      <c r="S57" s="256" t="s">
        <v>375</v>
      </c>
      <c r="T57" s="256" t="s">
        <v>36</v>
      </c>
      <c r="U57" s="258" t="s">
        <v>36</v>
      </c>
      <c r="V57" s="256"/>
      <c r="W57" s="256"/>
      <c r="X57" s="259"/>
      <c r="Y57" s="259"/>
      <c r="Z57" s="259"/>
      <c r="AA57" s="19">
        <f t="shared" si="1"/>
        <v>5</v>
      </c>
    </row>
    <row r="58" ht="31.5" customHeight="1">
      <c r="A58" s="12">
        <v>45070.0</v>
      </c>
      <c r="B58" s="14" t="s">
        <v>4620</v>
      </c>
      <c r="C58" s="14" t="s">
        <v>376</v>
      </c>
      <c r="D58" s="14" t="s">
        <v>377</v>
      </c>
      <c r="E58" s="14"/>
      <c r="F58" s="59">
        <v>41701.0</v>
      </c>
      <c r="G58" s="14">
        <v>4.0</v>
      </c>
      <c r="H58" s="14" t="s">
        <v>64</v>
      </c>
      <c r="I58" s="609" t="s">
        <v>378</v>
      </c>
      <c r="J58" s="223" t="s">
        <v>379</v>
      </c>
      <c r="K58" s="14"/>
      <c r="L58" s="106" t="s">
        <v>4102</v>
      </c>
      <c r="M58" s="223"/>
      <c r="N58" s="14" t="s">
        <v>56</v>
      </c>
      <c r="O58" s="14" t="s">
        <v>34</v>
      </c>
      <c r="P58" s="14"/>
      <c r="Q58" s="14"/>
      <c r="R58" s="14"/>
      <c r="S58" s="14" t="s">
        <v>381</v>
      </c>
      <c r="T58" s="14"/>
      <c r="U58" s="61" t="s">
        <v>36</v>
      </c>
      <c r="V58" s="14"/>
      <c r="W58" s="14"/>
      <c r="X58" s="18"/>
      <c r="Y58" s="18"/>
      <c r="Z58" s="18"/>
      <c r="AA58" s="19">
        <f t="shared" si="1"/>
        <v>5</v>
      </c>
    </row>
    <row r="59" ht="31.5" customHeight="1">
      <c r="A59" s="12">
        <v>45071.0</v>
      </c>
      <c r="B59" s="14" t="s">
        <v>4620</v>
      </c>
      <c r="C59" s="14" t="s">
        <v>387</v>
      </c>
      <c r="D59" s="14" t="s">
        <v>388</v>
      </c>
      <c r="E59" s="14"/>
      <c r="F59" s="14"/>
      <c r="G59" s="14">
        <v>8.0</v>
      </c>
      <c r="H59" s="14"/>
      <c r="I59" s="590" t="s">
        <v>389</v>
      </c>
      <c r="J59" s="223"/>
      <c r="K59" s="14"/>
      <c r="L59" s="14" t="s">
        <v>4103</v>
      </c>
      <c r="M59" s="223"/>
      <c r="N59" s="14" t="s">
        <v>111</v>
      </c>
      <c r="O59" s="14" t="s">
        <v>34</v>
      </c>
      <c r="P59" s="14" t="s">
        <v>391</v>
      </c>
      <c r="Q59" s="14"/>
      <c r="R59" s="14"/>
      <c r="S59" s="14" t="s">
        <v>392</v>
      </c>
      <c r="T59" s="14" t="s">
        <v>4069</v>
      </c>
      <c r="U59" s="17"/>
      <c r="V59" s="14"/>
      <c r="W59" s="14"/>
      <c r="X59" s="18"/>
      <c r="Y59" s="18"/>
      <c r="Z59" s="18"/>
      <c r="AA59" s="19">
        <f t="shared" si="1"/>
        <v>5</v>
      </c>
    </row>
    <row r="60" ht="31.5" customHeight="1">
      <c r="A60" s="12">
        <v>45071.0</v>
      </c>
      <c r="B60" s="14" t="s">
        <v>4620</v>
      </c>
      <c r="C60" s="14" t="s">
        <v>415</v>
      </c>
      <c r="D60" s="14"/>
      <c r="E60" s="14"/>
      <c r="F60" s="14"/>
      <c r="G60" s="14"/>
      <c r="H60" s="14"/>
      <c r="I60" s="590" t="s">
        <v>416</v>
      </c>
      <c r="J60" s="223"/>
      <c r="K60" s="14"/>
      <c r="L60" s="14" t="s">
        <v>417</v>
      </c>
      <c r="M60" s="223"/>
      <c r="N60" s="14" t="s">
        <v>56</v>
      </c>
      <c r="O60" s="14" t="s">
        <v>34</v>
      </c>
      <c r="P60" s="14"/>
      <c r="Q60" s="14" t="s">
        <v>91</v>
      </c>
      <c r="R60" s="14"/>
      <c r="S60" s="14" t="s">
        <v>414</v>
      </c>
      <c r="T60" s="14" t="s">
        <v>4107</v>
      </c>
      <c r="U60" s="17">
        <v>45079.0</v>
      </c>
      <c r="V60" s="59"/>
      <c r="W60" s="14"/>
      <c r="X60" s="18"/>
      <c r="Y60" s="18"/>
      <c r="Z60" s="18"/>
      <c r="AA60" s="19">
        <f t="shared" si="1"/>
        <v>5</v>
      </c>
    </row>
    <row r="61" ht="31.5" customHeight="1">
      <c r="A61" s="12">
        <v>45071.0</v>
      </c>
      <c r="B61" s="14" t="s">
        <v>4620</v>
      </c>
      <c r="C61" s="14" t="s">
        <v>418</v>
      </c>
      <c r="D61" s="14"/>
      <c r="E61" s="14"/>
      <c r="F61" s="14"/>
      <c r="G61" s="14" t="s">
        <v>419</v>
      </c>
      <c r="H61" s="14"/>
      <c r="I61" s="604" t="s">
        <v>420</v>
      </c>
      <c r="J61" s="223"/>
      <c r="K61" s="14"/>
      <c r="L61" s="14" t="s">
        <v>421</v>
      </c>
      <c r="M61" s="223"/>
      <c r="N61" s="14" t="s">
        <v>111</v>
      </c>
      <c r="O61" s="14" t="s">
        <v>34</v>
      </c>
      <c r="P61" s="14"/>
      <c r="Q61" s="14"/>
      <c r="R61" s="14"/>
      <c r="S61" s="14" t="s">
        <v>422</v>
      </c>
      <c r="T61" s="14" t="s">
        <v>4083</v>
      </c>
      <c r="U61" s="17"/>
      <c r="V61" s="14"/>
      <c r="W61" s="14"/>
      <c r="X61" s="18"/>
      <c r="Y61" s="18"/>
      <c r="Z61" s="18"/>
      <c r="AA61" s="19">
        <f t="shared" si="1"/>
        <v>5</v>
      </c>
    </row>
    <row r="62" ht="31.5" customHeight="1">
      <c r="A62" s="12">
        <v>45072.0</v>
      </c>
      <c r="B62" s="14" t="s">
        <v>4620</v>
      </c>
      <c r="C62" s="14" t="s">
        <v>423</v>
      </c>
      <c r="D62" s="14" t="s">
        <v>424</v>
      </c>
      <c r="E62" s="14"/>
      <c r="F62" s="14"/>
      <c r="G62" s="14" t="s">
        <v>425</v>
      </c>
      <c r="H62" s="14"/>
      <c r="I62" s="590" t="s">
        <v>426</v>
      </c>
      <c r="J62" s="223"/>
      <c r="K62" s="14"/>
      <c r="L62" s="14"/>
      <c r="M62" s="591" t="s">
        <v>5891</v>
      </c>
      <c r="N62" s="14" t="s">
        <v>111</v>
      </c>
      <c r="O62" s="14" t="s">
        <v>13</v>
      </c>
      <c r="P62" s="14" t="s">
        <v>4109</v>
      </c>
      <c r="Q62" s="14"/>
      <c r="R62" s="14"/>
      <c r="S62" s="14" t="s">
        <v>428</v>
      </c>
      <c r="T62" s="14" t="s">
        <v>4110</v>
      </c>
      <c r="U62" s="17"/>
      <c r="V62" s="14"/>
      <c r="W62" s="14"/>
      <c r="X62" s="18"/>
      <c r="Y62" s="18"/>
      <c r="Z62" s="18"/>
      <c r="AA62" s="19">
        <f t="shared" si="1"/>
        <v>5</v>
      </c>
    </row>
    <row r="63" ht="31.5" customHeight="1">
      <c r="A63" s="12">
        <v>45072.0</v>
      </c>
      <c r="B63" s="14" t="s">
        <v>84</v>
      </c>
      <c r="C63" s="610" t="s">
        <v>429</v>
      </c>
      <c r="D63" s="611" t="s">
        <v>430</v>
      </c>
      <c r="E63" s="14"/>
      <c r="F63" s="14"/>
      <c r="G63" s="14" t="s">
        <v>425</v>
      </c>
      <c r="H63" s="14"/>
      <c r="I63" s="612" t="s">
        <v>431</v>
      </c>
      <c r="J63" s="223"/>
      <c r="K63" s="14" t="s">
        <v>432</v>
      </c>
      <c r="L63" s="14"/>
      <c r="M63" s="223"/>
      <c r="N63" s="14" t="s">
        <v>111</v>
      </c>
      <c r="O63" s="14" t="s">
        <v>72</v>
      </c>
      <c r="P63" s="14" t="s">
        <v>433</v>
      </c>
      <c r="Q63" s="14"/>
      <c r="R63" s="14"/>
      <c r="S63" s="14" t="s">
        <v>434</v>
      </c>
      <c r="T63" s="605" t="s">
        <v>4111</v>
      </c>
      <c r="U63" s="17"/>
      <c r="V63" s="14"/>
      <c r="W63" s="14"/>
      <c r="X63" s="18"/>
      <c r="Y63" s="18"/>
      <c r="Z63" s="18"/>
      <c r="AA63" s="19">
        <f t="shared" si="1"/>
        <v>5</v>
      </c>
    </row>
    <row r="64" ht="31.5" customHeight="1">
      <c r="A64" s="12">
        <v>45072.0</v>
      </c>
      <c r="B64" s="14" t="s">
        <v>4620</v>
      </c>
      <c r="C64" s="14" t="s">
        <v>435</v>
      </c>
      <c r="D64" s="14" t="s">
        <v>436</v>
      </c>
      <c r="E64" s="14"/>
      <c r="F64" s="14"/>
      <c r="G64" s="14" t="s">
        <v>437</v>
      </c>
      <c r="H64" s="14"/>
      <c r="I64" s="604" t="s">
        <v>438</v>
      </c>
      <c r="J64" s="591" t="s">
        <v>439</v>
      </c>
      <c r="K64" s="14"/>
      <c r="L64" s="14" t="s">
        <v>440</v>
      </c>
      <c r="M64" s="591" t="s">
        <v>5892</v>
      </c>
      <c r="N64" s="14" t="s">
        <v>48</v>
      </c>
      <c r="O64" s="14" t="s">
        <v>13</v>
      </c>
      <c r="P64" s="14" t="s">
        <v>441</v>
      </c>
      <c r="Q64" s="14"/>
      <c r="R64" s="14"/>
      <c r="S64" s="92" t="s">
        <v>442</v>
      </c>
      <c r="T64" s="14" t="s">
        <v>4073</v>
      </c>
      <c r="U64" s="17"/>
      <c r="V64" s="14"/>
      <c r="W64" s="14"/>
      <c r="X64" s="18"/>
      <c r="Y64" s="18"/>
      <c r="Z64" s="18"/>
      <c r="AA64" s="19">
        <f t="shared" si="1"/>
        <v>5</v>
      </c>
    </row>
    <row r="65" ht="31.5" customHeight="1">
      <c r="A65" s="12">
        <v>45072.0</v>
      </c>
      <c r="B65" s="14" t="s">
        <v>60</v>
      </c>
      <c r="C65" s="263" t="s">
        <v>449</v>
      </c>
      <c r="D65" s="263" t="s">
        <v>450</v>
      </c>
      <c r="E65" s="14"/>
      <c r="F65" s="14"/>
      <c r="G65" s="14"/>
      <c r="H65" s="14"/>
      <c r="I65" s="613" t="s">
        <v>451</v>
      </c>
      <c r="J65" s="223"/>
      <c r="K65" s="14"/>
      <c r="L65" s="14"/>
      <c r="M65" s="223"/>
      <c r="N65" s="14" t="s">
        <v>48</v>
      </c>
      <c r="O65" s="14" t="s">
        <v>34</v>
      </c>
      <c r="P65" s="14"/>
      <c r="Q65" s="14"/>
      <c r="R65" s="14"/>
      <c r="S65" s="14" t="s">
        <v>452</v>
      </c>
      <c r="T65" s="14" t="s">
        <v>4115</v>
      </c>
      <c r="U65" s="17"/>
      <c r="V65" s="14"/>
      <c r="W65" s="14"/>
      <c r="X65" s="18"/>
      <c r="Y65" s="18"/>
      <c r="Z65" s="18"/>
      <c r="AA65" s="19">
        <f t="shared" si="1"/>
        <v>5</v>
      </c>
    </row>
    <row r="66" ht="31.5" customHeight="1">
      <c r="A66" s="12">
        <v>45072.0</v>
      </c>
      <c r="B66" s="14" t="s">
        <v>60</v>
      </c>
      <c r="C66" s="264"/>
      <c r="D66" s="264" t="s">
        <v>453</v>
      </c>
      <c r="E66" s="14"/>
      <c r="F66" s="14"/>
      <c r="G66" s="14"/>
      <c r="H66" s="14"/>
      <c r="I66" s="590" t="s">
        <v>454</v>
      </c>
      <c r="J66" s="223"/>
      <c r="K66" s="14"/>
      <c r="L66" s="14"/>
      <c r="M66" s="223"/>
      <c r="N66" s="14" t="s">
        <v>48</v>
      </c>
      <c r="O66" s="14" t="s">
        <v>333</v>
      </c>
      <c r="P66" s="14"/>
      <c r="Q66" s="14"/>
      <c r="R66" s="14"/>
      <c r="S66" s="62" t="s">
        <v>455</v>
      </c>
      <c r="T66" s="14" t="s">
        <v>4116</v>
      </c>
      <c r="U66" s="17">
        <v>45108.0</v>
      </c>
      <c r="V66" s="14"/>
      <c r="W66" s="14"/>
      <c r="X66" s="18"/>
      <c r="Y66" s="18"/>
      <c r="Z66" s="18"/>
      <c r="AA66" s="19">
        <f t="shared" si="1"/>
        <v>5</v>
      </c>
    </row>
    <row r="67" ht="31.5" customHeight="1">
      <c r="A67" s="12">
        <v>45073.0</v>
      </c>
      <c r="B67" s="14" t="s">
        <v>4620</v>
      </c>
      <c r="C67" s="14" t="s">
        <v>456</v>
      </c>
      <c r="D67" s="14"/>
      <c r="E67" s="14"/>
      <c r="F67" s="14"/>
      <c r="G67" s="14" t="s">
        <v>457</v>
      </c>
      <c r="H67" s="14"/>
      <c r="I67" s="590" t="s">
        <v>458</v>
      </c>
      <c r="J67" s="223"/>
      <c r="K67" s="15" t="s">
        <v>458</v>
      </c>
      <c r="L67" s="14" t="s">
        <v>459</v>
      </c>
      <c r="M67" s="591" t="s">
        <v>5893</v>
      </c>
      <c r="N67" s="14" t="s">
        <v>111</v>
      </c>
      <c r="O67" s="14" t="s">
        <v>158</v>
      </c>
      <c r="P67" s="14"/>
      <c r="Q67" s="14"/>
      <c r="R67" s="14"/>
      <c r="S67" s="14" t="s">
        <v>460</v>
      </c>
      <c r="T67" s="14" t="s">
        <v>4117</v>
      </c>
      <c r="U67" s="17">
        <v>45093.0</v>
      </c>
      <c r="V67" s="14"/>
      <c r="W67" s="14"/>
      <c r="X67" s="18"/>
      <c r="Y67" s="18"/>
      <c r="Z67" s="18"/>
      <c r="AA67" s="19">
        <f t="shared" si="1"/>
        <v>5</v>
      </c>
    </row>
    <row r="68" ht="31.5" customHeight="1">
      <c r="A68" s="12">
        <v>45073.0</v>
      </c>
      <c r="B68" s="14" t="s">
        <v>60</v>
      </c>
      <c r="C68" s="14" t="s">
        <v>50</v>
      </c>
      <c r="D68" s="250" t="s">
        <v>461</v>
      </c>
      <c r="E68" s="14"/>
      <c r="F68" s="14"/>
      <c r="G68" s="14" t="s">
        <v>437</v>
      </c>
      <c r="H68" s="14"/>
      <c r="I68" s="590" t="s">
        <v>462</v>
      </c>
      <c r="J68" s="223"/>
      <c r="K68" s="14"/>
      <c r="L68" s="250" t="s">
        <v>463</v>
      </c>
      <c r="M68" s="223"/>
      <c r="N68" s="14" t="s">
        <v>111</v>
      </c>
      <c r="O68" s="14" t="s">
        <v>34</v>
      </c>
      <c r="P68" s="14"/>
      <c r="Q68" s="14"/>
      <c r="R68" s="14"/>
      <c r="S68" s="14" t="s">
        <v>464</v>
      </c>
      <c r="T68" s="14" t="s">
        <v>4083</v>
      </c>
      <c r="U68" s="17"/>
      <c r="V68" s="14"/>
      <c r="W68" s="14"/>
      <c r="X68" s="18"/>
      <c r="Y68" s="18"/>
      <c r="Z68" s="18"/>
      <c r="AA68" s="19">
        <f t="shared" si="1"/>
        <v>5</v>
      </c>
    </row>
    <row r="69" ht="31.5" customHeight="1">
      <c r="A69" s="12">
        <v>45073.0</v>
      </c>
      <c r="B69" s="14" t="s">
        <v>4621</v>
      </c>
      <c r="C69" s="14" t="s">
        <v>465</v>
      </c>
      <c r="D69" s="14"/>
      <c r="E69" s="14"/>
      <c r="F69" s="14"/>
      <c r="G69" s="14"/>
      <c r="H69" s="14"/>
      <c r="I69" s="590"/>
      <c r="J69" s="223"/>
      <c r="K69" s="14"/>
      <c r="L69" s="14"/>
      <c r="M69" s="223"/>
      <c r="N69" s="14" t="s">
        <v>152</v>
      </c>
      <c r="O69" s="14" t="s">
        <v>34</v>
      </c>
      <c r="P69" s="14"/>
      <c r="Q69" s="14"/>
      <c r="R69" s="14"/>
      <c r="S69" s="14" t="s">
        <v>466</v>
      </c>
      <c r="T69" s="14"/>
      <c r="U69" s="17"/>
      <c r="V69" s="14"/>
      <c r="W69" s="14"/>
      <c r="X69" s="18"/>
      <c r="Y69" s="18"/>
      <c r="Z69" s="18"/>
      <c r="AA69" s="19">
        <f t="shared" si="1"/>
        <v>5</v>
      </c>
    </row>
    <row r="70" ht="31.5" customHeight="1">
      <c r="A70" s="12">
        <v>45073.0</v>
      </c>
      <c r="B70" s="14" t="s">
        <v>60</v>
      </c>
      <c r="C70" s="250" t="s">
        <v>467</v>
      </c>
      <c r="D70" s="250" t="s">
        <v>468</v>
      </c>
      <c r="E70" s="14"/>
      <c r="F70" s="142">
        <v>40657.0</v>
      </c>
      <c r="G70" s="14" t="s">
        <v>469</v>
      </c>
      <c r="H70" s="14"/>
      <c r="I70" s="590" t="s">
        <v>470</v>
      </c>
      <c r="J70" s="223"/>
      <c r="K70" s="14"/>
      <c r="L70" s="14"/>
      <c r="M70" s="223"/>
      <c r="N70" s="14" t="s">
        <v>48</v>
      </c>
      <c r="O70" s="14" t="s">
        <v>333</v>
      </c>
      <c r="P70" s="14"/>
      <c r="Q70" s="14"/>
      <c r="R70" s="14"/>
      <c r="S70" s="14" t="s">
        <v>471</v>
      </c>
      <c r="T70" s="14" t="s">
        <v>36</v>
      </c>
      <c r="U70" s="17"/>
      <c r="V70" s="90"/>
      <c r="W70" s="14"/>
      <c r="X70" s="18"/>
      <c r="Y70" s="18"/>
      <c r="Z70" s="18"/>
      <c r="AA70" s="19">
        <f t="shared" si="1"/>
        <v>5</v>
      </c>
    </row>
    <row r="71" ht="31.5" customHeight="1">
      <c r="A71" s="12">
        <v>45073.0</v>
      </c>
      <c r="B71" s="14" t="s">
        <v>60</v>
      </c>
      <c r="C71" s="250" t="s">
        <v>472</v>
      </c>
      <c r="D71" s="250" t="s">
        <v>473</v>
      </c>
      <c r="E71" s="14"/>
      <c r="F71" s="14"/>
      <c r="G71" s="14" t="s">
        <v>474</v>
      </c>
      <c r="H71" s="14"/>
      <c r="I71" s="614" t="s">
        <v>475</v>
      </c>
      <c r="J71" s="223"/>
      <c r="K71" s="14"/>
      <c r="L71" s="14"/>
      <c r="M71" s="223"/>
      <c r="N71" s="14" t="s">
        <v>111</v>
      </c>
      <c r="O71" s="14" t="s">
        <v>72</v>
      </c>
      <c r="P71" s="14" t="s">
        <v>476</v>
      </c>
      <c r="Q71" s="14"/>
      <c r="R71" s="14"/>
      <c r="S71" s="14" t="s">
        <v>477</v>
      </c>
      <c r="T71" s="14" t="s">
        <v>4118</v>
      </c>
      <c r="U71" s="17">
        <v>45112.0</v>
      </c>
      <c r="V71" s="14"/>
      <c r="W71" s="14"/>
      <c r="X71" s="18"/>
      <c r="Y71" s="18"/>
      <c r="Z71" s="18"/>
      <c r="AA71" s="19">
        <f t="shared" si="1"/>
        <v>5</v>
      </c>
    </row>
    <row r="72" ht="31.5" customHeight="1">
      <c r="A72" s="12">
        <v>45073.0</v>
      </c>
      <c r="B72" s="14" t="s">
        <v>60</v>
      </c>
      <c r="C72" s="615" t="s">
        <v>478</v>
      </c>
      <c r="D72" s="616" t="s">
        <v>479</v>
      </c>
      <c r="E72" s="14"/>
      <c r="F72" s="14"/>
      <c r="G72" s="14" t="s">
        <v>480</v>
      </c>
      <c r="H72" s="14"/>
      <c r="I72" s="596" t="s">
        <v>481</v>
      </c>
      <c r="J72" s="223"/>
      <c r="K72" s="14"/>
      <c r="L72" s="14"/>
      <c r="M72" s="223"/>
      <c r="N72" s="14" t="s">
        <v>412</v>
      </c>
      <c r="O72" s="14" t="s">
        <v>13</v>
      </c>
      <c r="P72" s="14" t="s">
        <v>4119</v>
      </c>
      <c r="Q72" s="14"/>
      <c r="R72" s="14"/>
      <c r="S72" s="14" t="s">
        <v>483</v>
      </c>
      <c r="T72" s="14" t="s">
        <v>4120</v>
      </c>
      <c r="U72" s="61" t="s">
        <v>289</v>
      </c>
      <c r="V72" s="14"/>
      <c r="W72" s="14"/>
      <c r="X72" s="18"/>
      <c r="Y72" s="18"/>
      <c r="Z72" s="18"/>
      <c r="AA72" s="19">
        <f t="shared" si="1"/>
        <v>5</v>
      </c>
    </row>
    <row r="73" ht="31.5" customHeight="1">
      <c r="A73" s="12">
        <v>45073.0</v>
      </c>
      <c r="B73" s="14" t="s">
        <v>60</v>
      </c>
      <c r="C73" s="250" t="s">
        <v>484</v>
      </c>
      <c r="D73" s="250" t="s">
        <v>485</v>
      </c>
      <c r="E73" s="14"/>
      <c r="F73" s="14"/>
      <c r="G73" s="14" t="s">
        <v>87</v>
      </c>
      <c r="H73" s="14"/>
      <c r="I73" s="590" t="s">
        <v>486</v>
      </c>
      <c r="J73" s="223"/>
      <c r="K73" s="14"/>
      <c r="L73" s="14" t="s">
        <v>487</v>
      </c>
      <c r="M73" s="223"/>
      <c r="N73" s="14" t="s">
        <v>48</v>
      </c>
      <c r="O73" s="14" t="s">
        <v>34</v>
      </c>
      <c r="P73" s="14"/>
      <c r="Q73" s="14"/>
      <c r="R73" s="14"/>
      <c r="S73" s="14" t="s">
        <v>488</v>
      </c>
      <c r="T73" s="14"/>
      <c r="U73" s="17">
        <v>45174.0</v>
      </c>
      <c r="V73" s="14"/>
      <c r="W73" s="14"/>
      <c r="X73" s="18"/>
      <c r="Y73" s="18"/>
      <c r="Z73" s="18"/>
      <c r="AA73" s="19">
        <f t="shared" si="1"/>
        <v>5</v>
      </c>
    </row>
    <row r="74" ht="31.5" customHeight="1">
      <c r="A74" s="12">
        <v>45073.0</v>
      </c>
      <c r="B74" s="14" t="s">
        <v>60</v>
      </c>
      <c r="C74" s="265" t="s">
        <v>489</v>
      </c>
      <c r="D74" s="265" t="s">
        <v>490</v>
      </c>
      <c r="E74" s="14"/>
      <c r="F74" s="14"/>
      <c r="G74" s="14" t="s">
        <v>457</v>
      </c>
      <c r="H74" s="14"/>
      <c r="I74" s="590" t="s">
        <v>491</v>
      </c>
      <c r="J74" s="223"/>
      <c r="K74" s="15">
        <v>9.0667962E8</v>
      </c>
      <c r="L74" s="14"/>
      <c r="M74" s="223"/>
      <c r="N74" s="14" t="s">
        <v>111</v>
      </c>
      <c r="O74" s="14" t="s">
        <v>158</v>
      </c>
      <c r="P74" s="14"/>
      <c r="Q74" s="14"/>
      <c r="R74" s="14"/>
      <c r="S74" s="14" t="s">
        <v>492</v>
      </c>
      <c r="T74" s="14" t="s">
        <v>4121</v>
      </c>
      <c r="U74" s="17">
        <v>45093.0</v>
      </c>
      <c r="V74" s="14"/>
      <c r="W74" s="14"/>
      <c r="X74" s="18"/>
      <c r="Y74" s="18"/>
      <c r="Z74" s="18"/>
      <c r="AA74" s="19">
        <f t="shared" si="1"/>
        <v>5</v>
      </c>
    </row>
    <row r="75" ht="31.5" customHeight="1">
      <c r="A75" s="12">
        <v>45073.0</v>
      </c>
      <c r="B75" s="14" t="s">
        <v>60</v>
      </c>
      <c r="C75" s="265" t="s">
        <v>493</v>
      </c>
      <c r="D75" s="265" t="s">
        <v>494</v>
      </c>
      <c r="E75" s="14"/>
      <c r="F75" s="14"/>
      <c r="G75" s="265" t="s">
        <v>495</v>
      </c>
      <c r="H75" s="14"/>
      <c r="I75" s="590" t="s">
        <v>496</v>
      </c>
      <c r="J75" s="223"/>
      <c r="K75" s="14"/>
      <c r="L75" s="14"/>
      <c r="M75" s="223"/>
      <c r="N75" s="14" t="s">
        <v>48</v>
      </c>
      <c r="O75" s="14" t="s">
        <v>216</v>
      </c>
      <c r="P75" s="14"/>
      <c r="Q75" s="14"/>
      <c r="R75" s="14"/>
      <c r="S75" s="14" t="s">
        <v>428</v>
      </c>
      <c r="T75" s="14" t="s">
        <v>4083</v>
      </c>
      <c r="U75" s="17"/>
      <c r="V75" s="14"/>
      <c r="W75" s="14"/>
      <c r="X75" s="18"/>
      <c r="Y75" s="18"/>
      <c r="Z75" s="18"/>
      <c r="AA75" s="19">
        <f t="shared" si="1"/>
        <v>5</v>
      </c>
    </row>
    <row r="76" ht="31.5" customHeight="1">
      <c r="A76" s="12">
        <v>45073.0</v>
      </c>
      <c r="B76" s="14" t="s">
        <v>60</v>
      </c>
      <c r="C76" s="14" t="s">
        <v>497</v>
      </c>
      <c r="D76" s="14" t="s">
        <v>498</v>
      </c>
      <c r="E76" s="14"/>
      <c r="F76" s="14"/>
      <c r="G76" s="14"/>
      <c r="H76" s="14"/>
      <c r="I76" s="590" t="s">
        <v>499</v>
      </c>
      <c r="J76" s="223"/>
      <c r="K76" s="14"/>
      <c r="L76" s="14"/>
      <c r="M76" s="223"/>
      <c r="N76" s="14" t="s">
        <v>111</v>
      </c>
      <c r="O76" s="14" t="s">
        <v>158</v>
      </c>
      <c r="P76" s="14"/>
      <c r="Q76" s="14"/>
      <c r="R76" s="14"/>
      <c r="S76" s="14" t="s">
        <v>500</v>
      </c>
      <c r="T76" s="14" t="s">
        <v>4074</v>
      </c>
      <c r="U76" s="17">
        <v>45108.0</v>
      </c>
      <c r="V76" s="14"/>
      <c r="W76" s="14"/>
      <c r="X76" s="18"/>
      <c r="Y76" s="18"/>
      <c r="Z76" s="18"/>
      <c r="AA76" s="19">
        <f t="shared" si="1"/>
        <v>5</v>
      </c>
    </row>
    <row r="77" ht="31.5" customHeight="1">
      <c r="A77" s="12">
        <v>45073.0</v>
      </c>
      <c r="B77" s="14" t="s">
        <v>60</v>
      </c>
      <c r="C77" s="14" t="s">
        <v>4122</v>
      </c>
      <c r="D77" s="14" t="s">
        <v>502</v>
      </c>
      <c r="E77" s="14"/>
      <c r="F77" s="14"/>
      <c r="G77" s="14"/>
      <c r="H77" s="14"/>
      <c r="I77" s="590" t="s">
        <v>499</v>
      </c>
      <c r="J77" s="223"/>
      <c r="K77" s="14"/>
      <c r="L77" s="14"/>
      <c r="M77" s="223"/>
      <c r="N77" s="14" t="s">
        <v>48</v>
      </c>
      <c r="O77" s="14" t="s">
        <v>34</v>
      </c>
      <c r="P77" s="14"/>
      <c r="Q77" s="14"/>
      <c r="R77" s="14"/>
      <c r="S77" s="14" t="s">
        <v>503</v>
      </c>
      <c r="T77" s="14" t="s">
        <v>36</v>
      </c>
      <c r="U77" s="17"/>
      <c r="V77" s="14"/>
      <c r="W77" s="14"/>
      <c r="X77" s="18"/>
      <c r="Y77" s="18"/>
      <c r="Z77" s="18"/>
      <c r="AA77" s="19">
        <f t="shared" si="1"/>
        <v>5</v>
      </c>
    </row>
    <row r="78" ht="31.5" customHeight="1">
      <c r="A78" s="12">
        <v>45073.0</v>
      </c>
      <c r="B78" s="14" t="s">
        <v>4620</v>
      </c>
      <c r="C78" s="14" t="s">
        <v>504</v>
      </c>
      <c r="D78" s="14" t="s">
        <v>502</v>
      </c>
      <c r="E78" s="14"/>
      <c r="F78" s="14"/>
      <c r="G78" s="14" t="s">
        <v>505</v>
      </c>
      <c r="H78" s="14"/>
      <c r="I78" s="590" t="s">
        <v>506</v>
      </c>
      <c r="J78" s="223"/>
      <c r="K78" s="14"/>
      <c r="L78" s="14"/>
      <c r="M78" s="591" t="s">
        <v>5894</v>
      </c>
      <c r="N78" s="14" t="s">
        <v>152</v>
      </c>
      <c r="O78" s="14" t="s">
        <v>34</v>
      </c>
      <c r="P78" s="37" t="s">
        <v>4123</v>
      </c>
      <c r="Q78" s="14" t="s">
        <v>4045</v>
      </c>
      <c r="R78" s="14"/>
      <c r="S78" s="14" t="s">
        <v>508</v>
      </c>
      <c r="T78" s="14" t="s">
        <v>4124</v>
      </c>
      <c r="U78" s="17">
        <v>45078.0</v>
      </c>
      <c r="V78" s="59"/>
      <c r="W78" s="14" t="s">
        <v>59</v>
      </c>
      <c r="X78" s="18">
        <v>1000000.0</v>
      </c>
      <c r="Y78" s="18"/>
      <c r="Z78" s="18"/>
      <c r="AA78" s="19">
        <f t="shared" si="1"/>
        <v>5</v>
      </c>
    </row>
    <row r="79" ht="31.5" customHeight="1">
      <c r="A79" s="12">
        <v>45074.0</v>
      </c>
      <c r="B79" s="14" t="s">
        <v>4620</v>
      </c>
      <c r="C79" s="14"/>
      <c r="D79" s="14" t="s">
        <v>509</v>
      </c>
      <c r="E79" s="14"/>
      <c r="F79" s="14" t="s">
        <v>4125</v>
      </c>
      <c r="G79" s="14" t="s">
        <v>155</v>
      </c>
      <c r="H79" s="14"/>
      <c r="I79" s="590" t="s">
        <v>510</v>
      </c>
      <c r="J79" s="223"/>
      <c r="K79" s="14"/>
      <c r="L79" s="14" t="s">
        <v>4126</v>
      </c>
      <c r="M79" s="223"/>
      <c r="N79" s="14" t="s">
        <v>48</v>
      </c>
      <c r="O79" s="14" t="s">
        <v>216</v>
      </c>
      <c r="P79" s="14"/>
      <c r="Q79" s="14"/>
      <c r="R79" s="14"/>
      <c r="S79" s="14" t="s">
        <v>512</v>
      </c>
      <c r="T79" s="14" t="s">
        <v>4127</v>
      </c>
      <c r="U79" s="17"/>
      <c r="V79" s="14"/>
      <c r="W79" s="14"/>
      <c r="X79" s="18"/>
      <c r="Y79" s="18"/>
      <c r="Z79" s="18"/>
      <c r="AA79" s="19">
        <f t="shared" si="1"/>
        <v>5</v>
      </c>
    </row>
    <row r="80" ht="31.5" customHeight="1">
      <c r="A80" s="12">
        <v>45075.0</v>
      </c>
      <c r="B80" s="14" t="s">
        <v>4621</v>
      </c>
      <c r="C80" s="14" t="s">
        <v>513</v>
      </c>
      <c r="D80" s="14" t="s">
        <v>514</v>
      </c>
      <c r="E80" s="14"/>
      <c r="F80" s="14"/>
      <c r="G80" s="14" t="s">
        <v>371</v>
      </c>
      <c r="H80" s="14"/>
      <c r="I80" s="590" t="s">
        <v>515</v>
      </c>
      <c r="J80" s="223"/>
      <c r="K80" s="14"/>
      <c r="L80" s="14" t="s">
        <v>4128</v>
      </c>
      <c r="M80" s="591" t="s">
        <v>5895</v>
      </c>
      <c r="N80" s="14" t="s">
        <v>111</v>
      </c>
      <c r="O80" s="14" t="s">
        <v>34</v>
      </c>
      <c r="P80" s="14"/>
      <c r="Q80" s="14"/>
      <c r="R80" s="14"/>
      <c r="S80" s="14" t="s">
        <v>4129</v>
      </c>
      <c r="T80" s="14" t="s">
        <v>4083</v>
      </c>
      <c r="U80" s="17"/>
      <c r="V80" s="14"/>
      <c r="W80" s="14"/>
      <c r="X80" s="18"/>
      <c r="Y80" s="18"/>
      <c r="Z80" s="18"/>
      <c r="AA80" s="19">
        <f t="shared" si="1"/>
        <v>5</v>
      </c>
    </row>
    <row r="81" ht="31.5" customHeight="1">
      <c r="A81" s="12">
        <v>45076.0</v>
      </c>
      <c r="B81" s="14" t="s">
        <v>4621</v>
      </c>
      <c r="C81" s="14"/>
      <c r="D81" s="14" t="s">
        <v>518</v>
      </c>
      <c r="E81" s="14"/>
      <c r="F81" s="14"/>
      <c r="G81" s="14"/>
      <c r="H81" s="14"/>
      <c r="I81" s="590" t="s">
        <v>519</v>
      </c>
      <c r="J81" s="223"/>
      <c r="K81" s="14"/>
      <c r="L81" s="14" t="s">
        <v>520</v>
      </c>
      <c r="M81" s="223"/>
      <c r="N81" s="14" t="s">
        <v>48</v>
      </c>
      <c r="O81" s="14" t="s">
        <v>158</v>
      </c>
      <c r="P81" s="14"/>
      <c r="Q81" s="14"/>
      <c r="R81" s="14"/>
      <c r="S81" s="14" t="s">
        <v>521</v>
      </c>
      <c r="T81" s="14"/>
      <c r="U81" s="17"/>
      <c r="V81" s="14"/>
      <c r="W81" s="14"/>
      <c r="X81" s="18"/>
      <c r="Y81" s="18"/>
      <c r="Z81" s="18"/>
      <c r="AA81" s="19">
        <f t="shared" si="1"/>
        <v>5</v>
      </c>
    </row>
    <row r="82" ht="31.5" customHeight="1">
      <c r="A82" s="12">
        <v>45076.0</v>
      </c>
      <c r="B82" s="14" t="s">
        <v>4620</v>
      </c>
      <c r="C82" s="14" t="s">
        <v>522</v>
      </c>
      <c r="D82" s="14"/>
      <c r="E82" s="14"/>
      <c r="F82" s="14"/>
      <c r="G82" s="14"/>
      <c r="H82" s="14"/>
      <c r="I82" s="590" t="s">
        <v>523</v>
      </c>
      <c r="J82" s="223"/>
      <c r="K82" s="14"/>
      <c r="L82" s="14" t="s">
        <v>4130</v>
      </c>
      <c r="M82" s="591" t="s">
        <v>5896</v>
      </c>
      <c r="N82" s="14" t="s">
        <v>111</v>
      </c>
      <c r="O82" s="14" t="s">
        <v>34</v>
      </c>
      <c r="P82" s="14"/>
      <c r="Q82" s="14"/>
      <c r="R82" s="14"/>
      <c r="S82" s="14" t="s">
        <v>525</v>
      </c>
      <c r="T82" s="14" t="s">
        <v>4083</v>
      </c>
      <c r="U82" s="17"/>
      <c r="V82" s="14"/>
      <c r="W82" s="14"/>
      <c r="X82" s="18"/>
      <c r="Y82" s="18"/>
      <c r="Z82" s="18"/>
      <c r="AA82" s="19">
        <f t="shared" si="1"/>
        <v>5</v>
      </c>
    </row>
    <row r="83" ht="31.5" customHeight="1">
      <c r="A83" s="12">
        <v>45076.0</v>
      </c>
      <c r="B83" s="14" t="s">
        <v>4620</v>
      </c>
      <c r="C83" s="14" t="s">
        <v>526</v>
      </c>
      <c r="D83" s="14" t="s">
        <v>527</v>
      </c>
      <c r="E83" s="14"/>
      <c r="F83" s="14" t="s">
        <v>4131</v>
      </c>
      <c r="G83" s="14" t="s">
        <v>528</v>
      </c>
      <c r="H83" s="14"/>
      <c r="I83" s="590" t="s">
        <v>529</v>
      </c>
      <c r="J83" s="223"/>
      <c r="K83" s="14"/>
      <c r="L83" s="14" t="s">
        <v>530</v>
      </c>
      <c r="M83" s="591" t="s">
        <v>5897</v>
      </c>
      <c r="N83" s="14" t="s">
        <v>111</v>
      </c>
      <c r="O83" s="14" t="s">
        <v>13</v>
      </c>
      <c r="P83" s="14" t="s">
        <v>531</v>
      </c>
      <c r="Q83" s="14"/>
      <c r="R83" s="14"/>
      <c r="S83" s="14" t="s">
        <v>532</v>
      </c>
      <c r="T83" s="14" t="s">
        <v>4132</v>
      </c>
      <c r="U83" s="17">
        <v>45093.0</v>
      </c>
      <c r="V83" s="14"/>
      <c r="W83" s="14"/>
      <c r="X83" s="18"/>
      <c r="Y83" s="18"/>
      <c r="Z83" s="18"/>
      <c r="AA83" s="19">
        <f t="shared" si="1"/>
        <v>5</v>
      </c>
    </row>
    <row r="84" ht="31.5" customHeight="1">
      <c r="A84" s="12">
        <v>45076.0</v>
      </c>
      <c r="B84" s="14" t="s">
        <v>539</v>
      </c>
      <c r="C84" s="14" t="s">
        <v>540</v>
      </c>
      <c r="D84" s="14" t="s">
        <v>541</v>
      </c>
      <c r="E84" s="14"/>
      <c r="F84" s="14"/>
      <c r="G84" s="14" t="s">
        <v>542</v>
      </c>
      <c r="H84" s="14"/>
      <c r="I84" s="617" t="s">
        <v>543</v>
      </c>
      <c r="J84" s="223"/>
      <c r="K84" s="14"/>
      <c r="L84" s="14"/>
      <c r="M84" s="223"/>
      <c r="N84" s="14" t="s">
        <v>111</v>
      </c>
      <c r="O84" s="14" t="s">
        <v>34</v>
      </c>
      <c r="P84" s="14" t="s">
        <v>544</v>
      </c>
      <c r="Q84" s="14"/>
      <c r="R84" s="14"/>
      <c r="S84" s="14" t="s">
        <v>545</v>
      </c>
      <c r="T84" s="14" t="s">
        <v>4133</v>
      </c>
      <c r="U84" s="17">
        <v>45093.0</v>
      </c>
      <c r="V84" s="14"/>
      <c r="W84" s="14"/>
      <c r="X84" s="18"/>
      <c r="Y84" s="18"/>
      <c r="Z84" s="18"/>
      <c r="AA84" s="19">
        <f t="shared" si="1"/>
        <v>5</v>
      </c>
    </row>
    <row r="85" ht="31.5" customHeight="1">
      <c r="A85" s="12">
        <v>45076.0</v>
      </c>
      <c r="B85" s="14" t="s">
        <v>539</v>
      </c>
      <c r="C85" s="14" t="s">
        <v>546</v>
      </c>
      <c r="D85" s="14" t="s">
        <v>4134</v>
      </c>
      <c r="E85" s="14"/>
      <c r="F85" s="14"/>
      <c r="G85" s="14" t="s">
        <v>542</v>
      </c>
      <c r="H85" s="14"/>
      <c r="I85" s="590" t="s">
        <v>548</v>
      </c>
      <c r="J85" s="223"/>
      <c r="K85" s="14"/>
      <c r="L85" s="14"/>
      <c r="M85" s="223"/>
      <c r="N85" s="14" t="s">
        <v>111</v>
      </c>
      <c r="O85" s="14" t="s">
        <v>13</v>
      </c>
      <c r="P85" s="61" t="s">
        <v>549</v>
      </c>
      <c r="Q85" s="14"/>
      <c r="R85" s="14"/>
      <c r="S85" s="14" t="s">
        <v>550</v>
      </c>
      <c r="T85" s="14" t="s">
        <v>4135</v>
      </c>
      <c r="U85" s="17">
        <v>45093.0</v>
      </c>
      <c r="V85" s="14"/>
      <c r="W85" s="14"/>
      <c r="X85" s="18"/>
      <c r="Y85" s="18"/>
      <c r="Z85" s="18"/>
      <c r="AA85" s="19">
        <f t="shared" si="1"/>
        <v>5</v>
      </c>
    </row>
    <row r="86" ht="31.5" customHeight="1">
      <c r="A86" s="12">
        <v>45076.0</v>
      </c>
      <c r="B86" s="14" t="s">
        <v>539</v>
      </c>
      <c r="C86" s="618" t="s">
        <v>551</v>
      </c>
      <c r="D86" s="14"/>
      <c r="E86" s="14"/>
      <c r="F86" s="14"/>
      <c r="G86" s="14"/>
      <c r="H86" s="14"/>
      <c r="I86" s="617" t="s">
        <v>552</v>
      </c>
      <c r="J86" s="223"/>
      <c r="K86" s="14"/>
      <c r="L86" s="14"/>
      <c r="M86" s="223"/>
      <c r="N86" s="14" t="s">
        <v>111</v>
      </c>
      <c r="O86" s="14" t="s">
        <v>333</v>
      </c>
      <c r="P86" s="14"/>
      <c r="Q86" s="14"/>
      <c r="R86" s="14"/>
      <c r="S86" s="14" t="s">
        <v>553</v>
      </c>
      <c r="T86" s="14" t="s">
        <v>4136</v>
      </c>
      <c r="U86" s="17">
        <v>45093.0</v>
      </c>
      <c r="V86" s="14"/>
      <c r="W86" s="14"/>
      <c r="X86" s="18"/>
      <c r="Y86" s="18"/>
      <c r="Z86" s="18"/>
      <c r="AA86" s="19">
        <f t="shared" si="1"/>
        <v>5</v>
      </c>
    </row>
    <row r="87" ht="31.5" customHeight="1">
      <c r="A87" s="12">
        <v>45076.0</v>
      </c>
      <c r="B87" s="14" t="s">
        <v>539</v>
      </c>
      <c r="C87" s="14"/>
      <c r="D87" s="14"/>
      <c r="E87" s="14"/>
      <c r="F87" s="14"/>
      <c r="G87" s="14"/>
      <c r="H87" s="14"/>
      <c r="I87" s="617" t="s">
        <v>555</v>
      </c>
      <c r="J87" s="223"/>
      <c r="K87" s="14"/>
      <c r="L87" s="14"/>
      <c r="M87" s="223"/>
      <c r="N87" s="14" t="s">
        <v>48</v>
      </c>
      <c r="O87" s="14" t="s">
        <v>333</v>
      </c>
      <c r="P87" s="14"/>
      <c r="Q87" s="14"/>
      <c r="R87" s="14"/>
      <c r="S87" s="14" t="s">
        <v>556</v>
      </c>
      <c r="T87" s="14" t="s">
        <v>4137</v>
      </c>
      <c r="U87" s="17">
        <v>45100.0</v>
      </c>
      <c r="V87" s="14"/>
      <c r="W87" s="14"/>
      <c r="X87" s="18"/>
      <c r="Y87" s="18"/>
      <c r="Z87" s="18"/>
      <c r="AA87" s="19">
        <f t="shared" si="1"/>
        <v>5</v>
      </c>
    </row>
    <row r="88" ht="31.5" customHeight="1">
      <c r="A88" s="12">
        <v>45076.0</v>
      </c>
      <c r="B88" s="14" t="s">
        <v>539</v>
      </c>
      <c r="C88" s="14" t="s">
        <v>557</v>
      </c>
      <c r="D88" s="14" t="s">
        <v>558</v>
      </c>
      <c r="E88" s="14"/>
      <c r="F88" s="14"/>
      <c r="G88" s="14" t="s">
        <v>559</v>
      </c>
      <c r="H88" s="14"/>
      <c r="I88" s="590" t="s">
        <v>560</v>
      </c>
      <c r="J88" s="223"/>
      <c r="K88" s="14"/>
      <c r="L88" s="14"/>
      <c r="M88" s="223"/>
      <c r="N88" s="14" t="s">
        <v>111</v>
      </c>
      <c r="O88" s="14" t="s">
        <v>13</v>
      </c>
      <c r="P88" s="14" t="s">
        <v>561</v>
      </c>
      <c r="Q88" s="14"/>
      <c r="R88" s="14"/>
      <c r="S88" s="14" t="s">
        <v>562</v>
      </c>
      <c r="T88" s="14" t="s">
        <v>4096</v>
      </c>
      <c r="U88" s="17">
        <v>45093.0</v>
      </c>
      <c r="V88" s="14"/>
      <c r="W88" s="14"/>
      <c r="X88" s="18"/>
      <c r="Y88" s="18"/>
      <c r="Z88" s="18"/>
      <c r="AA88" s="19">
        <f t="shared" si="1"/>
        <v>5</v>
      </c>
    </row>
    <row r="89" ht="31.5" customHeight="1">
      <c r="A89" s="12">
        <v>45076.0</v>
      </c>
      <c r="B89" s="14" t="s">
        <v>539</v>
      </c>
      <c r="C89" s="14" t="s">
        <v>4138</v>
      </c>
      <c r="D89" s="14"/>
      <c r="E89" s="14"/>
      <c r="F89" s="14"/>
      <c r="G89" s="14" t="s">
        <v>87</v>
      </c>
      <c r="H89" s="14"/>
      <c r="I89" s="619" t="s">
        <v>564</v>
      </c>
      <c r="J89" s="223"/>
      <c r="K89" s="14"/>
      <c r="L89" s="14"/>
      <c r="M89" s="223"/>
      <c r="N89" s="14" t="s">
        <v>111</v>
      </c>
      <c r="O89" s="14" t="s">
        <v>565</v>
      </c>
      <c r="P89" s="14"/>
      <c r="Q89" s="14"/>
      <c r="R89" s="14"/>
      <c r="S89" s="14" t="s">
        <v>566</v>
      </c>
      <c r="T89" s="14" t="s">
        <v>4139</v>
      </c>
      <c r="U89" s="17"/>
      <c r="V89" s="14"/>
      <c r="W89" s="14"/>
      <c r="X89" s="18"/>
      <c r="Y89" s="18"/>
      <c r="Z89" s="18"/>
      <c r="AA89" s="19">
        <f t="shared" si="1"/>
        <v>5</v>
      </c>
    </row>
    <row r="90" ht="31.5" customHeight="1">
      <c r="A90" s="12">
        <v>45076.0</v>
      </c>
      <c r="B90" s="14" t="s">
        <v>4620</v>
      </c>
      <c r="C90" s="14" t="s">
        <v>567</v>
      </c>
      <c r="D90" s="14"/>
      <c r="E90" s="14"/>
      <c r="F90" s="14"/>
      <c r="G90" s="14" t="s">
        <v>568</v>
      </c>
      <c r="H90" s="14"/>
      <c r="I90" s="620" t="s">
        <v>4140</v>
      </c>
      <c r="J90" s="223"/>
      <c r="K90" s="14"/>
      <c r="L90" s="14" t="s">
        <v>570</v>
      </c>
      <c r="M90" s="223"/>
      <c r="N90" s="14" t="s">
        <v>48</v>
      </c>
      <c r="O90" s="14" t="s">
        <v>565</v>
      </c>
      <c r="P90" s="14"/>
      <c r="Q90" s="14"/>
      <c r="R90" s="14"/>
      <c r="S90" s="14" t="s">
        <v>571</v>
      </c>
      <c r="T90" s="14" t="s">
        <v>4096</v>
      </c>
      <c r="U90" s="17"/>
      <c r="V90" s="14"/>
      <c r="W90" s="14"/>
      <c r="X90" s="18"/>
      <c r="Y90" s="18"/>
      <c r="Z90" s="18"/>
      <c r="AA90" s="19">
        <f t="shared" si="1"/>
        <v>5</v>
      </c>
    </row>
    <row r="91" ht="31.5" customHeight="1">
      <c r="A91" s="12">
        <v>45076.0</v>
      </c>
      <c r="B91" s="14" t="s">
        <v>60</v>
      </c>
      <c r="C91" s="14"/>
      <c r="D91" s="14" t="s">
        <v>572</v>
      </c>
      <c r="E91" s="14"/>
      <c r="F91" s="14"/>
      <c r="G91" s="14"/>
      <c r="H91" s="14"/>
      <c r="I91" s="590" t="s">
        <v>573</v>
      </c>
      <c r="J91" s="223"/>
      <c r="K91" s="14"/>
      <c r="L91" s="14"/>
      <c r="M91" s="223"/>
      <c r="N91" s="14" t="s">
        <v>111</v>
      </c>
      <c r="O91" s="14" t="s">
        <v>34</v>
      </c>
      <c r="P91" s="14"/>
      <c r="Q91" s="14"/>
      <c r="R91" s="14"/>
      <c r="S91" s="14" t="s">
        <v>574</v>
      </c>
      <c r="T91" s="14" t="s">
        <v>4096</v>
      </c>
      <c r="U91" s="17">
        <v>45093.0</v>
      </c>
      <c r="V91" s="14"/>
      <c r="W91" s="14"/>
      <c r="X91" s="18"/>
      <c r="Y91" s="18"/>
      <c r="Z91" s="18"/>
      <c r="AA91" s="19">
        <f t="shared" si="1"/>
        <v>5</v>
      </c>
    </row>
    <row r="92" ht="31.5" customHeight="1">
      <c r="A92" s="12">
        <v>45077.0</v>
      </c>
      <c r="B92" s="14" t="s">
        <v>84</v>
      </c>
      <c r="C92" s="14" t="s">
        <v>583</v>
      </c>
      <c r="D92" s="14" t="s">
        <v>51</v>
      </c>
      <c r="E92" s="14"/>
      <c r="F92" s="14"/>
      <c r="G92" s="14" t="s">
        <v>358</v>
      </c>
      <c r="H92" s="14"/>
      <c r="I92" s="590" t="s">
        <v>584</v>
      </c>
      <c r="J92" s="223"/>
      <c r="K92" s="14"/>
      <c r="L92" s="14"/>
      <c r="M92" s="223"/>
      <c r="N92" s="14" t="s">
        <v>412</v>
      </c>
      <c r="O92" s="14" t="s">
        <v>333</v>
      </c>
      <c r="P92" s="14" t="s">
        <v>585</v>
      </c>
      <c r="Q92" s="14"/>
      <c r="R92" s="14"/>
      <c r="S92" s="14" t="s">
        <v>586</v>
      </c>
      <c r="T92" s="14" t="s">
        <v>4144</v>
      </c>
      <c r="U92" s="17">
        <v>45090.0</v>
      </c>
      <c r="V92" s="14"/>
      <c r="W92" s="14"/>
      <c r="X92" s="18"/>
      <c r="Y92" s="18"/>
      <c r="Z92" s="18"/>
      <c r="AA92" s="19">
        <f t="shared" si="1"/>
        <v>5</v>
      </c>
    </row>
    <row r="93" ht="31.5" customHeight="1">
      <c r="A93" s="12">
        <v>45077.0</v>
      </c>
      <c r="B93" s="14" t="s">
        <v>84</v>
      </c>
      <c r="C93" s="14" t="s">
        <v>587</v>
      </c>
      <c r="D93" s="14" t="s">
        <v>4145</v>
      </c>
      <c r="E93" s="14"/>
      <c r="F93" s="14"/>
      <c r="G93" s="14" t="s">
        <v>480</v>
      </c>
      <c r="H93" s="14"/>
      <c r="I93" s="590" t="s">
        <v>589</v>
      </c>
      <c r="J93" s="223"/>
      <c r="K93" s="14"/>
      <c r="L93" s="14" t="s">
        <v>590</v>
      </c>
      <c r="M93" s="223"/>
      <c r="N93" s="14" t="s">
        <v>66</v>
      </c>
      <c r="O93" s="14" t="s">
        <v>565</v>
      </c>
      <c r="P93" s="14"/>
      <c r="Q93" s="14"/>
      <c r="R93" s="14"/>
      <c r="S93" s="14" t="s">
        <v>591</v>
      </c>
      <c r="T93" s="14"/>
      <c r="U93" s="17"/>
      <c r="V93" s="14"/>
      <c r="W93" s="14"/>
      <c r="X93" s="18"/>
      <c r="Y93" s="18"/>
      <c r="Z93" s="18"/>
      <c r="AA93" s="19">
        <f t="shared" si="1"/>
        <v>5</v>
      </c>
    </row>
    <row r="94" ht="31.5" customHeight="1">
      <c r="A94" s="12">
        <v>45077.0</v>
      </c>
      <c r="B94" s="14" t="s">
        <v>60</v>
      </c>
      <c r="C94" s="14"/>
      <c r="D94" s="14" t="s">
        <v>597</v>
      </c>
      <c r="E94" s="14"/>
      <c r="F94" s="14"/>
      <c r="G94" s="14"/>
      <c r="H94" s="14"/>
      <c r="I94" s="590" t="s">
        <v>598</v>
      </c>
      <c r="J94" s="223"/>
      <c r="K94" s="14"/>
      <c r="L94" s="14" t="s">
        <v>599</v>
      </c>
      <c r="M94" s="223"/>
      <c r="N94" s="14" t="s">
        <v>152</v>
      </c>
      <c r="O94" s="14" t="s">
        <v>216</v>
      </c>
      <c r="P94" s="14" t="s">
        <v>289</v>
      </c>
      <c r="Q94" s="14"/>
      <c r="R94" s="14"/>
      <c r="S94" s="14" t="s">
        <v>600</v>
      </c>
      <c r="T94" s="14"/>
      <c r="U94" s="17"/>
      <c r="V94" s="14"/>
      <c r="W94" s="14"/>
      <c r="X94" s="18"/>
      <c r="Y94" s="18"/>
      <c r="Z94" s="18"/>
      <c r="AA94" s="19">
        <f t="shared" si="1"/>
        <v>5</v>
      </c>
    </row>
    <row r="95" ht="31.5" customHeight="1">
      <c r="A95" s="12">
        <v>45077.0</v>
      </c>
      <c r="B95" s="14" t="s">
        <v>4620</v>
      </c>
      <c r="C95" s="14" t="s">
        <v>601</v>
      </c>
      <c r="D95" s="14"/>
      <c r="E95" s="14"/>
      <c r="F95" s="14"/>
      <c r="G95" s="14"/>
      <c r="H95" s="14"/>
      <c r="I95" s="590" t="s">
        <v>602</v>
      </c>
      <c r="J95" s="223"/>
      <c r="K95" s="14"/>
      <c r="L95" s="14" t="s">
        <v>603</v>
      </c>
      <c r="M95" s="223"/>
      <c r="N95" s="14" t="s">
        <v>111</v>
      </c>
      <c r="O95" s="14" t="s">
        <v>34</v>
      </c>
      <c r="P95" s="14"/>
      <c r="Q95" s="14"/>
      <c r="R95" s="14"/>
      <c r="S95" s="14" t="s">
        <v>604</v>
      </c>
      <c r="T95" s="14" t="s">
        <v>4069</v>
      </c>
      <c r="U95" s="17"/>
      <c r="V95" s="14"/>
      <c r="W95" s="14"/>
      <c r="X95" s="18"/>
      <c r="Y95" s="18"/>
      <c r="Z95" s="18"/>
      <c r="AA95" s="19">
        <f t="shared" si="1"/>
        <v>5</v>
      </c>
    </row>
    <row r="96" ht="31.5" customHeight="1">
      <c r="A96" s="12">
        <v>45077.0</v>
      </c>
      <c r="B96" s="14" t="s">
        <v>539</v>
      </c>
      <c r="C96" s="14"/>
      <c r="D96" s="226" t="s">
        <v>605</v>
      </c>
      <c r="E96" s="14"/>
      <c r="F96" s="14"/>
      <c r="G96" s="14" t="s">
        <v>297</v>
      </c>
      <c r="H96" s="14"/>
      <c r="I96" s="590" t="s">
        <v>606</v>
      </c>
      <c r="J96" s="223"/>
      <c r="K96" s="14"/>
      <c r="L96" s="14" t="s">
        <v>607</v>
      </c>
      <c r="M96" s="223"/>
      <c r="N96" s="14" t="s">
        <v>48</v>
      </c>
      <c r="O96" s="14" t="s">
        <v>565</v>
      </c>
      <c r="P96" s="14"/>
      <c r="Q96" s="14"/>
      <c r="R96" s="14"/>
      <c r="S96" s="14" t="s">
        <v>608</v>
      </c>
      <c r="T96" s="14"/>
      <c r="U96" s="17"/>
      <c r="V96" s="14"/>
      <c r="W96" s="14"/>
      <c r="X96" s="18"/>
      <c r="Y96" s="18"/>
      <c r="Z96" s="18"/>
      <c r="AA96" s="19">
        <f t="shared" si="1"/>
        <v>5</v>
      </c>
    </row>
    <row r="97" ht="31.5" customHeight="1">
      <c r="A97" s="12">
        <v>45078.0</v>
      </c>
      <c r="B97" s="14" t="s">
        <v>4621</v>
      </c>
      <c r="C97" s="14"/>
      <c r="D97" s="14" t="s">
        <v>609</v>
      </c>
      <c r="E97" s="14"/>
      <c r="F97" s="14"/>
      <c r="G97" s="14" t="s">
        <v>219</v>
      </c>
      <c r="H97" s="14"/>
      <c r="I97" s="590" t="s">
        <v>610</v>
      </c>
      <c r="J97" s="223"/>
      <c r="K97" s="14"/>
      <c r="L97" s="14" t="s">
        <v>611</v>
      </c>
      <c r="M97" s="223"/>
      <c r="N97" s="14" t="s">
        <v>48</v>
      </c>
      <c r="O97" s="14" t="s">
        <v>13</v>
      </c>
      <c r="P97" s="14" t="s">
        <v>612</v>
      </c>
      <c r="Q97" s="14"/>
      <c r="R97" s="14"/>
      <c r="S97" s="14" t="s">
        <v>613</v>
      </c>
      <c r="T97" s="14"/>
      <c r="U97" s="17"/>
      <c r="V97" s="14"/>
      <c r="W97" s="14"/>
      <c r="X97" s="18"/>
      <c r="Y97" s="18"/>
      <c r="Z97" s="18"/>
      <c r="AA97" s="19">
        <f t="shared" si="1"/>
        <v>6</v>
      </c>
    </row>
    <row r="98" ht="31.5" customHeight="1">
      <c r="A98" s="12">
        <v>45078.0</v>
      </c>
      <c r="B98" s="14" t="s">
        <v>539</v>
      </c>
      <c r="C98" s="14"/>
      <c r="D98" s="14" t="s">
        <v>624</v>
      </c>
      <c r="E98" s="14"/>
      <c r="F98" s="14"/>
      <c r="G98" s="14" t="s">
        <v>625</v>
      </c>
      <c r="H98" s="14"/>
      <c r="I98" s="620" t="s">
        <v>626</v>
      </c>
      <c r="J98" s="223"/>
      <c r="K98" s="14"/>
      <c r="L98" s="14"/>
      <c r="M98" s="223"/>
      <c r="N98" s="14" t="s">
        <v>412</v>
      </c>
      <c r="O98" s="14" t="s">
        <v>72</v>
      </c>
      <c r="P98" s="14" t="s">
        <v>585</v>
      </c>
      <c r="Q98" s="14"/>
      <c r="R98" s="14"/>
      <c r="S98" s="14" t="s">
        <v>627</v>
      </c>
      <c r="T98" s="14" t="s">
        <v>4154</v>
      </c>
      <c r="U98" s="17">
        <v>45087.0</v>
      </c>
      <c r="V98" s="14"/>
      <c r="W98" s="14"/>
      <c r="X98" s="18"/>
      <c r="Y98" s="18"/>
      <c r="Z98" s="18"/>
      <c r="AA98" s="19">
        <f t="shared" si="1"/>
        <v>6</v>
      </c>
    </row>
    <row r="99" ht="31.5" customHeight="1">
      <c r="A99" s="12">
        <v>45078.0</v>
      </c>
      <c r="B99" s="14" t="s">
        <v>201</v>
      </c>
      <c r="C99" s="14" t="s">
        <v>628</v>
      </c>
      <c r="D99" s="14" t="s">
        <v>629</v>
      </c>
      <c r="E99" s="14"/>
      <c r="F99" s="14"/>
      <c r="G99" s="14"/>
      <c r="H99" s="14"/>
      <c r="I99" s="590" t="s">
        <v>630</v>
      </c>
      <c r="J99" s="223"/>
      <c r="K99" s="14"/>
      <c r="L99" s="14"/>
      <c r="M99" s="223"/>
      <c r="N99" s="14" t="s">
        <v>66</v>
      </c>
      <c r="O99" s="14" t="s">
        <v>72</v>
      </c>
      <c r="P99" s="14" t="s">
        <v>631</v>
      </c>
      <c r="Q99" s="14"/>
      <c r="R99" s="14"/>
      <c r="S99" s="14" t="s">
        <v>632</v>
      </c>
      <c r="T99" s="14" t="s">
        <v>4155</v>
      </c>
      <c r="U99" s="17">
        <v>45094.0</v>
      </c>
      <c r="V99" s="14"/>
      <c r="W99" s="14"/>
      <c r="X99" s="18"/>
      <c r="Y99" s="18"/>
      <c r="Z99" s="18"/>
      <c r="AA99" s="19">
        <f t="shared" si="1"/>
        <v>6</v>
      </c>
    </row>
    <row r="100" ht="31.5" customHeight="1">
      <c r="A100" s="12">
        <v>45078.0</v>
      </c>
      <c r="B100" s="14" t="s">
        <v>4620</v>
      </c>
      <c r="C100" s="14" t="s">
        <v>641</v>
      </c>
      <c r="D100" s="14"/>
      <c r="E100" s="14"/>
      <c r="F100" s="14"/>
      <c r="G100" s="14"/>
      <c r="H100" s="14"/>
      <c r="I100" s="590" t="s">
        <v>642</v>
      </c>
      <c r="J100" s="223"/>
      <c r="K100" s="14"/>
      <c r="L100" s="14"/>
      <c r="M100" s="591" t="s">
        <v>5898</v>
      </c>
      <c r="N100" s="14" t="s">
        <v>111</v>
      </c>
      <c r="O100" s="14" t="s">
        <v>34</v>
      </c>
      <c r="P100" s="14"/>
      <c r="Q100" s="14"/>
      <c r="R100" s="14"/>
      <c r="S100" s="14" t="s">
        <v>643</v>
      </c>
      <c r="T100" s="14" t="s">
        <v>4069</v>
      </c>
      <c r="U100" s="17"/>
      <c r="V100" s="14"/>
      <c r="W100" s="14"/>
      <c r="X100" s="18"/>
      <c r="Y100" s="18"/>
      <c r="Z100" s="18"/>
      <c r="AA100" s="19">
        <f t="shared" si="1"/>
        <v>6</v>
      </c>
    </row>
    <row r="101" ht="31.5" customHeight="1">
      <c r="A101" s="12">
        <v>45078.0</v>
      </c>
      <c r="B101" s="14" t="s">
        <v>4620</v>
      </c>
      <c r="C101" s="14" t="s">
        <v>644</v>
      </c>
      <c r="D101" s="14" t="s">
        <v>645</v>
      </c>
      <c r="E101" s="14"/>
      <c r="F101" s="14"/>
      <c r="G101" s="14" t="s">
        <v>646</v>
      </c>
      <c r="H101" s="14"/>
      <c r="I101" s="590" t="s">
        <v>647</v>
      </c>
      <c r="J101" s="223"/>
      <c r="K101" s="14"/>
      <c r="L101" s="14" t="s">
        <v>648</v>
      </c>
      <c r="M101" s="223"/>
      <c r="N101" s="14" t="s">
        <v>111</v>
      </c>
      <c r="O101" s="14" t="s">
        <v>13</v>
      </c>
      <c r="P101" s="14" t="s">
        <v>649</v>
      </c>
      <c r="Q101" s="14"/>
      <c r="R101" s="14"/>
      <c r="S101" s="14" t="s">
        <v>650</v>
      </c>
      <c r="T101" s="14" t="s">
        <v>4158</v>
      </c>
      <c r="U101" s="17">
        <v>45096.0</v>
      </c>
      <c r="V101" s="14"/>
      <c r="W101" s="14"/>
      <c r="X101" s="18"/>
      <c r="Y101" s="18"/>
      <c r="Z101" s="18"/>
      <c r="AA101" s="19">
        <f t="shared" si="1"/>
        <v>6</v>
      </c>
    </row>
    <row r="102" ht="31.5" customHeight="1">
      <c r="A102" s="12">
        <v>45078.0</v>
      </c>
      <c r="B102" s="14" t="s">
        <v>60</v>
      </c>
      <c r="C102" s="14" t="s">
        <v>651</v>
      </c>
      <c r="D102" s="14" t="s">
        <v>652</v>
      </c>
      <c r="E102" s="14"/>
      <c r="F102" s="14"/>
      <c r="G102" s="14" t="s">
        <v>542</v>
      </c>
      <c r="H102" s="14"/>
      <c r="I102" s="590" t="s">
        <v>653</v>
      </c>
      <c r="J102" s="223"/>
      <c r="K102" s="14"/>
      <c r="L102" s="14"/>
      <c r="M102" s="223"/>
      <c r="N102" s="14" t="s">
        <v>111</v>
      </c>
      <c r="O102" s="14" t="s">
        <v>34</v>
      </c>
      <c r="P102" s="14" t="s">
        <v>654</v>
      </c>
      <c r="Q102" s="14"/>
      <c r="R102" s="14"/>
      <c r="S102" s="14" t="s">
        <v>655</v>
      </c>
      <c r="T102" s="14" t="s">
        <v>4069</v>
      </c>
      <c r="U102" s="59"/>
      <c r="V102" s="14"/>
      <c r="W102" s="14"/>
      <c r="X102" s="18"/>
      <c r="Y102" s="18"/>
      <c r="Z102" s="18"/>
      <c r="AA102" s="19">
        <f t="shared" si="1"/>
        <v>6</v>
      </c>
    </row>
    <row r="103" ht="31.5" customHeight="1">
      <c r="A103" s="12">
        <v>45078.0</v>
      </c>
      <c r="B103" s="14" t="s">
        <v>201</v>
      </c>
      <c r="C103" s="14" t="s">
        <v>656</v>
      </c>
      <c r="D103" s="14" t="s">
        <v>4159</v>
      </c>
      <c r="E103" s="14"/>
      <c r="F103" s="14"/>
      <c r="G103" s="14" t="s">
        <v>4160</v>
      </c>
      <c r="H103" s="14"/>
      <c r="I103" s="590" t="s">
        <v>658</v>
      </c>
      <c r="J103" s="223"/>
      <c r="K103" s="14"/>
      <c r="L103" s="14"/>
      <c r="M103" s="223"/>
      <c r="N103" s="14" t="s">
        <v>48</v>
      </c>
      <c r="O103" s="14" t="s">
        <v>34</v>
      </c>
      <c r="P103" s="14" t="s">
        <v>659</v>
      </c>
      <c r="Q103" s="14"/>
      <c r="R103" s="14"/>
      <c r="S103" s="14" t="s">
        <v>660</v>
      </c>
      <c r="T103" s="14" t="s">
        <v>4127</v>
      </c>
      <c r="U103" s="17"/>
      <c r="V103" s="14"/>
      <c r="W103" s="14"/>
      <c r="X103" s="18"/>
      <c r="Y103" s="18"/>
      <c r="Z103" s="18"/>
      <c r="AA103" s="19">
        <f t="shared" si="1"/>
        <v>6</v>
      </c>
    </row>
    <row r="104" ht="31.5" customHeight="1">
      <c r="A104" s="12">
        <v>45079.0</v>
      </c>
      <c r="B104" s="14" t="s">
        <v>84</v>
      </c>
      <c r="C104" s="14" t="s">
        <v>661</v>
      </c>
      <c r="D104" s="14"/>
      <c r="E104" s="14"/>
      <c r="F104" s="14"/>
      <c r="G104" s="14" t="s">
        <v>115</v>
      </c>
      <c r="H104" s="14"/>
      <c r="I104" s="590" t="s">
        <v>662</v>
      </c>
      <c r="J104" s="223"/>
      <c r="K104" s="14"/>
      <c r="L104" s="14" t="s">
        <v>663</v>
      </c>
      <c r="M104" s="223"/>
      <c r="N104" s="14" t="s">
        <v>48</v>
      </c>
      <c r="O104" s="14" t="s">
        <v>34</v>
      </c>
      <c r="P104" s="14"/>
      <c r="Q104" s="14"/>
      <c r="R104" s="14"/>
      <c r="S104" s="14" t="s">
        <v>664</v>
      </c>
      <c r="T104" s="14" t="s">
        <v>36</v>
      </c>
      <c r="U104" s="17"/>
      <c r="V104" s="14"/>
      <c r="W104" s="14"/>
      <c r="X104" s="18"/>
      <c r="Y104" s="18"/>
      <c r="Z104" s="18"/>
      <c r="AA104" s="19">
        <f t="shared" si="1"/>
        <v>6</v>
      </c>
    </row>
    <row r="105" ht="31.5" customHeight="1">
      <c r="A105" s="12">
        <v>45079.0</v>
      </c>
      <c r="B105" s="14" t="s">
        <v>539</v>
      </c>
      <c r="C105" s="14" t="s">
        <v>665</v>
      </c>
      <c r="D105" s="14" t="s">
        <v>666</v>
      </c>
      <c r="E105" s="14"/>
      <c r="F105" s="14"/>
      <c r="G105" s="14" t="s">
        <v>234</v>
      </c>
      <c r="H105" s="14"/>
      <c r="I105" s="621" t="s">
        <v>667</v>
      </c>
      <c r="J105" s="223"/>
      <c r="K105" s="14"/>
      <c r="L105" s="14" t="s">
        <v>668</v>
      </c>
      <c r="M105" s="223"/>
      <c r="N105" s="14" t="s">
        <v>111</v>
      </c>
      <c r="O105" s="14" t="s">
        <v>13</v>
      </c>
      <c r="P105" s="14" t="s">
        <v>669</v>
      </c>
      <c r="Q105" s="14"/>
      <c r="R105" s="14"/>
      <c r="S105" s="14" t="s">
        <v>670</v>
      </c>
      <c r="T105" s="14" t="s">
        <v>4161</v>
      </c>
      <c r="U105" s="17">
        <v>45103.0</v>
      </c>
      <c r="V105" s="14"/>
      <c r="W105" s="14"/>
      <c r="X105" s="18"/>
      <c r="Y105" s="18"/>
      <c r="Z105" s="18"/>
      <c r="AA105" s="19">
        <f t="shared" si="1"/>
        <v>6</v>
      </c>
    </row>
    <row r="106" ht="31.5" customHeight="1">
      <c r="A106" s="12">
        <v>45079.0</v>
      </c>
      <c r="B106" s="14" t="s">
        <v>539</v>
      </c>
      <c r="C106" s="14" t="s">
        <v>671</v>
      </c>
      <c r="D106" s="14" t="s">
        <v>672</v>
      </c>
      <c r="E106" s="14"/>
      <c r="F106" s="14"/>
      <c r="G106" s="14" t="s">
        <v>234</v>
      </c>
      <c r="H106" s="14"/>
      <c r="I106" s="621" t="s">
        <v>673</v>
      </c>
      <c r="J106" s="223"/>
      <c r="K106" s="14"/>
      <c r="L106" s="14" t="s">
        <v>674</v>
      </c>
      <c r="M106" s="223"/>
      <c r="N106" s="14" t="s">
        <v>111</v>
      </c>
      <c r="O106" s="14" t="s">
        <v>34</v>
      </c>
      <c r="P106" s="14"/>
      <c r="Q106" s="14"/>
      <c r="R106" s="14"/>
      <c r="S106" s="14" t="s">
        <v>675</v>
      </c>
      <c r="T106" s="14" t="s">
        <v>36</v>
      </c>
      <c r="U106" s="17"/>
      <c r="V106" s="14"/>
      <c r="W106" s="14"/>
      <c r="X106" s="18"/>
      <c r="Y106" s="18"/>
      <c r="Z106" s="18"/>
      <c r="AA106" s="19">
        <f t="shared" si="1"/>
        <v>6</v>
      </c>
    </row>
    <row r="107" ht="31.5" customHeight="1">
      <c r="A107" s="12">
        <v>45079.0</v>
      </c>
      <c r="B107" s="14" t="s">
        <v>84</v>
      </c>
      <c r="C107" s="14" t="s">
        <v>676</v>
      </c>
      <c r="D107" s="14" t="s">
        <v>677</v>
      </c>
      <c r="E107" s="14"/>
      <c r="F107" s="14"/>
      <c r="G107" s="14" t="s">
        <v>115</v>
      </c>
      <c r="H107" s="14"/>
      <c r="I107" s="590" t="s">
        <v>678</v>
      </c>
      <c r="J107" s="223"/>
      <c r="K107" s="14"/>
      <c r="L107" s="14" t="s">
        <v>679</v>
      </c>
      <c r="M107" s="223"/>
      <c r="N107" s="14" t="s">
        <v>48</v>
      </c>
      <c r="O107" s="14" t="s">
        <v>158</v>
      </c>
      <c r="P107" s="14" t="s">
        <v>680</v>
      </c>
      <c r="Q107" s="14"/>
      <c r="R107" s="14"/>
      <c r="S107" s="14" t="s">
        <v>681</v>
      </c>
      <c r="T107" s="14" t="s">
        <v>4162</v>
      </c>
      <c r="U107" s="17"/>
      <c r="V107" s="14"/>
      <c r="W107" s="14"/>
      <c r="X107" s="18"/>
      <c r="Y107" s="18"/>
      <c r="Z107" s="18"/>
      <c r="AA107" s="19">
        <f t="shared" si="1"/>
        <v>6</v>
      </c>
    </row>
    <row r="108" ht="31.5" customHeight="1">
      <c r="A108" s="12">
        <v>45079.0</v>
      </c>
      <c r="B108" s="14" t="s">
        <v>539</v>
      </c>
      <c r="C108" s="14" t="s">
        <v>682</v>
      </c>
      <c r="D108" s="14" t="s">
        <v>683</v>
      </c>
      <c r="E108" s="14"/>
      <c r="F108" s="14"/>
      <c r="G108" s="14" t="s">
        <v>297</v>
      </c>
      <c r="H108" s="14"/>
      <c r="I108" s="621" t="s">
        <v>684</v>
      </c>
      <c r="J108" s="223"/>
      <c r="K108" s="14"/>
      <c r="L108" s="14"/>
      <c r="M108" s="223"/>
      <c r="N108" s="14" t="s">
        <v>111</v>
      </c>
      <c r="O108" s="14" t="s">
        <v>34</v>
      </c>
      <c r="P108" s="14" t="s">
        <v>685</v>
      </c>
      <c r="Q108" s="14"/>
      <c r="R108" s="14"/>
      <c r="S108" s="14" t="s">
        <v>686</v>
      </c>
      <c r="T108" s="14" t="s">
        <v>4069</v>
      </c>
      <c r="U108" s="17"/>
      <c r="V108" s="14"/>
      <c r="W108" s="14"/>
      <c r="X108" s="18"/>
      <c r="Y108" s="18"/>
      <c r="Z108" s="18"/>
      <c r="AA108" s="19">
        <f t="shared" si="1"/>
        <v>6</v>
      </c>
    </row>
    <row r="109" ht="31.5" customHeight="1">
      <c r="A109" s="12">
        <v>45079.0</v>
      </c>
      <c r="B109" s="14" t="s">
        <v>4620</v>
      </c>
      <c r="C109" s="14" t="s">
        <v>687</v>
      </c>
      <c r="D109" s="14"/>
      <c r="E109" s="14"/>
      <c r="F109" s="14"/>
      <c r="G109" s="14"/>
      <c r="H109" s="14"/>
      <c r="I109" s="604" t="s">
        <v>688</v>
      </c>
      <c r="J109" s="223"/>
      <c r="K109" s="14"/>
      <c r="L109" s="14" t="s">
        <v>689</v>
      </c>
      <c r="M109" s="591" t="s">
        <v>5899</v>
      </c>
      <c r="N109" s="14" t="s">
        <v>111</v>
      </c>
      <c r="O109" s="14" t="s">
        <v>216</v>
      </c>
      <c r="P109" s="14"/>
      <c r="Q109" s="14"/>
      <c r="R109" s="14"/>
      <c r="S109" s="14" t="s">
        <v>690</v>
      </c>
      <c r="T109" s="14"/>
      <c r="U109" s="17"/>
      <c r="V109" s="14"/>
      <c r="W109" s="14"/>
      <c r="X109" s="18"/>
      <c r="Y109" s="18"/>
      <c r="Z109" s="18"/>
      <c r="AA109" s="19">
        <f t="shared" si="1"/>
        <v>6</v>
      </c>
    </row>
    <row r="110" ht="31.5" customHeight="1">
      <c r="A110" s="12">
        <v>45080.0</v>
      </c>
      <c r="B110" s="14" t="s">
        <v>4620</v>
      </c>
      <c r="C110" s="14" t="s">
        <v>691</v>
      </c>
      <c r="D110" s="14" t="s">
        <v>692</v>
      </c>
      <c r="E110" s="14"/>
      <c r="F110" s="14" t="s">
        <v>457</v>
      </c>
      <c r="G110" s="14">
        <v>2018.0</v>
      </c>
      <c r="H110" s="14"/>
      <c r="I110" s="590" t="s">
        <v>693</v>
      </c>
      <c r="J110" s="223"/>
      <c r="K110" s="14"/>
      <c r="L110" s="14" t="s">
        <v>4163</v>
      </c>
      <c r="M110" s="591" t="s">
        <v>5900</v>
      </c>
      <c r="N110" s="14" t="s">
        <v>48</v>
      </c>
      <c r="O110" s="14" t="s">
        <v>34</v>
      </c>
      <c r="P110" s="14"/>
      <c r="Q110" s="14"/>
      <c r="R110" s="14"/>
      <c r="S110" s="14" t="s">
        <v>695</v>
      </c>
      <c r="T110" s="14" t="s">
        <v>4164</v>
      </c>
      <c r="U110" s="17"/>
      <c r="V110" s="14"/>
      <c r="W110" s="14"/>
      <c r="X110" s="18"/>
      <c r="Y110" s="18"/>
      <c r="Z110" s="18"/>
      <c r="AA110" s="19">
        <f t="shared" si="1"/>
        <v>6</v>
      </c>
    </row>
    <row r="111" ht="31.5" customHeight="1">
      <c r="A111" s="12">
        <v>45081.0</v>
      </c>
      <c r="B111" s="14" t="s">
        <v>4620</v>
      </c>
      <c r="C111" s="14" t="s">
        <v>710</v>
      </c>
      <c r="D111" s="14" t="s">
        <v>711</v>
      </c>
      <c r="E111" s="14"/>
      <c r="F111" s="14"/>
      <c r="G111" s="14">
        <v>2018.0</v>
      </c>
      <c r="H111" s="14"/>
      <c r="I111" s="622" t="s">
        <v>712</v>
      </c>
      <c r="J111" s="223"/>
      <c r="K111" s="14"/>
      <c r="L111" s="14" t="s">
        <v>713</v>
      </c>
      <c r="M111" s="591" t="s">
        <v>5901</v>
      </c>
      <c r="N111" s="14" t="s">
        <v>48</v>
      </c>
      <c r="O111" s="14" t="s">
        <v>216</v>
      </c>
      <c r="P111" s="14"/>
      <c r="Q111" s="14"/>
      <c r="R111" s="14"/>
      <c r="S111" s="14" t="s">
        <v>714</v>
      </c>
      <c r="T111" s="14"/>
      <c r="U111" s="17">
        <v>45174.0</v>
      </c>
      <c r="V111" s="14"/>
      <c r="W111" s="14"/>
      <c r="X111" s="18"/>
      <c r="Y111" s="18"/>
      <c r="Z111" s="18"/>
      <c r="AA111" s="19">
        <f t="shared" si="1"/>
        <v>6</v>
      </c>
    </row>
    <row r="112" ht="31.5" customHeight="1">
      <c r="A112" s="12">
        <v>45081.0</v>
      </c>
      <c r="B112" s="14" t="s">
        <v>4621</v>
      </c>
      <c r="C112" s="14"/>
      <c r="D112" s="14" t="s">
        <v>715</v>
      </c>
      <c r="E112" s="14"/>
      <c r="F112" s="14"/>
      <c r="G112" s="14"/>
      <c r="H112" s="14"/>
      <c r="I112" s="590" t="s">
        <v>716</v>
      </c>
      <c r="J112" s="223"/>
      <c r="K112" s="14"/>
      <c r="L112" s="112" t="s">
        <v>717</v>
      </c>
      <c r="M112" s="223"/>
      <c r="N112" s="14" t="s">
        <v>48</v>
      </c>
      <c r="O112" s="14" t="s">
        <v>34</v>
      </c>
      <c r="P112" s="14"/>
      <c r="Q112" s="14"/>
      <c r="R112" s="14"/>
      <c r="S112" s="14" t="s">
        <v>718</v>
      </c>
      <c r="T112" s="14" t="s">
        <v>36</v>
      </c>
      <c r="U112" s="17"/>
      <c r="V112" s="14"/>
      <c r="W112" s="14"/>
      <c r="X112" s="18"/>
      <c r="Y112" s="18"/>
      <c r="Z112" s="18"/>
      <c r="AA112" s="19">
        <f t="shared" si="1"/>
        <v>6</v>
      </c>
    </row>
    <row r="113" ht="31.5" customHeight="1">
      <c r="A113" s="12">
        <v>45082.0</v>
      </c>
      <c r="B113" s="14" t="s">
        <v>4620</v>
      </c>
      <c r="C113" s="14" t="s">
        <v>724</v>
      </c>
      <c r="D113" s="14"/>
      <c r="E113" s="14"/>
      <c r="F113" s="14"/>
      <c r="G113" s="14"/>
      <c r="H113" s="14"/>
      <c r="I113" s="590" t="s">
        <v>725</v>
      </c>
      <c r="J113" s="223"/>
      <c r="K113" s="14"/>
      <c r="L113" s="14"/>
      <c r="M113" s="591" t="s">
        <v>5902</v>
      </c>
      <c r="N113" s="14" t="s">
        <v>111</v>
      </c>
      <c r="O113" s="14" t="s">
        <v>34</v>
      </c>
      <c r="P113" s="14"/>
      <c r="Q113" s="14"/>
      <c r="R113" s="14"/>
      <c r="S113" s="14" t="s">
        <v>726</v>
      </c>
      <c r="T113" s="14" t="s">
        <v>4069</v>
      </c>
      <c r="U113" s="17"/>
      <c r="V113" s="14"/>
      <c r="W113" s="14"/>
      <c r="X113" s="18"/>
      <c r="Y113" s="18"/>
      <c r="Z113" s="18"/>
      <c r="AA113" s="19">
        <f t="shared" si="1"/>
        <v>6</v>
      </c>
    </row>
    <row r="114" ht="31.5" customHeight="1">
      <c r="A114" s="12">
        <v>45082.0</v>
      </c>
      <c r="B114" s="14" t="s">
        <v>4620</v>
      </c>
      <c r="C114" s="14" t="s">
        <v>727</v>
      </c>
      <c r="D114" s="14" t="s">
        <v>4168</v>
      </c>
      <c r="E114" s="14"/>
      <c r="F114" s="14" t="s">
        <v>4169</v>
      </c>
      <c r="G114" s="14"/>
      <c r="H114" s="14"/>
      <c r="I114" s="603" t="s">
        <v>729</v>
      </c>
      <c r="J114" s="223"/>
      <c r="K114" s="14"/>
      <c r="L114" s="14" t="s">
        <v>4170</v>
      </c>
      <c r="M114" s="591" t="s">
        <v>5903</v>
      </c>
      <c r="N114" s="14" t="s">
        <v>412</v>
      </c>
      <c r="O114" s="14" t="s">
        <v>34</v>
      </c>
      <c r="P114" s="14" t="s">
        <v>731</v>
      </c>
      <c r="Q114" s="14"/>
      <c r="R114" s="14"/>
      <c r="S114" s="14" t="s">
        <v>732</v>
      </c>
      <c r="T114" s="14" t="s">
        <v>36</v>
      </c>
      <c r="U114" s="17"/>
      <c r="V114" s="14"/>
      <c r="W114" s="14"/>
      <c r="X114" s="18"/>
      <c r="Y114" s="18"/>
      <c r="Z114" s="18"/>
      <c r="AA114" s="19">
        <f t="shared" si="1"/>
        <v>6</v>
      </c>
    </row>
    <row r="115" ht="31.5" customHeight="1">
      <c r="A115" s="12">
        <v>45083.0</v>
      </c>
      <c r="B115" s="14" t="s">
        <v>4620</v>
      </c>
      <c r="C115" s="14" t="s">
        <v>733</v>
      </c>
      <c r="D115" s="14" t="s">
        <v>734</v>
      </c>
      <c r="E115" s="14"/>
      <c r="F115" s="14"/>
      <c r="G115" s="14" t="s">
        <v>349</v>
      </c>
      <c r="H115" s="14"/>
      <c r="I115" s="619" t="s">
        <v>735</v>
      </c>
      <c r="J115" s="223"/>
      <c r="K115" s="14"/>
      <c r="L115" s="14" t="s">
        <v>736</v>
      </c>
      <c r="M115" s="591" t="s">
        <v>5904</v>
      </c>
      <c r="N115" s="14" t="s">
        <v>111</v>
      </c>
      <c r="O115" s="14" t="s">
        <v>13</v>
      </c>
      <c r="P115" s="14" t="s">
        <v>680</v>
      </c>
      <c r="Q115" s="14"/>
      <c r="R115" s="14"/>
      <c r="S115" s="14" t="s">
        <v>4171</v>
      </c>
      <c r="T115" s="14" t="s">
        <v>4172</v>
      </c>
      <c r="U115" s="17">
        <v>45103.0</v>
      </c>
      <c r="V115" s="14"/>
      <c r="W115" s="14"/>
      <c r="X115" s="18"/>
      <c r="Y115" s="18"/>
      <c r="Z115" s="18"/>
      <c r="AA115" s="19">
        <f t="shared" si="1"/>
        <v>6</v>
      </c>
    </row>
    <row r="116" ht="31.5" customHeight="1">
      <c r="A116" s="12">
        <v>45083.0</v>
      </c>
      <c r="B116" s="14" t="s">
        <v>4620</v>
      </c>
      <c r="C116" s="14" t="s">
        <v>738</v>
      </c>
      <c r="D116" s="14" t="s">
        <v>739</v>
      </c>
      <c r="E116" s="14"/>
      <c r="F116" s="14" t="s">
        <v>542</v>
      </c>
      <c r="G116" s="14"/>
      <c r="H116" s="14"/>
      <c r="I116" s="590" t="s">
        <v>740</v>
      </c>
      <c r="J116" s="223"/>
      <c r="K116" s="14"/>
      <c r="L116" s="14"/>
      <c r="M116" s="591" t="s">
        <v>5905</v>
      </c>
      <c r="N116" s="14" t="s">
        <v>111</v>
      </c>
      <c r="O116" s="14" t="s">
        <v>158</v>
      </c>
      <c r="P116" s="14"/>
      <c r="Q116" s="14"/>
      <c r="R116" s="14"/>
      <c r="S116" s="14" t="s">
        <v>741</v>
      </c>
      <c r="T116" s="14" t="s">
        <v>4173</v>
      </c>
      <c r="U116" s="17">
        <v>45103.0</v>
      </c>
      <c r="V116" s="14"/>
      <c r="W116" s="14"/>
      <c r="X116" s="18"/>
      <c r="Y116" s="18"/>
      <c r="Z116" s="18"/>
      <c r="AA116" s="19">
        <f t="shared" si="1"/>
        <v>6</v>
      </c>
    </row>
    <row r="117" ht="31.5" customHeight="1">
      <c r="A117" s="12">
        <v>45083.0</v>
      </c>
      <c r="B117" s="14" t="s">
        <v>4620</v>
      </c>
      <c r="C117" s="14" t="s">
        <v>742</v>
      </c>
      <c r="D117" s="14"/>
      <c r="E117" s="14"/>
      <c r="F117" s="14" t="s">
        <v>457</v>
      </c>
      <c r="G117" s="14"/>
      <c r="H117" s="14"/>
      <c r="I117" s="590" t="s">
        <v>743</v>
      </c>
      <c r="J117" s="223"/>
      <c r="K117" s="14"/>
      <c r="L117" s="14" t="s">
        <v>744</v>
      </c>
      <c r="M117" s="591" t="s">
        <v>5906</v>
      </c>
      <c r="N117" s="14" t="s">
        <v>111</v>
      </c>
      <c r="O117" s="14" t="s">
        <v>34</v>
      </c>
      <c r="P117" s="14"/>
      <c r="Q117" s="14"/>
      <c r="R117" s="14"/>
      <c r="S117" s="14" t="s">
        <v>745</v>
      </c>
      <c r="T117" s="14" t="s">
        <v>4069</v>
      </c>
      <c r="U117" s="17"/>
      <c r="V117" s="14"/>
      <c r="W117" s="14"/>
      <c r="X117" s="18"/>
      <c r="Y117" s="18"/>
      <c r="Z117" s="18"/>
      <c r="AA117" s="19">
        <f t="shared" si="1"/>
        <v>6</v>
      </c>
    </row>
    <row r="118" ht="31.5" customHeight="1">
      <c r="A118" s="12">
        <v>45083.0</v>
      </c>
      <c r="B118" s="14" t="s">
        <v>4620</v>
      </c>
      <c r="C118" s="623" t="s">
        <v>746</v>
      </c>
      <c r="D118" s="14" t="s">
        <v>747</v>
      </c>
      <c r="E118" s="14"/>
      <c r="F118" s="14" t="s">
        <v>457</v>
      </c>
      <c r="G118" s="14">
        <v>2019.0</v>
      </c>
      <c r="H118" s="14"/>
      <c r="I118" s="590" t="s">
        <v>748</v>
      </c>
      <c r="J118" s="223"/>
      <c r="K118" s="14"/>
      <c r="L118" s="14" t="s">
        <v>351</v>
      </c>
      <c r="M118" s="591" t="s">
        <v>5907</v>
      </c>
      <c r="N118" s="14" t="s">
        <v>111</v>
      </c>
      <c r="O118" s="14" t="s">
        <v>34</v>
      </c>
      <c r="P118" s="14"/>
      <c r="Q118" s="14"/>
      <c r="R118" s="14"/>
      <c r="S118" s="14" t="s">
        <v>749</v>
      </c>
      <c r="T118" s="14" t="s">
        <v>4069</v>
      </c>
      <c r="U118" s="17"/>
      <c r="V118" s="14"/>
      <c r="W118" s="14"/>
      <c r="X118" s="18"/>
      <c r="Y118" s="18"/>
      <c r="Z118" s="18"/>
      <c r="AA118" s="19">
        <f t="shared" si="1"/>
        <v>6</v>
      </c>
    </row>
    <row r="119" ht="31.5" customHeight="1">
      <c r="A119" s="12">
        <v>45083.0</v>
      </c>
      <c r="B119" s="14" t="s">
        <v>4620</v>
      </c>
      <c r="C119" s="14" t="s">
        <v>750</v>
      </c>
      <c r="D119" s="14" t="s">
        <v>751</v>
      </c>
      <c r="E119" s="14"/>
      <c r="F119" s="14" t="s">
        <v>457</v>
      </c>
      <c r="G119" s="14"/>
      <c r="H119" s="14"/>
      <c r="I119" s="590" t="s">
        <v>752</v>
      </c>
      <c r="J119" s="223"/>
      <c r="K119" s="14"/>
      <c r="L119" s="14" t="s">
        <v>5908</v>
      </c>
      <c r="M119" s="591" t="s">
        <v>5909</v>
      </c>
      <c r="N119" s="14" t="s">
        <v>48</v>
      </c>
      <c r="O119" s="14" t="s">
        <v>13</v>
      </c>
      <c r="P119" s="14" t="s">
        <v>4175</v>
      </c>
      <c r="Q119" s="14"/>
      <c r="R119" s="14"/>
      <c r="S119" s="14"/>
      <c r="T119" s="14" t="s">
        <v>36</v>
      </c>
      <c r="U119" s="17"/>
      <c r="V119" s="14"/>
      <c r="W119" s="14"/>
      <c r="X119" s="18"/>
      <c r="Y119" s="18"/>
      <c r="Z119" s="18"/>
      <c r="AA119" s="19">
        <f t="shared" si="1"/>
        <v>6</v>
      </c>
    </row>
    <row r="120" ht="31.5" customHeight="1">
      <c r="A120" s="12">
        <v>45083.0</v>
      </c>
      <c r="B120" s="14" t="s">
        <v>4620</v>
      </c>
      <c r="C120" s="14" t="s">
        <v>755</v>
      </c>
      <c r="D120" s="605" t="s">
        <v>756</v>
      </c>
      <c r="E120" s="14"/>
      <c r="F120" s="14" t="s">
        <v>419</v>
      </c>
      <c r="G120" s="14">
        <v>1.0</v>
      </c>
      <c r="H120" s="14"/>
      <c r="I120" s="590" t="s">
        <v>757</v>
      </c>
      <c r="J120" s="223"/>
      <c r="K120" s="14"/>
      <c r="L120" s="139" t="s">
        <v>5910</v>
      </c>
      <c r="M120" s="223" t="s">
        <v>5911</v>
      </c>
      <c r="N120" s="14" t="s">
        <v>111</v>
      </c>
      <c r="O120" s="14" t="s">
        <v>158</v>
      </c>
      <c r="P120" s="14"/>
      <c r="Q120" s="14"/>
      <c r="R120" s="14"/>
      <c r="S120" s="14" t="s">
        <v>759</v>
      </c>
      <c r="T120" s="14" t="s">
        <v>4096</v>
      </c>
      <c r="U120" s="61" t="s">
        <v>760</v>
      </c>
      <c r="V120" s="14"/>
      <c r="W120" s="14"/>
      <c r="X120" s="18"/>
      <c r="Y120" s="18"/>
      <c r="Z120" s="18"/>
      <c r="AA120" s="19">
        <f t="shared" si="1"/>
        <v>6</v>
      </c>
    </row>
    <row r="121" ht="31.5" customHeight="1">
      <c r="A121" s="114">
        <v>45084.0</v>
      </c>
      <c r="B121" s="115" t="s">
        <v>4620</v>
      </c>
      <c r="C121" s="115" t="s">
        <v>761</v>
      </c>
      <c r="D121" s="115"/>
      <c r="E121" s="115"/>
      <c r="F121" s="115"/>
      <c r="G121" s="115"/>
      <c r="H121" s="115"/>
      <c r="I121" s="624" t="s">
        <v>762</v>
      </c>
      <c r="J121" s="625"/>
      <c r="K121" s="115"/>
      <c r="L121" s="115" t="s">
        <v>763</v>
      </c>
      <c r="M121" s="626" t="s">
        <v>5912</v>
      </c>
      <c r="N121" s="115" t="s">
        <v>111</v>
      </c>
      <c r="O121" s="14" t="s">
        <v>216</v>
      </c>
      <c r="P121" s="14"/>
      <c r="Q121" s="14"/>
      <c r="R121" s="14"/>
      <c r="S121" s="14" t="s">
        <v>764</v>
      </c>
      <c r="T121" s="14" t="s">
        <v>4069</v>
      </c>
      <c r="U121" s="17"/>
      <c r="V121" s="14"/>
      <c r="W121" s="14"/>
      <c r="X121" s="18"/>
      <c r="Y121" s="18"/>
      <c r="Z121" s="18"/>
      <c r="AA121" s="19">
        <f t="shared" si="1"/>
        <v>6</v>
      </c>
    </row>
    <row r="122" ht="31.5" customHeight="1">
      <c r="A122" s="114">
        <v>45084.0</v>
      </c>
      <c r="B122" s="115" t="s">
        <v>4620</v>
      </c>
      <c r="C122" s="115" t="s">
        <v>765</v>
      </c>
      <c r="D122" s="115"/>
      <c r="E122" s="115"/>
      <c r="F122" s="115"/>
      <c r="G122" s="115"/>
      <c r="H122" s="115"/>
      <c r="I122" s="624" t="s">
        <v>766</v>
      </c>
      <c r="J122" s="625"/>
      <c r="K122" s="115"/>
      <c r="L122" s="115" t="s">
        <v>767</v>
      </c>
      <c r="M122" s="626" t="s">
        <v>5913</v>
      </c>
      <c r="N122" s="115" t="s">
        <v>111</v>
      </c>
      <c r="O122" s="14" t="s">
        <v>216</v>
      </c>
      <c r="P122" s="14"/>
      <c r="Q122" s="14"/>
      <c r="R122" s="14"/>
      <c r="S122" s="14" t="s">
        <v>768</v>
      </c>
      <c r="T122" s="14" t="s">
        <v>4096</v>
      </c>
      <c r="U122" s="17">
        <v>45093.0</v>
      </c>
      <c r="V122" s="14"/>
      <c r="W122" s="14"/>
      <c r="X122" s="18"/>
      <c r="Y122" s="18"/>
      <c r="Z122" s="18"/>
      <c r="AA122" s="19">
        <f t="shared" si="1"/>
        <v>6</v>
      </c>
    </row>
    <row r="123" ht="31.5" customHeight="1">
      <c r="A123" s="114">
        <v>45085.0</v>
      </c>
      <c r="B123" s="115" t="s">
        <v>4620</v>
      </c>
      <c r="C123" s="115" t="s">
        <v>769</v>
      </c>
      <c r="D123" s="115"/>
      <c r="E123" s="115"/>
      <c r="F123" s="115" t="s">
        <v>419</v>
      </c>
      <c r="G123" s="115"/>
      <c r="H123" s="115"/>
      <c r="I123" s="624" t="s">
        <v>770</v>
      </c>
      <c r="J123" s="625"/>
      <c r="K123" s="115"/>
      <c r="L123" s="115"/>
      <c r="M123" s="626" t="s">
        <v>5914</v>
      </c>
      <c r="N123" s="115" t="s">
        <v>111</v>
      </c>
      <c r="O123" s="14" t="s">
        <v>34</v>
      </c>
      <c r="P123" s="14"/>
      <c r="Q123" s="14"/>
      <c r="R123" s="14"/>
      <c r="S123" s="14" t="s">
        <v>771</v>
      </c>
      <c r="T123" s="14" t="s">
        <v>4069</v>
      </c>
      <c r="U123" s="17"/>
      <c r="V123" s="14"/>
      <c r="W123" s="14"/>
      <c r="X123" s="18"/>
      <c r="Y123" s="18"/>
      <c r="Z123" s="18"/>
      <c r="AA123" s="19">
        <f t="shared" si="1"/>
        <v>6</v>
      </c>
    </row>
    <row r="124" ht="31.5" customHeight="1">
      <c r="A124" s="114">
        <v>45085.0</v>
      </c>
      <c r="B124" s="115" t="s">
        <v>4620</v>
      </c>
      <c r="C124" s="115" t="s">
        <v>772</v>
      </c>
      <c r="D124" s="115"/>
      <c r="E124" s="115"/>
      <c r="F124" s="115" t="s">
        <v>425</v>
      </c>
      <c r="G124" s="115"/>
      <c r="H124" s="115"/>
      <c r="I124" s="624" t="s">
        <v>4177</v>
      </c>
      <c r="J124" s="625"/>
      <c r="K124" s="115"/>
      <c r="L124" s="115" t="s">
        <v>774</v>
      </c>
      <c r="M124" s="626" t="s">
        <v>5915</v>
      </c>
      <c r="N124" s="115" t="s">
        <v>111</v>
      </c>
      <c r="O124" s="14" t="s">
        <v>34</v>
      </c>
      <c r="P124" s="14"/>
      <c r="Q124" s="14"/>
      <c r="R124" s="14"/>
      <c r="S124" s="14" t="s">
        <v>775</v>
      </c>
      <c r="T124" s="14" t="s">
        <v>4069</v>
      </c>
      <c r="U124" s="17"/>
      <c r="V124" s="14"/>
      <c r="W124" s="14"/>
      <c r="X124" s="18"/>
      <c r="Y124" s="18"/>
      <c r="Z124" s="18"/>
      <c r="AA124" s="19">
        <f t="shared" si="1"/>
        <v>6</v>
      </c>
    </row>
    <row r="125" ht="31.5" customHeight="1">
      <c r="A125" s="12">
        <v>45085.0</v>
      </c>
      <c r="B125" s="14" t="s">
        <v>4620</v>
      </c>
      <c r="C125" s="14" t="s">
        <v>776</v>
      </c>
      <c r="D125" s="14" t="s">
        <v>292</v>
      </c>
      <c r="E125" s="14"/>
      <c r="F125" s="14" t="s">
        <v>4178</v>
      </c>
      <c r="G125" s="14"/>
      <c r="H125" s="14"/>
      <c r="I125" s="590" t="s">
        <v>777</v>
      </c>
      <c r="J125" s="223"/>
      <c r="K125" s="14"/>
      <c r="L125" s="14" t="s">
        <v>778</v>
      </c>
      <c r="M125" s="223"/>
      <c r="N125" s="14" t="s">
        <v>111</v>
      </c>
      <c r="O125" s="14" t="s">
        <v>13</v>
      </c>
      <c r="P125" s="14" t="s">
        <v>779</v>
      </c>
      <c r="Q125" s="14"/>
      <c r="R125" s="14"/>
      <c r="S125" s="14" t="s">
        <v>780</v>
      </c>
      <c r="T125" s="14" t="s">
        <v>4069</v>
      </c>
      <c r="U125" s="17"/>
      <c r="V125" s="14"/>
      <c r="W125" s="14"/>
      <c r="X125" s="18"/>
      <c r="Y125" s="18"/>
      <c r="Z125" s="18"/>
      <c r="AA125" s="19">
        <f t="shared" si="1"/>
        <v>6</v>
      </c>
    </row>
    <row r="126" ht="31.5" customHeight="1">
      <c r="A126" s="12">
        <v>45086.0</v>
      </c>
      <c r="B126" s="14" t="s">
        <v>4620</v>
      </c>
      <c r="C126" s="14" t="s">
        <v>786</v>
      </c>
      <c r="D126" s="14"/>
      <c r="E126" s="14"/>
      <c r="F126" s="14" t="s">
        <v>4180</v>
      </c>
      <c r="G126" s="14"/>
      <c r="H126" s="14"/>
      <c r="I126" s="590" t="s">
        <v>787</v>
      </c>
      <c r="J126" s="223"/>
      <c r="K126" s="14"/>
      <c r="L126" s="14" t="s">
        <v>788</v>
      </c>
      <c r="M126" s="591" t="s">
        <v>5916</v>
      </c>
      <c r="N126" s="14" t="s">
        <v>48</v>
      </c>
      <c r="O126" s="14" t="s">
        <v>216</v>
      </c>
      <c r="P126" s="14"/>
      <c r="Q126" s="14"/>
      <c r="R126" s="14"/>
      <c r="S126" s="14" t="s">
        <v>789</v>
      </c>
      <c r="T126" s="14" t="s">
        <v>36</v>
      </c>
      <c r="U126" s="17"/>
      <c r="V126" s="14"/>
      <c r="W126" s="14"/>
      <c r="X126" s="18"/>
      <c r="Y126" s="18"/>
      <c r="Z126" s="18"/>
      <c r="AA126" s="19">
        <f t="shared" si="1"/>
        <v>6</v>
      </c>
    </row>
    <row r="127" ht="31.5" customHeight="1">
      <c r="A127" s="12">
        <v>45087.0</v>
      </c>
      <c r="B127" s="14" t="s">
        <v>4620</v>
      </c>
      <c r="C127" s="14" t="s">
        <v>790</v>
      </c>
      <c r="D127" s="14" t="s">
        <v>666</v>
      </c>
      <c r="E127" s="14"/>
      <c r="F127" s="14" t="s">
        <v>4042</v>
      </c>
      <c r="G127" s="14"/>
      <c r="H127" s="14"/>
      <c r="I127" s="590" t="s">
        <v>791</v>
      </c>
      <c r="J127" s="223"/>
      <c r="K127" s="14"/>
      <c r="L127" s="272" t="s">
        <v>792</v>
      </c>
      <c r="M127" s="591" t="s">
        <v>5917</v>
      </c>
      <c r="N127" s="14" t="s">
        <v>111</v>
      </c>
      <c r="O127" s="14" t="s">
        <v>34</v>
      </c>
      <c r="P127" s="14" t="s">
        <v>4181</v>
      </c>
      <c r="Q127" s="14"/>
      <c r="R127" s="14"/>
      <c r="S127" s="14" t="s">
        <v>4182</v>
      </c>
      <c r="T127" s="14" t="s">
        <v>4069</v>
      </c>
      <c r="U127" s="17"/>
      <c r="V127" s="14"/>
      <c r="W127" s="14"/>
      <c r="X127" s="18"/>
      <c r="Y127" s="18"/>
      <c r="Z127" s="18"/>
      <c r="AA127" s="19">
        <f t="shared" si="1"/>
        <v>6</v>
      </c>
    </row>
    <row r="128" ht="31.5" customHeight="1">
      <c r="A128" s="12">
        <v>45087.0</v>
      </c>
      <c r="B128" s="14" t="s">
        <v>4620</v>
      </c>
      <c r="C128" s="14" t="s">
        <v>795</v>
      </c>
      <c r="D128" s="14"/>
      <c r="E128" s="14"/>
      <c r="F128" s="14" t="s">
        <v>4180</v>
      </c>
      <c r="G128" s="14"/>
      <c r="H128" s="14"/>
      <c r="I128" s="590" t="s">
        <v>796</v>
      </c>
      <c r="J128" s="223"/>
      <c r="K128" s="14"/>
      <c r="L128" s="14" t="s">
        <v>797</v>
      </c>
      <c r="M128" s="591" t="s">
        <v>5918</v>
      </c>
      <c r="N128" s="14" t="s">
        <v>111</v>
      </c>
      <c r="O128" s="14" t="s">
        <v>565</v>
      </c>
      <c r="P128" s="14"/>
      <c r="Q128" s="14"/>
      <c r="R128" s="14"/>
      <c r="S128" s="14" t="s">
        <v>798</v>
      </c>
      <c r="T128" s="14" t="s">
        <v>4183</v>
      </c>
      <c r="U128" s="17"/>
      <c r="V128" s="14"/>
      <c r="W128" s="14"/>
      <c r="X128" s="18"/>
      <c r="Y128" s="18"/>
      <c r="Z128" s="18"/>
      <c r="AA128" s="19">
        <f t="shared" si="1"/>
        <v>6</v>
      </c>
    </row>
    <row r="129" ht="31.5" customHeight="1">
      <c r="A129" s="255">
        <v>45087.0</v>
      </c>
      <c r="B129" s="256" t="s">
        <v>4620</v>
      </c>
      <c r="C129" s="256" t="s">
        <v>799</v>
      </c>
      <c r="D129" s="256"/>
      <c r="E129" s="256"/>
      <c r="F129" s="256"/>
      <c r="G129" s="256"/>
      <c r="H129" s="256"/>
      <c r="I129" s="607" t="s">
        <v>800</v>
      </c>
      <c r="J129" s="608"/>
      <c r="K129" s="256"/>
      <c r="L129" s="256" t="s">
        <v>801</v>
      </c>
      <c r="M129" s="627" t="s">
        <v>5919</v>
      </c>
      <c r="N129" s="256" t="s">
        <v>48</v>
      </c>
      <c r="O129" s="256" t="s">
        <v>333</v>
      </c>
      <c r="P129" s="256" t="s">
        <v>4184</v>
      </c>
      <c r="Q129" s="256"/>
      <c r="R129" s="256"/>
      <c r="S129" s="256" t="s">
        <v>803</v>
      </c>
      <c r="T129" s="256"/>
      <c r="U129" s="273">
        <v>45174.0</v>
      </c>
      <c r="V129" s="256"/>
      <c r="W129" s="256"/>
      <c r="X129" s="259"/>
      <c r="Y129" s="259"/>
      <c r="Z129" s="18"/>
      <c r="AA129" s="19">
        <f t="shared" si="1"/>
        <v>6</v>
      </c>
    </row>
    <row r="130" ht="31.5" customHeight="1">
      <c r="A130" s="12">
        <v>45087.0</v>
      </c>
      <c r="B130" s="14" t="s">
        <v>4620</v>
      </c>
      <c r="C130" s="120" t="s">
        <v>810</v>
      </c>
      <c r="D130" s="14"/>
      <c r="E130" s="14"/>
      <c r="F130" s="14"/>
      <c r="G130" s="14">
        <v>5.0</v>
      </c>
      <c r="H130" s="14"/>
      <c r="I130" s="628" t="s">
        <v>812</v>
      </c>
      <c r="J130" s="223"/>
      <c r="K130" s="14"/>
      <c r="L130" s="14" t="s">
        <v>813</v>
      </c>
      <c r="M130" s="223"/>
      <c r="N130" s="14" t="s">
        <v>48</v>
      </c>
      <c r="O130" s="14" t="s">
        <v>565</v>
      </c>
      <c r="P130" s="14"/>
      <c r="Q130" s="14"/>
      <c r="R130" s="14"/>
      <c r="S130" s="14" t="s">
        <v>814</v>
      </c>
      <c r="T130" s="14" t="s">
        <v>4185</v>
      </c>
      <c r="U130" s="17"/>
      <c r="V130" s="14"/>
      <c r="W130" s="14"/>
      <c r="X130" s="18"/>
      <c r="Y130" s="18"/>
      <c r="Z130" s="18"/>
      <c r="AA130" s="19">
        <f t="shared" si="1"/>
        <v>6</v>
      </c>
    </row>
    <row r="131" ht="31.5" customHeight="1">
      <c r="A131" s="12">
        <v>45087.0</v>
      </c>
      <c r="B131" s="14" t="s">
        <v>4620</v>
      </c>
      <c r="C131" s="120" t="s">
        <v>810</v>
      </c>
      <c r="D131" s="14"/>
      <c r="E131" s="14"/>
      <c r="F131" s="14"/>
      <c r="G131" s="14">
        <v>4.0</v>
      </c>
      <c r="H131" s="14"/>
      <c r="I131" s="11"/>
      <c r="J131" s="223"/>
      <c r="K131" s="14"/>
      <c r="L131" s="14"/>
      <c r="M131" s="223" t="s">
        <v>289</v>
      </c>
      <c r="N131" s="14" t="s">
        <v>48</v>
      </c>
      <c r="O131" s="14" t="s">
        <v>565</v>
      </c>
      <c r="P131" s="14"/>
      <c r="Q131" s="14"/>
      <c r="R131" s="14"/>
      <c r="S131" s="14" t="s">
        <v>816</v>
      </c>
      <c r="T131" s="14" t="s">
        <v>4185</v>
      </c>
      <c r="U131" s="17"/>
      <c r="V131" s="14"/>
      <c r="W131" s="14"/>
      <c r="X131" s="18"/>
      <c r="Y131" s="18"/>
      <c r="Z131" s="18"/>
      <c r="AA131" s="19">
        <f t="shared" si="1"/>
        <v>6</v>
      </c>
    </row>
    <row r="132" ht="31.5" customHeight="1">
      <c r="A132" s="12">
        <v>45087.0</v>
      </c>
      <c r="B132" s="14" t="s">
        <v>84</v>
      </c>
      <c r="C132" s="120" t="s">
        <v>824</v>
      </c>
      <c r="D132" s="14"/>
      <c r="E132" s="14"/>
      <c r="F132" s="14"/>
      <c r="G132" s="14" t="s">
        <v>825</v>
      </c>
      <c r="H132" s="14"/>
      <c r="I132" s="628" t="s">
        <v>826</v>
      </c>
      <c r="J132" s="223"/>
      <c r="K132" s="14"/>
      <c r="L132" s="14"/>
      <c r="M132" s="223"/>
      <c r="N132" s="14" t="s">
        <v>48</v>
      </c>
      <c r="O132" s="14" t="s">
        <v>333</v>
      </c>
      <c r="P132" s="14"/>
      <c r="Q132" s="14"/>
      <c r="R132" s="14"/>
      <c r="S132" s="14" t="s">
        <v>827</v>
      </c>
      <c r="T132" s="14" t="s">
        <v>4187</v>
      </c>
      <c r="U132" s="17">
        <v>45174.0</v>
      </c>
      <c r="V132" s="14"/>
      <c r="W132" s="14"/>
      <c r="X132" s="18"/>
      <c r="Y132" s="18"/>
      <c r="Z132" s="18"/>
      <c r="AA132" s="19">
        <f t="shared" si="1"/>
        <v>6</v>
      </c>
    </row>
    <row r="133" ht="31.5" customHeight="1">
      <c r="A133" s="12">
        <v>45087.0</v>
      </c>
      <c r="B133" s="14" t="s">
        <v>84</v>
      </c>
      <c r="C133" s="120" t="s">
        <v>824</v>
      </c>
      <c r="D133" s="14"/>
      <c r="E133" s="14"/>
      <c r="F133" s="14"/>
      <c r="G133" s="14" t="s">
        <v>371</v>
      </c>
      <c r="H133" s="14"/>
      <c r="I133" s="11"/>
      <c r="J133" s="223"/>
      <c r="K133" s="14"/>
      <c r="L133" s="14"/>
      <c r="M133" s="223"/>
      <c r="N133" s="14" t="s">
        <v>48</v>
      </c>
      <c r="O133" s="14" t="s">
        <v>333</v>
      </c>
      <c r="P133" s="14"/>
      <c r="Q133" s="14"/>
      <c r="R133" s="14"/>
      <c r="S133" s="14"/>
      <c r="T133" s="14"/>
      <c r="U133" s="17">
        <v>45174.0</v>
      </c>
      <c r="V133" s="14"/>
      <c r="W133" s="14"/>
      <c r="X133" s="18"/>
      <c r="Y133" s="18"/>
      <c r="Z133" s="18"/>
      <c r="AA133" s="19">
        <f t="shared" si="1"/>
        <v>6</v>
      </c>
    </row>
    <row r="134" ht="31.5" customHeight="1">
      <c r="A134" s="12">
        <v>45087.0</v>
      </c>
      <c r="B134" s="14" t="s">
        <v>84</v>
      </c>
      <c r="C134" s="14" t="s">
        <v>833</v>
      </c>
      <c r="D134" s="14"/>
      <c r="E134" s="14"/>
      <c r="F134" s="14"/>
      <c r="G134" s="14"/>
      <c r="H134" s="14"/>
      <c r="I134" s="590" t="s">
        <v>834</v>
      </c>
      <c r="J134" s="223"/>
      <c r="K134" s="14"/>
      <c r="L134" s="14"/>
      <c r="M134" s="223"/>
      <c r="N134" s="14" t="s">
        <v>48</v>
      </c>
      <c r="O134" s="14" t="s">
        <v>34</v>
      </c>
      <c r="P134" s="14" t="s">
        <v>835</v>
      </c>
      <c r="Q134" s="14"/>
      <c r="R134" s="14"/>
      <c r="S134" s="14" t="s">
        <v>836</v>
      </c>
      <c r="T134" s="14" t="s">
        <v>36</v>
      </c>
      <c r="U134" s="17"/>
      <c r="V134" s="14"/>
      <c r="W134" s="14"/>
      <c r="X134" s="18"/>
      <c r="Y134" s="18"/>
      <c r="Z134" s="18"/>
      <c r="AA134" s="19">
        <f t="shared" si="1"/>
        <v>6</v>
      </c>
    </row>
    <row r="135" ht="31.5" customHeight="1">
      <c r="A135" s="12">
        <v>45089.0</v>
      </c>
      <c r="B135" s="14" t="s">
        <v>84</v>
      </c>
      <c r="C135" s="14" t="s">
        <v>844</v>
      </c>
      <c r="D135" s="14" t="s">
        <v>850</v>
      </c>
      <c r="E135" s="142"/>
      <c r="F135" s="142">
        <v>41751.0</v>
      </c>
      <c r="G135" s="14"/>
      <c r="H135" s="14"/>
      <c r="I135" s="628" t="s">
        <v>853</v>
      </c>
      <c r="J135" s="629"/>
      <c r="K135" s="629"/>
      <c r="L135" s="629"/>
      <c r="M135" s="629"/>
      <c r="N135" s="14" t="s">
        <v>111</v>
      </c>
      <c r="O135" s="14" t="s">
        <v>13</v>
      </c>
      <c r="P135" s="14" t="s">
        <v>835</v>
      </c>
      <c r="Q135" s="14"/>
      <c r="R135" s="14"/>
      <c r="S135" s="14" t="s">
        <v>851</v>
      </c>
      <c r="T135" s="14" t="s">
        <v>4190</v>
      </c>
      <c r="U135" s="17">
        <v>45107.0</v>
      </c>
      <c r="V135" s="14"/>
      <c r="W135" s="14"/>
      <c r="X135" s="18"/>
      <c r="Y135" s="18"/>
      <c r="Z135" s="18"/>
      <c r="AA135" s="19">
        <f t="shared" si="1"/>
        <v>6</v>
      </c>
    </row>
    <row r="136" ht="31.5" customHeight="1">
      <c r="A136" s="12">
        <v>45090.0</v>
      </c>
      <c r="B136" s="14" t="s">
        <v>4620</v>
      </c>
      <c r="C136" s="14" t="s">
        <v>852</v>
      </c>
      <c r="D136" s="14"/>
      <c r="E136" s="14"/>
      <c r="F136" s="14"/>
      <c r="G136" s="14"/>
      <c r="H136" s="14"/>
      <c r="I136" s="11"/>
      <c r="J136" s="495"/>
      <c r="K136" s="495"/>
      <c r="L136" s="495"/>
      <c r="M136" s="495"/>
      <c r="N136" s="14" t="s">
        <v>111</v>
      </c>
      <c r="O136" s="14" t="s">
        <v>34</v>
      </c>
      <c r="P136" s="14"/>
      <c r="Q136" s="14"/>
      <c r="R136" s="14"/>
      <c r="S136" s="14" t="s">
        <v>854</v>
      </c>
      <c r="T136" s="14"/>
      <c r="U136" s="17"/>
      <c r="V136" s="14"/>
      <c r="W136" s="14"/>
      <c r="X136" s="18"/>
      <c r="Y136" s="18"/>
      <c r="Z136" s="18"/>
      <c r="AA136" s="19">
        <f t="shared" si="1"/>
        <v>6</v>
      </c>
    </row>
    <row r="137" ht="31.5" customHeight="1">
      <c r="A137" s="12">
        <v>45090.0</v>
      </c>
      <c r="B137" s="14" t="s">
        <v>84</v>
      </c>
      <c r="C137" s="14" t="s">
        <v>866</v>
      </c>
      <c r="D137" s="14" t="s">
        <v>867</v>
      </c>
      <c r="E137" s="14"/>
      <c r="F137" s="14"/>
      <c r="G137" s="14"/>
      <c r="H137" s="14"/>
      <c r="I137" s="590" t="s">
        <v>868</v>
      </c>
      <c r="J137" s="223"/>
      <c r="K137" s="14"/>
      <c r="L137" s="14" t="s">
        <v>869</v>
      </c>
      <c r="M137" s="223"/>
      <c r="N137" s="14" t="s">
        <v>111</v>
      </c>
      <c r="O137" s="14" t="s">
        <v>13</v>
      </c>
      <c r="P137" s="61" t="s">
        <v>870</v>
      </c>
      <c r="Q137" s="592"/>
      <c r="R137" s="14"/>
      <c r="S137" s="14" t="s">
        <v>871</v>
      </c>
      <c r="T137" s="14" t="s">
        <v>4197</v>
      </c>
      <c r="U137" s="17"/>
      <c r="V137" s="14"/>
      <c r="W137" s="14"/>
      <c r="X137" s="18"/>
      <c r="Y137" s="18"/>
      <c r="Z137" s="18"/>
      <c r="AA137" s="19">
        <f t="shared" si="1"/>
        <v>6</v>
      </c>
    </row>
    <row r="138" ht="31.5" customHeight="1">
      <c r="A138" s="12">
        <v>45091.0</v>
      </c>
      <c r="B138" s="14" t="s">
        <v>84</v>
      </c>
      <c r="C138" s="14" t="s">
        <v>872</v>
      </c>
      <c r="D138" s="14"/>
      <c r="E138" s="14"/>
      <c r="F138" s="14"/>
      <c r="G138" s="14"/>
      <c r="H138" s="14"/>
      <c r="I138" s="590" t="s">
        <v>873</v>
      </c>
      <c r="J138" s="223"/>
      <c r="K138" s="14"/>
      <c r="L138" s="14"/>
      <c r="M138" s="223"/>
      <c r="N138" s="14" t="s">
        <v>48</v>
      </c>
      <c r="O138" s="14" t="s">
        <v>333</v>
      </c>
      <c r="P138" s="14" t="s">
        <v>874</v>
      </c>
      <c r="Q138" s="14"/>
      <c r="R138" s="14"/>
      <c r="S138" s="14" t="s">
        <v>875</v>
      </c>
      <c r="T138" s="14" t="s">
        <v>4198</v>
      </c>
      <c r="U138" s="17">
        <v>45105.0</v>
      </c>
      <c r="V138" s="14"/>
      <c r="W138" s="14"/>
      <c r="X138" s="18"/>
      <c r="Y138" s="18"/>
      <c r="Z138" s="18"/>
      <c r="AA138" s="19">
        <f t="shared" si="1"/>
        <v>6</v>
      </c>
    </row>
    <row r="139" ht="31.5" customHeight="1">
      <c r="A139" s="12">
        <v>45092.0</v>
      </c>
      <c r="B139" s="14" t="s">
        <v>4620</v>
      </c>
      <c r="C139" s="14" t="s">
        <v>876</v>
      </c>
      <c r="D139" s="14" t="s">
        <v>877</v>
      </c>
      <c r="E139" s="14"/>
      <c r="F139" s="14" t="s">
        <v>474</v>
      </c>
      <c r="G139" s="14"/>
      <c r="H139" s="14"/>
      <c r="I139" s="590" t="s">
        <v>878</v>
      </c>
      <c r="J139" s="223"/>
      <c r="K139" s="14"/>
      <c r="L139" s="14" t="s">
        <v>879</v>
      </c>
      <c r="M139" s="591" t="s">
        <v>5920</v>
      </c>
      <c r="N139" s="14" t="s">
        <v>111</v>
      </c>
      <c r="O139" s="14" t="s">
        <v>34</v>
      </c>
      <c r="P139" s="14" t="s">
        <v>880</v>
      </c>
      <c r="Q139" s="14"/>
      <c r="R139" s="14"/>
      <c r="S139" s="14" t="s">
        <v>881</v>
      </c>
      <c r="T139" s="14" t="s">
        <v>4069</v>
      </c>
      <c r="U139" s="17"/>
      <c r="V139" s="14"/>
      <c r="W139" s="14"/>
      <c r="X139" s="18"/>
      <c r="Y139" s="18"/>
      <c r="Z139" s="18"/>
      <c r="AA139" s="19">
        <f t="shared" si="1"/>
        <v>6</v>
      </c>
    </row>
    <row r="140" ht="31.5" customHeight="1">
      <c r="A140" s="12">
        <v>45092.0</v>
      </c>
      <c r="B140" s="14" t="s">
        <v>4620</v>
      </c>
      <c r="C140" s="14" t="s">
        <v>882</v>
      </c>
      <c r="D140" s="14"/>
      <c r="E140" s="14"/>
      <c r="F140" s="14"/>
      <c r="G140" s="14"/>
      <c r="H140" s="14"/>
      <c r="I140" s="590" t="s">
        <v>883</v>
      </c>
      <c r="J140" s="223"/>
      <c r="K140" s="14"/>
      <c r="L140" s="14" t="s">
        <v>879</v>
      </c>
      <c r="M140" s="591" t="s">
        <v>5921</v>
      </c>
      <c r="N140" s="14" t="s">
        <v>111</v>
      </c>
      <c r="O140" s="14" t="s">
        <v>216</v>
      </c>
      <c r="P140" s="14"/>
      <c r="Q140" s="14"/>
      <c r="R140" s="14"/>
      <c r="S140" s="14" t="s">
        <v>884</v>
      </c>
      <c r="T140" s="14" t="s">
        <v>4096</v>
      </c>
      <c r="U140" s="17">
        <v>45111.0</v>
      </c>
      <c r="V140" s="14"/>
      <c r="W140" s="14"/>
      <c r="X140" s="18"/>
      <c r="Y140" s="18"/>
      <c r="Z140" s="18"/>
      <c r="AA140" s="19">
        <f t="shared" si="1"/>
        <v>6</v>
      </c>
    </row>
    <row r="141" ht="31.5" customHeight="1">
      <c r="A141" s="12">
        <v>45092.0</v>
      </c>
      <c r="B141" s="14" t="s">
        <v>4620</v>
      </c>
      <c r="C141" s="14" t="s">
        <v>885</v>
      </c>
      <c r="D141" s="592" t="s">
        <v>886</v>
      </c>
      <c r="E141" s="14"/>
      <c r="F141" s="14" t="s">
        <v>4180</v>
      </c>
      <c r="G141" s="14"/>
      <c r="H141" s="14"/>
      <c r="I141" s="590" t="s">
        <v>887</v>
      </c>
      <c r="J141" s="223"/>
      <c r="K141" s="14"/>
      <c r="L141" s="14" t="s">
        <v>888</v>
      </c>
      <c r="M141" s="591" t="s">
        <v>5922</v>
      </c>
      <c r="N141" s="14" t="s">
        <v>111</v>
      </c>
      <c r="O141" s="14" t="s">
        <v>34</v>
      </c>
      <c r="P141" s="14" t="s">
        <v>889</v>
      </c>
      <c r="Q141" s="14"/>
      <c r="R141" s="14"/>
      <c r="S141" s="14" t="s">
        <v>890</v>
      </c>
      <c r="T141" s="14" t="s">
        <v>4069</v>
      </c>
      <c r="U141" s="17"/>
      <c r="V141" s="14"/>
      <c r="W141" s="14"/>
      <c r="X141" s="18"/>
      <c r="Y141" s="18"/>
      <c r="Z141" s="18"/>
      <c r="AA141" s="19">
        <f t="shared" si="1"/>
        <v>6</v>
      </c>
    </row>
    <row r="142" ht="31.5" customHeight="1">
      <c r="A142" s="12">
        <v>45092.0</v>
      </c>
      <c r="B142" s="14" t="s">
        <v>84</v>
      </c>
      <c r="C142" s="14" t="s">
        <v>891</v>
      </c>
      <c r="D142" s="14" t="s">
        <v>892</v>
      </c>
      <c r="E142" s="14"/>
      <c r="F142" s="142">
        <v>40251.0</v>
      </c>
      <c r="G142" s="14"/>
      <c r="H142" s="14"/>
      <c r="I142" s="590" t="s">
        <v>893</v>
      </c>
      <c r="J142" s="223"/>
      <c r="K142" s="14"/>
      <c r="L142" s="14" t="s">
        <v>894</v>
      </c>
      <c r="M142" s="223"/>
      <c r="N142" s="14" t="s">
        <v>111</v>
      </c>
      <c r="O142" s="14" t="s">
        <v>13</v>
      </c>
      <c r="P142" s="14" t="s">
        <v>895</v>
      </c>
      <c r="Q142" s="14"/>
      <c r="R142" s="14"/>
      <c r="S142" s="14" t="s">
        <v>896</v>
      </c>
      <c r="T142" s="14" t="s">
        <v>4199</v>
      </c>
      <c r="U142" s="17"/>
      <c r="V142" s="14"/>
      <c r="W142" s="14"/>
      <c r="X142" s="18"/>
      <c r="Y142" s="18"/>
      <c r="Z142" s="18"/>
      <c r="AA142" s="19">
        <f t="shared" si="1"/>
        <v>6</v>
      </c>
    </row>
    <row r="143" ht="31.5" customHeight="1">
      <c r="A143" s="12">
        <v>45092.0</v>
      </c>
      <c r="B143" s="14" t="s">
        <v>84</v>
      </c>
      <c r="C143" s="14" t="s">
        <v>897</v>
      </c>
      <c r="D143" s="14" t="s">
        <v>898</v>
      </c>
      <c r="E143" s="14"/>
      <c r="F143" s="14" t="s">
        <v>4178</v>
      </c>
      <c r="G143" s="14"/>
      <c r="H143" s="14"/>
      <c r="I143" s="590" t="s">
        <v>899</v>
      </c>
      <c r="J143" s="223"/>
      <c r="K143" s="14"/>
      <c r="L143" s="14" t="s">
        <v>894</v>
      </c>
      <c r="M143" s="223"/>
      <c r="N143" s="14" t="s">
        <v>111</v>
      </c>
      <c r="O143" s="14" t="s">
        <v>13</v>
      </c>
      <c r="P143" s="14" t="s">
        <v>900</v>
      </c>
      <c r="Q143" s="14"/>
      <c r="R143" s="14"/>
      <c r="S143" s="14" t="s">
        <v>901</v>
      </c>
      <c r="T143" s="14" t="s">
        <v>4069</v>
      </c>
      <c r="U143" s="41"/>
      <c r="V143" s="14"/>
      <c r="W143" s="14"/>
      <c r="X143" s="18"/>
      <c r="Y143" s="18"/>
      <c r="Z143" s="18"/>
      <c r="AA143" s="19">
        <f t="shared" si="1"/>
        <v>6</v>
      </c>
    </row>
    <row r="144" ht="31.5" customHeight="1">
      <c r="A144" s="12">
        <v>45092.0</v>
      </c>
      <c r="B144" s="14" t="s">
        <v>4620</v>
      </c>
      <c r="C144" s="14" t="s">
        <v>902</v>
      </c>
      <c r="D144" s="14" t="s">
        <v>711</v>
      </c>
      <c r="E144" s="14"/>
      <c r="F144" s="14" t="s">
        <v>1244</v>
      </c>
      <c r="G144" s="14">
        <v>5.0</v>
      </c>
      <c r="H144" s="14"/>
      <c r="I144" s="590" t="s">
        <v>903</v>
      </c>
      <c r="J144" s="223"/>
      <c r="K144" s="14"/>
      <c r="L144" s="14" t="s">
        <v>904</v>
      </c>
      <c r="M144" s="591" t="s">
        <v>5923</v>
      </c>
      <c r="N144" s="14" t="s">
        <v>111</v>
      </c>
      <c r="O144" s="14" t="s">
        <v>13</v>
      </c>
      <c r="P144" s="14" t="s">
        <v>905</v>
      </c>
      <c r="Q144" s="14"/>
      <c r="R144" s="14"/>
      <c r="S144" s="14" t="s">
        <v>906</v>
      </c>
      <c r="T144" s="14" t="s">
        <v>4069</v>
      </c>
      <c r="U144" s="17"/>
      <c r="V144" s="14"/>
      <c r="W144" s="14"/>
      <c r="X144" s="18"/>
      <c r="Y144" s="18"/>
      <c r="Z144" s="18"/>
      <c r="AA144" s="19">
        <f t="shared" si="1"/>
        <v>6</v>
      </c>
    </row>
    <row r="145" ht="31.5" customHeight="1">
      <c r="A145" s="12">
        <v>45092.0</v>
      </c>
      <c r="B145" s="14" t="s">
        <v>84</v>
      </c>
      <c r="C145" s="14" t="s">
        <v>907</v>
      </c>
      <c r="D145" s="14" t="s">
        <v>908</v>
      </c>
      <c r="E145" s="14"/>
      <c r="F145" s="14" t="s">
        <v>505</v>
      </c>
      <c r="G145" s="14"/>
      <c r="H145" s="14"/>
      <c r="I145" s="590" t="s">
        <v>909</v>
      </c>
      <c r="J145" s="223"/>
      <c r="K145" s="14"/>
      <c r="L145" s="14" t="s">
        <v>894</v>
      </c>
      <c r="M145" s="223"/>
      <c r="N145" s="14" t="s">
        <v>111</v>
      </c>
      <c r="O145" s="14" t="s">
        <v>13</v>
      </c>
      <c r="P145" s="14"/>
      <c r="Q145" s="14"/>
      <c r="R145" s="14"/>
      <c r="S145" s="14" t="s">
        <v>910</v>
      </c>
      <c r="T145" s="14" t="s">
        <v>4069</v>
      </c>
      <c r="U145" s="17"/>
      <c r="V145" s="14"/>
      <c r="W145" s="14"/>
      <c r="X145" s="18"/>
      <c r="Y145" s="18"/>
      <c r="Z145" s="18"/>
      <c r="AA145" s="19">
        <f t="shared" si="1"/>
        <v>6</v>
      </c>
    </row>
    <row r="146" ht="31.5" customHeight="1">
      <c r="A146" s="12">
        <v>45092.0</v>
      </c>
      <c r="B146" s="14" t="s">
        <v>4620</v>
      </c>
      <c r="C146" s="14" t="s">
        <v>911</v>
      </c>
      <c r="D146" s="14" t="s">
        <v>912</v>
      </c>
      <c r="E146" s="14"/>
      <c r="F146" s="14" t="s">
        <v>505</v>
      </c>
      <c r="G146" s="14"/>
      <c r="H146" s="14"/>
      <c r="I146" s="590" t="s">
        <v>913</v>
      </c>
      <c r="J146" s="223"/>
      <c r="K146" s="14"/>
      <c r="L146" s="14" t="s">
        <v>914</v>
      </c>
      <c r="M146" s="223"/>
      <c r="N146" s="14" t="s">
        <v>111</v>
      </c>
      <c r="O146" s="14" t="s">
        <v>13</v>
      </c>
      <c r="P146" s="14" t="s">
        <v>905</v>
      </c>
      <c r="Q146" s="14"/>
      <c r="R146" s="14"/>
      <c r="S146" s="14" t="s">
        <v>4200</v>
      </c>
      <c r="T146" s="14" t="s">
        <v>4197</v>
      </c>
      <c r="U146" s="17"/>
      <c r="V146" s="14"/>
      <c r="W146" s="14"/>
      <c r="X146" s="18"/>
      <c r="Y146" s="18"/>
      <c r="Z146" s="18"/>
      <c r="AA146" s="19">
        <f t="shared" si="1"/>
        <v>6</v>
      </c>
    </row>
    <row r="147" ht="31.5" customHeight="1">
      <c r="A147" s="12">
        <v>45092.0</v>
      </c>
      <c r="B147" s="14" t="s">
        <v>84</v>
      </c>
      <c r="C147" s="14" t="s">
        <v>916</v>
      </c>
      <c r="D147" s="14" t="s">
        <v>917</v>
      </c>
      <c r="E147" s="14"/>
      <c r="F147" s="14" t="s">
        <v>425</v>
      </c>
      <c r="G147" s="14">
        <v>4.0</v>
      </c>
      <c r="H147" s="14"/>
      <c r="I147" s="590" t="s">
        <v>918</v>
      </c>
      <c r="J147" s="223"/>
      <c r="K147" s="14"/>
      <c r="L147" s="14" t="s">
        <v>919</v>
      </c>
      <c r="M147" s="223"/>
      <c r="N147" s="14" t="s">
        <v>111</v>
      </c>
      <c r="O147" s="14" t="s">
        <v>34</v>
      </c>
      <c r="P147" s="14" t="s">
        <v>920</v>
      </c>
      <c r="Q147" s="14"/>
      <c r="R147" s="14"/>
      <c r="S147" s="14" t="s">
        <v>921</v>
      </c>
      <c r="T147" s="14" t="s">
        <v>4201</v>
      </c>
      <c r="U147" s="17">
        <v>45170.0</v>
      </c>
      <c r="V147" s="14"/>
      <c r="W147" s="14"/>
      <c r="X147" s="18"/>
      <c r="Y147" s="18"/>
      <c r="Z147" s="18"/>
      <c r="AA147" s="19">
        <f t="shared" si="1"/>
        <v>6</v>
      </c>
    </row>
    <row r="148" ht="31.5" customHeight="1">
      <c r="A148" s="12">
        <v>45092.0</v>
      </c>
      <c r="B148" s="14" t="s">
        <v>84</v>
      </c>
      <c r="C148" s="14" t="s">
        <v>922</v>
      </c>
      <c r="D148" s="14"/>
      <c r="E148" s="14"/>
      <c r="F148" s="14"/>
      <c r="G148" s="14"/>
      <c r="H148" s="14"/>
      <c r="I148" s="590" t="s">
        <v>923</v>
      </c>
      <c r="J148" s="223"/>
      <c r="K148" s="14"/>
      <c r="L148" s="14" t="s">
        <v>919</v>
      </c>
      <c r="M148" s="223"/>
      <c r="N148" s="14" t="s">
        <v>111</v>
      </c>
      <c r="O148" s="14" t="s">
        <v>216</v>
      </c>
      <c r="P148" s="14"/>
      <c r="Q148" s="14"/>
      <c r="R148" s="14"/>
      <c r="S148" s="14" t="s">
        <v>924</v>
      </c>
      <c r="T148" s="14" t="s">
        <v>4096</v>
      </c>
      <c r="U148" s="17">
        <v>45101.0</v>
      </c>
      <c r="V148" s="14"/>
      <c r="W148" s="14"/>
      <c r="X148" s="18"/>
      <c r="Y148" s="18"/>
      <c r="Z148" s="18"/>
      <c r="AA148" s="19">
        <f t="shared" si="1"/>
        <v>6</v>
      </c>
    </row>
    <row r="149" ht="31.5" customHeight="1">
      <c r="A149" s="12">
        <v>45092.0</v>
      </c>
      <c r="B149" s="14" t="s">
        <v>73</v>
      </c>
      <c r="C149" s="14" t="s">
        <v>925</v>
      </c>
      <c r="D149" s="14" t="s">
        <v>509</v>
      </c>
      <c r="E149" s="14"/>
      <c r="F149" s="142">
        <v>41108.0</v>
      </c>
      <c r="G149" s="14">
        <v>5.0</v>
      </c>
      <c r="H149" s="14"/>
      <c r="I149" s="590" t="s">
        <v>926</v>
      </c>
      <c r="J149" s="223"/>
      <c r="K149" s="14"/>
      <c r="L149" s="14" t="s">
        <v>4202</v>
      </c>
      <c r="M149" s="223"/>
      <c r="N149" s="14" t="s">
        <v>111</v>
      </c>
      <c r="O149" s="14" t="s">
        <v>34</v>
      </c>
      <c r="P149" s="14" t="s">
        <v>4203</v>
      </c>
      <c r="Q149" s="14"/>
      <c r="R149" s="14"/>
      <c r="S149" s="14" t="s">
        <v>929</v>
      </c>
      <c r="T149" s="14" t="s">
        <v>4069</v>
      </c>
      <c r="U149" s="17"/>
      <c r="V149" s="14"/>
      <c r="W149" s="14"/>
      <c r="X149" s="18"/>
      <c r="Y149" s="18"/>
      <c r="Z149" s="18"/>
      <c r="AA149" s="19">
        <f t="shared" si="1"/>
        <v>6</v>
      </c>
    </row>
    <row r="150" ht="31.5" customHeight="1">
      <c r="A150" s="12">
        <v>45092.0</v>
      </c>
      <c r="B150" s="14" t="s">
        <v>4620</v>
      </c>
      <c r="C150" s="14" t="s">
        <v>943</v>
      </c>
      <c r="D150" s="14" t="s">
        <v>944</v>
      </c>
      <c r="E150" s="14"/>
      <c r="F150" s="14" t="s">
        <v>4206</v>
      </c>
      <c r="G150" s="14"/>
      <c r="H150" s="14"/>
      <c r="I150" s="590" t="s">
        <v>945</v>
      </c>
      <c r="J150" s="223"/>
      <c r="K150" s="14"/>
      <c r="L150" s="14"/>
      <c r="M150" s="591" t="s">
        <v>5924</v>
      </c>
      <c r="N150" s="14" t="s">
        <v>111</v>
      </c>
      <c r="O150" s="14" t="s">
        <v>13</v>
      </c>
      <c r="P150" s="14" t="s">
        <v>946</v>
      </c>
      <c r="Q150" s="14"/>
      <c r="R150" s="14"/>
      <c r="S150" s="14" t="s">
        <v>947</v>
      </c>
      <c r="T150" s="14" t="s">
        <v>4197</v>
      </c>
      <c r="U150" s="17"/>
      <c r="V150" s="14"/>
      <c r="W150" s="14"/>
      <c r="X150" s="18"/>
      <c r="Y150" s="18"/>
      <c r="Z150" s="18"/>
      <c r="AA150" s="19">
        <f t="shared" si="1"/>
        <v>6</v>
      </c>
    </row>
    <row r="151" ht="31.5" customHeight="1">
      <c r="A151" s="12">
        <v>45092.0</v>
      </c>
      <c r="B151" s="14" t="s">
        <v>84</v>
      </c>
      <c r="C151" s="14" t="s">
        <v>953</v>
      </c>
      <c r="D151" s="14" t="s">
        <v>954</v>
      </c>
      <c r="E151" s="14"/>
      <c r="F151" s="14" t="s">
        <v>425</v>
      </c>
      <c r="G151" s="14" t="s">
        <v>474</v>
      </c>
      <c r="H151" s="14"/>
      <c r="I151" s="590" t="s">
        <v>955</v>
      </c>
      <c r="J151" s="223"/>
      <c r="K151" s="14"/>
      <c r="L151" s="14" t="s">
        <v>956</v>
      </c>
      <c r="M151" s="223"/>
      <c r="N151" s="14" t="s">
        <v>111</v>
      </c>
      <c r="O151" s="14" t="s">
        <v>34</v>
      </c>
      <c r="P151" s="14" t="s">
        <v>957</v>
      </c>
      <c r="Q151" s="14"/>
      <c r="R151" s="14"/>
      <c r="S151" s="14" t="s">
        <v>958</v>
      </c>
      <c r="T151" s="14" t="s">
        <v>4069</v>
      </c>
      <c r="U151" s="17"/>
      <c r="V151" s="14"/>
      <c r="W151" s="14"/>
      <c r="X151" s="18"/>
      <c r="Y151" s="18"/>
      <c r="Z151" s="18"/>
      <c r="AA151" s="19">
        <f t="shared" si="1"/>
        <v>6</v>
      </c>
    </row>
    <row r="152" ht="31.5" customHeight="1">
      <c r="A152" s="12">
        <v>45093.0</v>
      </c>
      <c r="B152" s="14" t="s">
        <v>4620</v>
      </c>
      <c r="C152" s="14" t="s">
        <v>959</v>
      </c>
      <c r="D152" s="14"/>
      <c r="E152" s="14"/>
      <c r="F152" s="14" t="s">
        <v>4209</v>
      </c>
      <c r="G152" s="14"/>
      <c r="H152" s="14"/>
      <c r="I152" s="590" t="s">
        <v>960</v>
      </c>
      <c r="J152" s="223"/>
      <c r="K152" s="14"/>
      <c r="L152" s="14" t="s">
        <v>961</v>
      </c>
      <c r="M152" s="591" t="s">
        <v>5925</v>
      </c>
      <c r="N152" s="14" t="s">
        <v>111</v>
      </c>
      <c r="O152" s="14" t="s">
        <v>333</v>
      </c>
      <c r="P152" s="14"/>
      <c r="Q152" s="14"/>
      <c r="R152" s="14"/>
      <c r="S152" s="14" t="s">
        <v>962</v>
      </c>
      <c r="T152" s="14" t="s">
        <v>4210</v>
      </c>
      <c r="U152" s="17">
        <v>45111.0</v>
      </c>
      <c r="V152" s="14"/>
      <c r="W152" s="14"/>
      <c r="X152" s="18"/>
      <c r="Y152" s="18"/>
      <c r="Z152" s="18"/>
      <c r="AA152" s="19">
        <f t="shared" si="1"/>
        <v>6</v>
      </c>
    </row>
    <row r="153" ht="31.5" customHeight="1">
      <c r="A153" s="12">
        <v>45093.0</v>
      </c>
      <c r="B153" s="14" t="s">
        <v>4620</v>
      </c>
      <c r="C153" s="14" t="s">
        <v>963</v>
      </c>
      <c r="D153" s="14"/>
      <c r="E153" s="14"/>
      <c r="F153" s="14"/>
      <c r="G153" s="14"/>
      <c r="H153" s="14"/>
      <c r="I153" s="590" t="s">
        <v>964</v>
      </c>
      <c r="J153" s="223"/>
      <c r="K153" s="14"/>
      <c r="L153" s="14" t="s">
        <v>965</v>
      </c>
      <c r="M153" s="591" t="s">
        <v>5926</v>
      </c>
      <c r="N153" s="14" t="s">
        <v>111</v>
      </c>
      <c r="O153" s="14" t="s">
        <v>216</v>
      </c>
      <c r="P153" s="14"/>
      <c r="Q153" s="14"/>
      <c r="R153" s="14"/>
      <c r="S153" s="14" t="s">
        <v>966</v>
      </c>
      <c r="T153" s="14" t="s">
        <v>4096</v>
      </c>
      <c r="U153" s="17">
        <v>45097.0</v>
      </c>
      <c r="V153" s="14"/>
      <c r="W153" s="14"/>
      <c r="X153" s="18"/>
      <c r="Y153" s="18"/>
      <c r="Z153" s="18"/>
      <c r="AA153" s="19">
        <f t="shared" si="1"/>
        <v>6</v>
      </c>
    </row>
    <row r="154" ht="31.5" customHeight="1">
      <c r="A154" s="12">
        <v>45093.0</v>
      </c>
      <c r="B154" s="14" t="s">
        <v>4620</v>
      </c>
      <c r="C154" s="14" t="s">
        <v>967</v>
      </c>
      <c r="D154" s="14"/>
      <c r="E154" s="14"/>
      <c r="F154" s="14"/>
      <c r="G154" s="14"/>
      <c r="H154" s="14"/>
      <c r="I154" s="590" t="s">
        <v>968</v>
      </c>
      <c r="J154" s="223"/>
      <c r="K154" s="14"/>
      <c r="L154" s="14" t="s">
        <v>4211</v>
      </c>
      <c r="M154" s="591" t="s">
        <v>5927</v>
      </c>
      <c r="N154" s="14" t="s">
        <v>111</v>
      </c>
      <c r="O154" s="14" t="s">
        <v>216</v>
      </c>
      <c r="P154" s="14"/>
      <c r="Q154" s="14"/>
      <c r="R154" s="14"/>
      <c r="S154" s="14" t="s">
        <v>966</v>
      </c>
      <c r="T154" s="14" t="s">
        <v>4096</v>
      </c>
      <c r="U154" s="17">
        <v>45097.0</v>
      </c>
      <c r="V154" s="14"/>
      <c r="W154" s="14"/>
      <c r="X154" s="18"/>
      <c r="Y154" s="18"/>
      <c r="Z154" s="18"/>
      <c r="AA154" s="19">
        <f t="shared" si="1"/>
        <v>6</v>
      </c>
    </row>
    <row r="155" ht="31.5" customHeight="1">
      <c r="A155" s="12">
        <v>45093.0</v>
      </c>
      <c r="B155" s="14" t="s">
        <v>4620</v>
      </c>
      <c r="C155" s="14" t="s">
        <v>970</v>
      </c>
      <c r="D155" s="14"/>
      <c r="E155" s="14"/>
      <c r="F155" s="14"/>
      <c r="G155" s="14"/>
      <c r="H155" s="14"/>
      <c r="I155" s="590" t="s">
        <v>971</v>
      </c>
      <c r="J155" s="223"/>
      <c r="K155" s="14"/>
      <c r="L155" s="14" t="s">
        <v>972</v>
      </c>
      <c r="M155" s="591" t="s">
        <v>5928</v>
      </c>
      <c r="N155" s="14" t="s">
        <v>111</v>
      </c>
      <c r="O155" s="14" t="s">
        <v>216</v>
      </c>
      <c r="P155" s="14"/>
      <c r="Q155" s="14"/>
      <c r="R155" s="14"/>
      <c r="S155" s="14" t="s">
        <v>966</v>
      </c>
      <c r="T155" s="14" t="s">
        <v>4096</v>
      </c>
      <c r="U155" s="17">
        <v>45097.0</v>
      </c>
      <c r="V155" s="14"/>
      <c r="W155" s="14"/>
      <c r="X155" s="18"/>
      <c r="Y155" s="18"/>
      <c r="Z155" s="18"/>
      <c r="AA155" s="19">
        <f t="shared" si="1"/>
        <v>6</v>
      </c>
    </row>
    <row r="156" ht="31.5" customHeight="1">
      <c r="A156" s="12">
        <v>45093.0</v>
      </c>
      <c r="B156" s="14" t="s">
        <v>4620</v>
      </c>
      <c r="C156" s="14" t="s">
        <v>973</v>
      </c>
      <c r="D156" s="14"/>
      <c r="E156" s="14"/>
      <c r="F156" s="14" t="s">
        <v>4212</v>
      </c>
      <c r="G156" s="14"/>
      <c r="H156" s="14"/>
      <c r="I156" s="590" t="s">
        <v>974</v>
      </c>
      <c r="J156" s="223"/>
      <c r="K156" s="14"/>
      <c r="L156" s="14" t="s">
        <v>975</v>
      </c>
      <c r="M156" s="591" t="s">
        <v>5929</v>
      </c>
      <c r="N156" s="14" t="s">
        <v>111</v>
      </c>
      <c r="O156" s="14" t="s">
        <v>565</v>
      </c>
      <c r="P156" s="14"/>
      <c r="Q156" s="14"/>
      <c r="R156" s="14"/>
      <c r="S156" s="14" t="s">
        <v>976</v>
      </c>
      <c r="T156" s="14" t="s">
        <v>4096</v>
      </c>
      <c r="U156" s="17"/>
      <c r="V156" s="14"/>
      <c r="W156" s="14"/>
      <c r="X156" s="18"/>
      <c r="Y156" s="18"/>
      <c r="Z156" s="18"/>
      <c r="AA156" s="19">
        <f t="shared" si="1"/>
        <v>6</v>
      </c>
    </row>
    <row r="157" ht="31.5" customHeight="1">
      <c r="A157" s="12">
        <v>45093.0</v>
      </c>
      <c r="B157" s="14" t="s">
        <v>84</v>
      </c>
      <c r="C157" s="14" t="s">
        <v>4213</v>
      </c>
      <c r="D157" s="14" t="s">
        <v>4214</v>
      </c>
      <c r="E157" s="14"/>
      <c r="F157" s="14">
        <v>2011.0</v>
      </c>
      <c r="G157" s="14"/>
      <c r="H157" s="14"/>
      <c r="I157" s="590"/>
      <c r="J157" s="223"/>
      <c r="K157" s="14"/>
      <c r="L157" s="14"/>
      <c r="M157" s="223"/>
      <c r="N157" s="14" t="s">
        <v>111</v>
      </c>
      <c r="O157" s="14" t="s">
        <v>158</v>
      </c>
      <c r="P157" s="43" t="s">
        <v>979</v>
      </c>
      <c r="Q157" s="14"/>
      <c r="R157" s="14"/>
      <c r="S157" s="14"/>
      <c r="T157" s="14"/>
      <c r="U157" s="17"/>
      <c r="V157" s="14"/>
      <c r="W157" s="14"/>
      <c r="X157" s="18"/>
      <c r="Y157" s="18"/>
      <c r="Z157" s="18"/>
      <c r="AA157" s="19">
        <f t="shared" si="1"/>
        <v>6</v>
      </c>
    </row>
    <row r="158" ht="31.5" customHeight="1">
      <c r="A158" s="12">
        <v>45093.0</v>
      </c>
      <c r="B158" s="14" t="s">
        <v>84</v>
      </c>
      <c r="C158" s="14" t="s">
        <v>4213</v>
      </c>
      <c r="D158" s="14" t="s">
        <v>4215</v>
      </c>
      <c r="E158" s="14"/>
      <c r="F158" s="14" t="s">
        <v>4216</v>
      </c>
      <c r="G158" s="14" t="s">
        <v>981</v>
      </c>
      <c r="H158" s="14"/>
      <c r="I158" s="590" t="s">
        <v>982</v>
      </c>
      <c r="J158" s="223"/>
      <c r="K158" s="14"/>
      <c r="L158" s="14"/>
      <c r="M158" s="223"/>
      <c r="N158" s="14" t="s">
        <v>111</v>
      </c>
      <c r="O158" s="14" t="s">
        <v>13</v>
      </c>
      <c r="P158" s="14" t="s">
        <v>983</v>
      </c>
      <c r="Q158" s="14"/>
      <c r="R158" s="14"/>
      <c r="S158" s="14" t="s">
        <v>984</v>
      </c>
      <c r="T158" s="14" t="s">
        <v>4197</v>
      </c>
      <c r="U158" s="17">
        <v>45164.0</v>
      </c>
      <c r="V158" s="14"/>
      <c r="W158" s="14"/>
      <c r="X158" s="18"/>
      <c r="Y158" s="18"/>
      <c r="Z158" s="18"/>
      <c r="AA158" s="19">
        <f t="shared" si="1"/>
        <v>6</v>
      </c>
    </row>
    <row r="159" ht="31.5" customHeight="1">
      <c r="A159" s="12">
        <v>45093.0</v>
      </c>
      <c r="B159" s="14" t="s">
        <v>4620</v>
      </c>
      <c r="C159" s="14" t="s">
        <v>985</v>
      </c>
      <c r="D159" s="14" t="s">
        <v>986</v>
      </c>
      <c r="E159" s="14"/>
      <c r="F159" s="14" t="s">
        <v>437</v>
      </c>
      <c r="G159" s="14" t="s">
        <v>987</v>
      </c>
      <c r="H159" s="14"/>
      <c r="I159" s="590" t="s">
        <v>988</v>
      </c>
      <c r="J159" s="223"/>
      <c r="K159" s="14"/>
      <c r="L159" s="14" t="s">
        <v>989</v>
      </c>
      <c r="M159" s="591" t="s">
        <v>5930</v>
      </c>
      <c r="N159" s="14" t="s">
        <v>111</v>
      </c>
      <c r="O159" s="14" t="s">
        <v>34</v>
      </c>
      <c r="P159" s="14" t="s">
        <v>990</v>
      </c>
      <c r="Q159" s="14"/>
      <c r="R159" s="14"/>
      <c r="S159" s="14" t="s">
        <v>991</v>
      </c>
      <c r="T159" s="14" t="s">
        <v>4069</v>
      </c>
      <c r="U159" s="17"/>
      <c r="V159" s="14"/>
      <c r="W159" s="14"/>
      <c r="X159" s="18"/>
      <c r="Y159" s="18"/>
      <c r="Z159" s="18"/>
      <c r="AA159" s="19">
        <f t="shared" si="1"/>
        <v>6</v>
      </c>
    </row>
    <row r="160" ht="31.5" customHeight="1">
      <c r="A160" s="12">
        <v>45093.0</v>
      </c>
      <c r="B160" s="14" t="s">
        <v>201</v>
      </c>
      <c r="C160" s="14" t="s">
        <v>4219</v>
      </c>
      <c r="D160" s="14" t="s">
        <v>999</v>
      </c>
      <c r="E160" s="14"/>
      <c r="F160" s="14" t="s">
        <v>568</v>
      </c>
      <c r="G160" s="14">
        <v>5.0</v>
      </c>
      <c r="H160" s="14"/>
      <c r="I160" s="590" t="s">
        <v>1000</v>
      </c>
      <c r="J160" s="223"/>
      <c r="K160" s="14"/>
      <c r="L160" s="14"/>
      <c r="M160" s="223"/>
      <c r="N160" s="14" t="s">
        <v>111</v>
      </c>
      <c r="O160" s="14" t="s">
        <v>34</v>
      </c>
      <c r="P160" s="14"/>
      <c r="Q160" s="14"/>
      <c r="R160" s="14"/>
      <c r="S160" s="14" t="s">
        <v>1002</v>
      </c>
      <c r="T160" s="14" t="s">
        <v>4085</v>
      </c>
      <c r="U160" s="17"/>
      <c r="V160" s="14"/>
      <c r="W160" s="14"/>
      <c r="X160" s="18"/>
      <c r="Y160" s="18"/>
      <c r="Z160" s="18"/>
      <c r="AA160" s="19">
        <f t="shared" si="1"/>
        <v>6</v>
      </c>
    </row>
    <row r="161" ht="31.5" customHeight="1">
      <c r="A161" s="12">
        <v>45093.0</v>
      </c>
      <c r="B161" s="14" t="s">
        <v>84</v>
      </c>
      <c r="C161" s="14" t="s">
        <v>4220</v>
      </c>
      <c r="D161" s="14" t="s">
        <v>1004</v>
      </c>
      <c r="E161" s="14"/>
      <c r="F161" s="142">
        <v>41279.0</v>
      </c>
      <c r="G161" s="14"/>
      <c r="H161" s="14"/>
      <c r="I161" s="590" t="s">
        <v>1005</v>
      </c>
      <c r="J161" s="223"/>
      <c r="K161" s="14"/>
      <c r="L161" s="14"/>
      <c r="M161" s="223"/>
      <c r="N161" s="14" t="s">
        <v>48</v>
      </c>
      <c r="O161" s="14" t="s">
        <v>34</v>
      </c>
      <c r="P161" s="14" t="s">
        <v>1006</v>
      </c>
      <c r="Q161" s="14"/>
      <c r="R161" s="14"/>
      <c r="S161" s="14" t="s">
        <v>1007</v>
      </c>
      <c r="T161" s="14" t="s">
        <v>4127</v>
      </c>
      <c r="U161" s="22"/>
      <c r="V161" s="14"/>
      <c r="W161" s="14"/>
      <c r="X161" s="18"/>
      <c r="Y161" s="18"/>
      <c r="Z161" s="18"/>
      <c r="AA161" s="19">
        <f t="shared" si="1"/>
        <v>6</v>
      </c>
    </row>
    <row r="162" ht="31.5" customHeight="1">
      <c r="A162" s="12">
        <v>45093.0</v>
      </c>
      <c r="B162" s="14" t="s">
        <v>84</v>
      </c>
      <c r="C162" s="14" t="s">
        <v>4221</v>
      </c>
      <c r="D162" s="14"/>
      <c r="E162" s="14"/>
      <c r="F162" s="14" t="s">
        <v>4222</v>
      </c>
      <c r="G162" s="14"/>
      <c r="H162" s="14"/>
      <c r="I162" s="590" t="s">
        <v>1009</v>
      </c>
      <c r="J162" s="223"/>
      <c r="K162" s="14"/>
      <c r="L162" s="14"/>
      <c r="M162" s="223"/>
      <c r="N162" s="14" t="s">
        <v>111</v>
      </c>
      <c r="O162" s="14" t="s">
        <v>34</v>
      </c>
      <c r="P162" s="14"/>
      <c r="Q162" s="14"/>
      <c r="R162" s="14"/>
      <c r="S162" s="14" t="s">
        <v>1010</v>
      </c>
      <c r="T162" s="14" t="s">
        <v>4069</v>
      </c>
      <c r="U162" s="17"/>
      <c r="V162" s="14"/>
      <c r="W162" s="14"/>
      <c r="X162" s="18"/>
      <c r="Y162" s="18"/>
      <c r="Z162" s="18"/>
      <c r="AA162" s="19">
        <f t="shared" si="1"/>
        <v>6</v>
      </c>
    </row>
    <row r="163" ht="31.5" customHeight="1">
      <c r="A163" s="12">
        <v>45093.0</v>
      </c>
      <c r="B163" s="14" t="s">
        <v>4620</v>
      </c>
      <c r="C163" s="14" t="s">
        <v>4223</v>
      </c>
      <c r="D163" s="14" t="s">
        <v>4224</v>
      </c>
      <c r="E163" s="14" t="s">
        <v>4225</v>
      </c>
      <c r="F163" s="14" t="s">
        <v>568</v>
      </c>
      <c r="G163" s="14"/>
      <c r="H163" s="14"/>
      <c r="I163" s="590" t="s">
        <v>1013</v>
      </c>
      <c r="J163" s="223"/>
      <c r="K163" s="14"/>
      <c r="L163" s="14" t="s">
        <v>1014</v>
      </c>
      <c r="M163" s="223"/>
      <c r="N163" s="14" t="s">
        <v>111</v>
      </c>
      <c r="O163" s="14" t="s">
        <v>34</v>
      </c>
      <c r="P163" s="14" t="s">
        <v>1015</v>
      </c>
      <c r="Q163" s="14"/>
      <c r="R163" s="14"/>
      <c r="S163" s="14" t="s">
        <v>1016</v>
      </c>
      <c r="T163" s="14" t="s">
        <v>4069</v>
      </c>
      <c r="U163" s="17"/>
      <c r="V163" s="14"/>
      <c r="W163" s="14"/>
      <c r="X163" s="18"/>
      <c r="Y163" s="18"/>
      <c r="Z163" s="18"/>
      <c r="AA163" s="19">
        <f t="shared" si="1"/>
        <v>6</v>
      </c>
    </row>
    <row r="164" ht="31.5" customHeight="1">
      <c r="A164" s="12">
        <v>45093.0</v>
      </c>
      <c r="B164" s="14" t="s">
        <v>4620</v>
      </c>
      <c r="C164" s="14" t="s">
        <v>1017</v>
      </c>
      <c r="D164" s="14" t="s">
        <v>4226</v>
      </c>
      <c r="E164" s="14"/>
      <c r="F164" s="14" t="s">
        <v>4125</v>
      </c>
      <c r="G164" s="14"/>
      <c r="H164" s="14"/>
      <c r="I164" s="590" t="s">
        <v>1019</v>
      </c>
      <c r="J164" s="223"/>
      <c r="K164" s="14"/>
      <c r="L164" s="14"/>
      <c r="M164" s="223"/>
      <c r="N164" s="14" t="s">
        <v>111</v>
      </c>
      <c r="O164" s="14" t="s">
        <v>34</v>
      </c>
      <c r="P164" s="14"/>
      <c r="Q164" s="14"/>
      <c r="R164" s="14"/>
      <c r="S164" s="14" t="s">
        <v>1020</v>
      </c>
      <c r="T164" s="14" t="s">
        <v>4069</v>
      </c>
      <c r="U164" s="17"/>
      <c r="V164" s="14"/>
      <c r="W164" s="14"/>
      <c r="X164" s="18"/>
      <c r="Y164" s="18"/>
      <c r="Z164" s="18"/>
      <c r="AA164" s="19">
        <f t="shared" si="1"/>
        <v>6</v>
      </c>
    </row>
    <row r="165" ht="31.5" customHeight="1">
      <c r="A165" s="12">
        <v>45094.0</v>
      </c>
      <c r="B165" s="14" t="s">
        <v>84</v>
      </c>
      <c r="C165" s="14" t="s">
        <v>4228</v>
      </c>
      <c r="D165" s="14" t="s">
        <v>1028</v>
      </c>
      <c r="E165" s="14"/>
      <c r="F165" s="14" t="s">
        <v>4229</v>
      </c>
      <c r="G165" s="14"/>
      <c r="H165" s="14"/>
      <c r="I165" s="590" t="s">
        <v>1029</v>
      </c>
      <c r="J165" s="223"/>
      <c r="K165" s="14"/>
      <c r="L165" s="14"/>
      <c r="M165" s="223"/>
      <c r="N165" s="14" t="s">
        <v>111</v>
      </c>
      <c r="O165" s="14" t="s">
        <v>13</v>
      </c>
      <c r="P165" s="258" t="s">
        <v>1030</v>
      </c>
      <c r="Q165" s="14"/>
      <c r="R165" s="14"/>
      <c r="S165" s="14" t="s">
        <v>1031</v>
      </c>
      <c r="T165" s="14" t="s">
        <v>4069</v>
      </c>
      <c r="U165" s="17"/>
      <c r="V165" s="14"/>
      <c r="W165" s="14"/>
      <c r="X165" s="18"/>
      <c r="Y165" s="18"/>
      <c r="Z165" s="18"/>
      <c r="AA165" s="19">
        <f t="shared" si="1"/>
        <v>6</v>
      </c>
    </row>
    <row r="166" ht="31.5" customHeight="1">
      <c r="A166" s="12">
        <v>45094.0</v>
      </c>
      <c r="B166" s="14" t="s">
        <v>84</v>
      </c>
      <c r="C166" s="14" t="s">
        <v>4230</v>
      </c>
      <c r="D166" s="14" t="s">
        <v>4231</v>
      </c>
      <c r="E166" s="14"/>
      <c r="F166" s="142">
        <v>41865.0</v>
      </c>
      <c r="G166" s="14"/>
      <c r="H166" s="14"/>
      <c r="I166" s="590" t="s">
        <v>1034</v>
      </c>
      <c r="J166" s="223"/>
      <c r="K166" s="14"/>
      <c r="L166" s="14"/>
      <c r="M166" s="223"/>
      <c r="N166" s="14" t="s">
        <v>111</v>
      </c>
      <c r="O166" s="14" t="s">
        <v>34</v>
      </c>
      <c r="P166" s="14"/>
      <c r="Q166" s="14"/>
      <c r="R166" s="14"/>
      <c r="S166" s="14" t="s">
        <v>1035</v>
      </c>
      <c r="T166" s="14" t="s">
        <v>4069</v>
      </c>
      <c r="U166" s="17"/>
      <c r="V166" s="14"/>
      <c r="W166" s="14"/>
      <c r="X166" s="18"/>
      <c r="Y166" s="18"/>
      <c r="Z166" s="18"/>
      <c r="AA166" s="19">
        <f t="shared" si="1"/>
        <v>6</v>
      </c>
    </row>
    <row r="167" ht="31.5" customHeight="1">
      <c r="A167" s="12">
        <v>45094.0</v>
      </c>
      <c r="B167" s="14" t="s">
        <v>4620</v>
      </c>
      <c r="C167" s="14" t="s">
        <v>1041</v>
      </c>
      <c r="D167" s="14" t="s">
        <v>4233</v>
      </c>
      <c r="E167" s="14"/>
      <c r="F167" s="14">
        <v>2011.0</v>
      </c>
      <c r="G167" s="14"/>
      <c r="H167" s="14"/>
      <c r="I167" s="590" t="s">
        <v>1043</v>
      </c>
      <c r="J167" s="223"/>
      <c r="K167" s="14"/>
      <c r="L167" s="14"/>
      <c r="M167" s="223"/>
      <c r="N167" s="14" t="s">
        <v>111</v>
      </c>
      <c r="O167" s="14" t="s">
        <v>34</v>
      </c>
      <c r="P167" s="37" t="s">
        <v>4234</v>
      </c>
      <c r="Q167" s="14"/>
      <c r="R167" s="14"/>
      <c r="S167" s="14" t="s">
        <v>1045</v>
      </c>
      <c r="T167" s="14" t="s">
        <v>4069</v>
      </c>
      <c r="U167" s="41"/>
      <c r="V167" s="14"/>
      <c r="W167" s="14"/>
      <c r="X167" s="18"/>
      <c r="Y167" s="18"/>
      <c r="Z167" s="18"/>
      <c r="AA167" s="19">
        <f t="shared" si="1"/>
        <v>6</v>
      </c>
    </row>
    <row r="168" ht="31.5" customHeight="1">
      <c r="A168" s="12">
        <v>45094.0</v>
      </c>
      <c r="B168" s="14" t="s">
        <v>4620</v>
      </c>
      <c r="C168" s="14" t="s">
        <v>1046</v>
      </c>
      <c r="D168" s="14"/>
      <c r="E168" s="14"/>
      <c r="F168" s="14" t="s">
        <v>4235</v>
      </c>
      <c r="G168" s="14"/>
      <c r="H168" s="14"/>
      <c r="I168" s="590" t="s">
        <v>1047</v>
      </c>
      <c r="J168" s="223"/>
      <c r="K168" s="14"/>
      <c r="L168" s="14" t="s">
        <v>1048</v>
      </c>
      <c r="M168" s="223"/>
      <c r="N168" s="14" t="s">
        <v>111</v>
      </c>
      <c r="O168" s="14" t="s">
        <v>1049</v>
      </c>
      <c r="P168" s="14"/>
      <c r="Q168" s="14"/>
      <c r="R168" s="14"/>
      <c r="S168" s="14" t="s">
        <v>1050</v>
      </c>
      <c r="T168" s="14" t="s">
        <v>4096</v>
      </c>
      <c r="U168" s="17">
        <v>45110.0</v>
      </c>
      <c r="V168" s="14"/>
      <c r="W168" s="14"/>
      <c r="X168" s="18"/>
      <c r="Y168" s="18"/>
      <c r="Z168" s="18"/>
      <c r="AA168" s="19">
        <f t="shared" si="1"/>
        <v>6</v>
      </c>
    </row>
    <row r="169" ht="31.5" customHeight="1">
      <c r="A169" s="12">
        <v>45094.0</v>
      </c>
      <c r="B169" s="14" t="s">
        <v>60</v>
      </c>
      <c r="C169" s="14" t="s">
        <v>1051</v>
      </c>
      <c r="D169" s="14" t="s">
        <v>85</v>
      </c>
      <c r="E169" s="14"/>
      <c r="F169" s="14"/>
      <c r="G169" s="14"/>
      <c r="H169" s="14"/>
      <c r="I169" s="590" t="s">
        <v>1052</v>
      </c>
      <c r="J169" s="223"/>
      <c r="K169" s="14"/>
      <c r="L169" s="14"/>
      <c r="M169" s="223"/>
      <c r="N169" s="14" t="s">
        <v>48</v>
      </c>
      <c r="O169" s="14" t="s">
        <v>158</v>
      </c>
      <c r="P169" s="14"/>
      <c r="Q169" s="14"/>
      <c r="R169" s="14"/>
      <c r="S169" s="14" t="s">
        <v>1053</v>
      </c>
      <c r="T169" s="14"/>
      <c r="U169" s="41"/>
      <c r="V169" s="14"/>
      <c r="W169" s="14"/>
      <c r="X169" s="18"/>
      <c r="Y169" s="18"/>
      <c r="Z169" s="18"/>
      <c r="AA169" s="19">
        <f t="shared" si="1"/>
        <v>6</v>
      </c>
    </row>
    <row r="170" ht="31.5" customHeight="1">
      <c r="A170" s="12">
        <v>45094.0</v>
      </c>
      <c r="B170" s="14" t="s">
        <v>4620</v>
      </c>
      <c r="C170" s="14" t="s">
        <v>1059</v>
      </c>
      <c r="D170" s="14" t="s">
        <v>1060</v>
      </c>
      <c r="E170" s="14"/>
      <c r="F170" s="14" t="s">
        <v>419</v>
      </c>
      <c r="G170" s="14"/>
      <c r="H170" s="14"/>
      <c r="I170" s="590" t="s">
        <v>1061</v>
      </c>
      <c r="J170" s="223"/>
      <c r="K170" s="14"/>
      <c r="L170" s="14" t="s">
        <v>1062</v>
      </c>
      <c r="M170" s="223"/>
      <c r="N170" s="14" t="s">
        <v>111</v>
      </c>
      <c r="O170" s="14" t="s">
        <v>34</v>
      </c>
      <c r="P170" s="14"/>
      <c r="Q170" s="14"/>
      <c r="R170" s="14"/>
      <c r="S170" s="14" t="s">
        <v>1063</v>
      </c>
      <c r="T170" s="14" t="s">
        <v>4197</v>
      </c>
      <c r="U170" s="17"/>
      <c r="V170" s="14"/>
      <c r="W170" s="14"/>
      <c r="X170" s="18"/>
      <c r="Y170" s="18"/>
      <c r="Z170" s="18"/>
      <c r="AA170" s="19">
        <f t="shared" si="1"/>
        <v>6</v>
      </c>
    </row>
    <row r="171" ht="31.5" customHeight="1">
      <c r="A171" s="12">
        <v>45095.0</v>
      </c>
      <c r="B171" s="14" t="s">
        <v>4620</v>
      </c>
      <c r="C171" s="15" t="s">
        <v>1064</v>
      </c>
      <c r="D171" s="15" t="s">
        <v>1065</v>
      </c>
      <c r="E171" s="15"/>
      <c r="F171" s="15"/>
      <c r="G171" s="15" t="s">
        <v>176</v>
      </c>
      <c r="H171" s="15"/>
      <c r="I171" s="596" t="s">
        <v>1066</v>
      </c>
      <c r="J171" s="223"/>
      <c r="K171" s="14"/>
      <c r="L171" s="14" t="s">
        <v>1067</v>
      </c>
      <c r="M171" s="223"/>
      <c r="N171" s="14" t="s">
        <v>111</v>
      </c>
      <c r="O171" s="14" t="s">
        <v>13</v>
      </c>
      <c r="P171" s="14" t="s">
        <v>1068</v>
      </c>
      <c r="Q171" s="14"/>
      <c r="R171" s="14"/>
      <c r="S171" s="14" t="s">
        <v>1069</v>
      </c>
      <c r="T171" s="14" t="s">
        <v>4197</v>
      </c>
      <c r="U171" s="17">
        <v>45120.0</v>
      </c>
      <c r="V171" s="14"/>
      <c r="W171" s="14"/>
      <c r="X171" s="18"/>
      <c r="Y171" s="18"/>
      <c r="Z171" s="18"/>
      <c r="AA171" s="19">
        <f t="shared" si="1"/>
        <v>6</v>
      </c>
    </row>
    <row r="172" ht="31.5" customHeight="1">
      <c r="A172" s="12">
        <v>45095.0</v>
      </c>
      <c r="B172" s="14" t="s">
        <v>4620</v>
      </c>
      <c r="C172" s="15" t="s">
        <v>1070</v>
      </c>
      <c r="D172" s="15" t="s">
        <v>1071</v>
      </c>
      <c r="E172" s="15"/>
      <c r="F172" s="15" t="s">
        <v>4236</v>
      </c>
      <c r="G172" s="15" t="s">
        <v>1073</v>
      </c>
      <c r="H172" s="15"/>
      <c r="I172" s="596" t="s">
        <v>1074</v>
      </c>
      <c r="J172" s="223"/>
      <c r="K172" s="14"/>
      <c r="L172" s="14" t="s">
        <v>1075</v>
      </c>
      <c r="M172" s="223"/>
      <c r="N172" s="14" t="s">
        <v>111</v>
      </c>
      <c r="O172" s="14" t="s">
        <v>565</v>
      </c>
      <c r="P172" s="14"/>
      <c r="Q172" s="14"/>
      <c r="R172" s="14"/>
      <c r="S172" s="14" t="s">
        <v>1076</v>
      </c>
      <c r="T172" s="14" t="s">
        <v>4096</v>
      </c>
      <c r="U172" s="17">
        <v>45110.0</v>
      </c>
      <c r="V172" s="14"/>
      <c r="W172" s="14"/>
      <c r="X172" s="18"/>
      <c r="Y172" s="18"/>
      <c r="Z172" s="18"/>
      <c r="AA172" s="19">
        <f t="shared" si="1"/>
        <v>6</v>
      </c>
    </row>
    <row r="173" ht="31.5" customHeight="1">
      <c r="A173" s="12">
        <v>45095.0</v>
      </c>
      <c r="B173" s="14" t="s">
        <v>4620</v>
      </c>
      <c r="C173" s="14"/>
      <c r="D173" s="14" t="s">
        <v>1077</v>
      </c>
      <c r="E173" s="14"/>
      <c r="F173" s="14"/>
      <c r="G173" s="14"/>
      <c r="H173" s="14"/>
      <c r="I173" s="590" t="s">
        <v>1078</v>
      </c>
      <c r="J173" s="223"/>
      <c r="K173" s="14"/>
      <c r="L173" s="14"/>
      <c r="M173" s="223"/>
      <c r="N173" s="14" t="s">
        <v>111</v>
      </c>
      <c r="O173" s="14" t="s">
        <v>216</v>
      </c>
      <c r="P173" s="14"/>
      <c r="Q173" s="14"/>
      <c r="R173" s="14"/>
      <c r="S173" s="14" t="s">
        <v>1079</v>
      </c>
      <c r="T173" s="14" t="s">
        <v>4096</v>
      </c>
      <c r="U173" s="17">
        <v>45103.0</v>
      </c>
      <c r="V173" s="14"/>
      <c r="W173" s="14"/>
      <c r="X173" s="18"/>
      <c r="Y173" s="18"/>
      <c r="Z173" s="18"/>
      <c r="AA173" s="19">
        <f t="shared" si="1"/>
        <v>6</v>
      </c>
    </row>
    <row r="174" ht="31.5" customHeight="1">
      <c r="A174" s="12">
        <v>45095.0</v>
      </c>
      <c r="B174" s="14" t="s">
        <v>84</v>
      </c>
      <c r="C174" s="14" t="s">
        <v>4237</v>
      </c>
      <c r="D174" s="14" t="s">
        <v>1081</v>
      </c>
      <c r="E174" s="14"/>
      <c r="F174" s="142">
        <v>43341.0</v>
      </c>
      <c r="G174" s="14"/>
      <c r="H174" s="14"/>
      <c r="I174" s="590" t="s">
        <v>1082</v>
      </c>
      <c r="J174" s="223"/>
      <c r="K174" s="14"/>
      <c r="L174" s="14" t="s">
        <v>1083</v>
      </c>
      <c r="M174" s="223"/>
      <c r="N174" s="14" t="s">
        <v>111</v>
      </c>
      <c r="O174" s="14" t="s">
        <v>34</v>
      </c>
      <c r="P174" s="14" t="s">
        <v>1084</v>
      </c>
      <c r="Q174" s="14"/>
      <c r="R174" s="14"/>
      <c r="S174" s="14" t="s">
        <v>1085</v>
      </c>
      <c r="T174" s="14" t="s">
        <v>4069</v>
      </c>
      <c r="U174" s="17"/>
      <c r="V174" s="14"/>
      <c r="W174" s="14"/>
      <c r="X174" s="18"/>
      <c r="Y174" s="18"/>
      <c r="Z174" s="18"/>
      <c r="AA174" s="19">
        <f t="shared" si="1"/>
        <v>6</v>
      </c>
    </row>
    <row r="175" ht="31.5" customHeight="1">
      <c r="A175" s="12">
        <v>45096.0</v>
      </c>
      <c r="B175" s="14" t="s">
        <v>4620</v>
      </c>
      <c r="C175" s="14" t="s">
        <v>1086</v>
      </c>
      <c r="D175" s="14" t="s">
        <v>1087</v>
      </c>
      <c r="E175" s="14"/>
      <c r="F175" s="14">
        <v>2016.0</v>
      </c>
      <c r="G175" s="14"/>
      <c r="H175" s="14"/>
      <c r="I175" s="590" t="s">
        <v>1088</v>
      </c>
      <c r="J175" s="223"/>
      <c r="K175" s="14">
        <v>9.88434904E8</v>
      </c>
      <c r="L175" s="14" t="s">
        <v>1089</v>
      </c>
      <c r="M175" s="223"/>
      <c r="N175" s="14" t="s">
        <v>111</v>
      </c>
      <c r="O175" s="14" t="s">
        <v>34</v>
      </c>
      <c r="P175" s="14"/>
      <c r="Q175" s="14"/>
      <c r="R175" s="14"/>
      <c r="S175" s="14" t="s">
        <v>1090</v>
      </c>
      <c r="T175" s="14" t="s">
        <v>4069</v>
      </c>
      <c r="U175" s="17"/>
      <c r="V175" s="14"/>
      <c r="W175" s="14"/>
      <c r="X175" s="18"/>
      <c r="Y175" s="18"/>
      <c r="Z175" s="18"/>
      <c r="AA175" s="19">
        <f t="shared" si="1"/>
        <v>6</v>
      </c>
    </row>
    <row r="176" ht="31.5" customHeight="1">
      <c r="A176" s="12">
        <v>45096.0</v>
      </c>
      <c r="B176" s="14" t="s">
        <v>201</v>
      </c>
      <c r="C176" s="14" t="s">
        <v>4239</v>
      </c>
      <c r="D176" s="14"/>
      <c r="E176" s="14"/>
      <c r="F176" s="14"/>
      <c r="G176" s="14"/>
      <c r="H176" s="14"/>
      <c r="I176" s="590" t="s">
        <v>1098</v>
      </c>
      <c r="J176" s="223"/>
      <c r="K176" s="14"/>
      <c r="L176" s="14"/>
      <c r="M176" s="223"/>
      <c r="N176" s="14" t="s">
        <v>111</v>
      </c>
      <c r="O176" s="14" t="s">
        <v>565</v>
      </c>
      <c r="P176" s="14"/>
      <c r="Q176" s="14"/>
      <c r="R176" s="14"/>
      <c r="S176" s="14" t="s">
        <v>1100</v>
      </c>
      <c r="T176" s="14" t="s">
        <v>4240</v>
      </c>
      <c r="U176" s="17">
        <v>45110.0</v>
      </c>
      <c r="V176" s="14"/>
      <c r="W176" s="14"/>
      <c r="X176" s="18"/>
      <c r="Y176" s="18"/>
      <c r="Z176" s="18"/>
      <c r="AA176" s="19">
        <f t="shared" si="1"/>
        <v>6</v>
      </c>
    </row>
    <row r="177" ht="31.5" customHeight="1">
      <c r="A177" s="12">
        <v>45092.0</v>
      </c>
      <c r="B177" s="14" t="s">
        <v>84</v>
      </c>
      <c r="C177" s="14" t="s">
        <v>1107</v>
      </c>
      <c r="D177" s="14" t="s">
        <v>1108</v>
      </c>
      <c r="E177" s="14"/>
      <c r="F177" s="142">
        <v>41798.0</v>
      </c>
      <c r="G177" s="14"/>
      <c r="H177" s="14"/>
      <c r="I177" s="590" t="s">
        <v>1109</v>
      </c>
      <c r="J177" s="223"/>
      <c r="K177" s="14"/>
      <c r="L177" s="14" t="s">
        <v>1110</v>
      </c>
      <c r="M177" s="223"/>
      <c r="N177" s="14" t="s">
        <v>111</v>
      </c>
      <c r="O177" s="14" t="s">
        <v>13</v>
      </c>
      <c r="P177" s="14" t="s">
        <v>1111</v>
      </c>
      <c r="Q177" s="14"/>
      <c r="R177" s="14"/>
      <c r="S177" s="14" t="s">
        <v>1112</v>
      </c>
      <c r="T177" s="14" t="s">
        <v>4197</v>
      </c>
      <c r="U177" s="17">
        <v>45110.0</v>
      </c>
      <c r="V177" s="14"/>
      <c r="W177" s="14"/>
      <c r="X177" s="18"/>
      <c r="Y177" s="18"/>
      <c r="Z177" s="18"/>
      <c r="AA177" s="19">
        <f t="shared" si="1"/>
        <v>6</v>
      </c>
    </row>
    <row r="178" ht="31.5" customHeight="1">
      <c r="A178" s="12">
        <v>45089.0</v>
      </c>
      <c r="B178" s="14" t="s">
        <v>4620</v>
      </c>
      <c r="C178" s="14" t="s">
        <v>1113</v>
      </c>
      <c r="D178" s="14"/>
      <c r="E178" s="14"/>
      <c r="F178" s="14"/>
      <c r="G178" s="14"/>
      <c r="H178" s="14"/>
      <c r="I178" s="590" t="s">
        <v>1114</v>
      </c>
      <c r="J178" s="223"/>
      <c r="K178" s="14"/>
      <c r="L178" s="128" t="s">
        <v>1115</v>
      </c>
      <c r="M178" s="591" t="s">
        <v>5931</v>
      </c>
      <c r="N178" s="14" t="s">
        <v>111</v>
      </c>
      <c r="O178" s="14" t="s">
        <v>34</v>
      </c>
      <c r="P178" s="14"/>
      <c r="Q178" s="14"/>
      <c r="R178" s="14"/>
      <c r="S178" s="14" t="s">
        <v>1116</v>
      </c>
      <c r="T178" s="14" t="s">
        <v>4243</v>
      </c>
      <c r="U178" s="17"/>
      <c r="V178" s="14"/>
      <c r="W178" s="14"/>
      <c r="X178" s="18"/>
      <c r="Y178" s="18"/>
      <c r="Z178" s="18"/>
      <c r="AA178" s="19">
        <f t="shared" si="1"/>
        <v>6</v>
      </c>
    </row>
    <row r="179" ht="31.5" customHeight="1">
      <c r="A179" s="12">
        <v>45096.0</v>
      </c>
      <c r="B179" s="14" t="s">
        <v>201</v>
      </c>
      <c r="C179" s="14" t="s">
        <v>4244</v>
      </c>
      <c r="D179" s="14" t="s">
        <v>1118</v>
      </c>
      <c r="E179" s="14"/>
      <c r="F179" s="142">
        <v>40909.0</v>
      </c>
      <c r="G179" s="14">
        <v>6.0</v>
      </c>
      <c r="H179" s="14"/>
      <c r="I179" s="590" t="s">
        <v>1119</v>
      </c>
      <c r="J179" s="223"/>
      <c r="K179" s="14"/>
      <c r="L179" s="14"/>
      <c r="M179" s="223"/>
      <c r="N179" s="14" t="s">
        <v>111</v>
      </c>
      <c r="O179" s="14" t="s">
        <v>13</v>
      </c>
      <c r="P179" s="14" t="s">
        <v>1121</v>
      </c>
      <c r="Q179" s="14"/>
      <c r="R179" s="14"/>
      <c r="S179" s="277" t="s">
        <v>5932</v>
      </c>
      <c r="T179" s="14" t="s">
        <v>4197</v>
      </c>
      <c r="U179" s="17">
        <v>45127.0</v>
      </c>
      <c r="V179" s="14"/>
      <c r="W179" s="14"/>
      <c r="X179" s="18"/>
      <c r="Y179" s="18"/>
      <c r="Z179" s="18"/>
      <c r="AA179" s="19">
        <f t="shared" si="1"/>
        <v>6</v>
      </c>
    </row>
    <row r="180" ht="31.5" customHeight="1">
      <c r="A180" s="12">
        <v>45096.0</v>
      </c>
      <c r="B180" s="14" t="s">
        <v>201</v>
      </c>
      <c r="C180" s="14" t="s">
        <v>4244</v>
      </c>
      <c r="D180" s="630" t="s">
        <v>1123</v>
      </c>
      <c r="E180" s="14"/>
      <c r="F180" s="631">
        <v>42621.0</v>
      </c>
      <c r="G180" s="14"/>
      <c r="H180" s="14"/>
      <c r="I180" s="590"/>
      <c r="J180" s="223"/>
      <c r="K180" s="14"/>
      <c r="L180" s="14"/>
      <c r="M180" s="223"/>
      <c r="N180" s="14" t="s">
        <v>111</v>
      </c>
      <c r="O180" s="14" t="s">
        <v>13</v>
      </c>
      <c r="P180" s="14" t="s">
        <v>1125</v>
      </c>
      <c r="Q180" s="14"/>
      <c r="R180" s="14"/>
      <c r="S180" s="14" t="s">
        <v>1126</v>
      </c>
      <c r="T180" s="14" t="s">
        <v>4246</v>
      </c>
      <c r="U180" s="17">
        <v>45127.0</v>
      </c>
      <c r="V180" s="14"/>
      <c r="W180" s="14"/>
      <c r="X180" s="18"/>
      <c r="Y180" s="18"/>
      <c r="Z180" s="18"/>
      <c r="AA180" s="19">
        <f t="shared" si="1"/>
        <v>6</v>
      </c>
    </row>
    <row r="181" ht="31.5" customHeight="1">
      <c r="A181" s="12">
        <v>45096.0</v>
      </c>
      <c r="B181" s="14" t="s">
        <v>340</v>
      </c>
      <c r="C181" s="14" t="s">
        <v>1127</v>
      </c>
      <c r="D181" s="14" t="s">
        <v>1128</v>
      </c>
      <c r="E181" s="14"/>
      <c r="F181" s="14">
        <v>2012.0</v>
      </c>
      <c r="G181" s="14">
        <v>6.0</v>
      </c>
      <c r="H181" s="14" t="s">
        <v>64</v>
      </c>
      <c r="I181" s="590" t="s">
        <v>1129</v>
      </c>
      <c r="J181" s="223"/>
      <c r="K181" s="14"/>
      <c r="L181" s="14" t="s">
        <v>1130</v>
      </c>
      <c r="M181" s="223"/>
      <c r="N181" s="14" t="s">
        <v>412</v>
      </c>
      <c r="O181" s="14" t="s">
        <v>1131</v>
      </c>
      <c r="P181" s="14" t="s">
        <v>476</v>
      </c>
      <c r="Q181" s="14"/>
      <c r="R181" s="14"/>
      <c r="S181" s="14" t="s">
        <v>1132</v>
      </c>
      <c r="T181" s="14"/>
      <c r="U181" s="17">
        <v>45107.0</v>
      </c>
      <c r="V181" s="14"/>
      <c r="W181" s="14"/>
      <c r="X181" s="18"/>
      <c r="Y181" s="18"/>
      <c r="Z181" s="18"/>
      <c r="AA181" s="19">
        <f t="shared" si="1"/>
        <v>6</v>
      </c>
    </row>
    <row r="182" ht="31.5" customHeight="1">
      <c r="A182" s="12">
        <v>45096.0</v>
      </c>
      <c r="B182" s="14" t="s">
        <v>84</v>
      </c>
      <c r="C182" s="14" t="s">
        <v>4247</v>
      </c>
      <c r="D182" s="14"/>
      <c r="E182" s="14"/>
      <c r="F182" s="14"/>
      <c r="G182" s="14"/>
      <c r="H182" s="14"/>
      <c r="I182" s="590" t="s">
        <v>1134</v>
      </c>
      <c r="J182" s="223"/>
      <c r="K182" s="14"/>
      <c r="L182" s="130" t="s">
        <v>1135</v>
      </c>
      <c r="M182" s="223"/>
      <c r="N182" s="14" t="s">
        <v>48</v>
      </c>
      <c r="O182" s="14" t="s">
        <v>158</v>
      </c>
      <c r="P182" s="14"/>
      <c r="Q182" s="14"/>
      <c r="R182" s="14"/>
      <c r="S182" s="14" t="s">
        <v>1136</v>
      </c>
      <c r="T182" s="14"/>
      <c r="U182" s="17"/>
      <c r="V182" s="14"/>
      <c r="W182" s="14"/>
      <c r="X182" s="18"/>
      <c r="Y182" s="18"/>
      <c r="Z182" s="18"/>
      <c r="AA182" s="19">
        <f t="shared" si="1"/>
        <v>6</v>
      </c>
    </row>
    <row r="183" ht="31.5" customHeight="1">
      <c r="A183" s="12">
        <v>45094.0</v>
      </c>
      <c r="B183" s="14" t="s">
        <v>201</v>
      </c>
      <c r="C183" s="14" t="s">
        <v>1153</v>
      </c>
      <c r="D183" s="14" t="s">
        <v>1154</v>
      </c>
      <c r="E183" s="14"/>
      <c r="F183" s="14" t="s">
        <v>87</v>
      </c>
      <c r="G183" s="14">
        <v>7.0</v>
      </c>
      <c r="H183" s="14"/>
      <c r="I183" s="590" t="s">
        <v>1155</v>
      </c>
      <c r="J183" s="223"/>
      <c r="K183" s="14"/>
      <c r="L183" s="14"/>
      <c r="M183" s="223"/>
      <c r="N183" s="14" t="s">
        <v>111</v>
      </c>
      <c r="O183" s="14" t="s">
        <v>34</v>
      </c>
      <c r="P183" s="14" t="s">
        <v>1156</v>
      </c>
      <c r="Q183" s="14"/>
      <c r="R183" s="14"/>
      <c r="S183" s="14" t="s">
        <v>1157</v>
      </c>
      <c r="T183" s="14" t="s">
        <v>4069</v>
      </c>
      <c r="U183" s="17"/>
      <c r="V183" s="14"/>
      <c r="W183" s="14"/>
      <c r="X183" s="18"/>
      <c r="Y183" s="18"/>
      <c r="Z183" s="18"/>
      <c r="AA183" s="19">
        <f t="shared" si="1"/>
        <v>6</v>
      </c>
    </row>
    <row r="184" ht="31.5" customHeight="1">
      <c r="A184" s="12">
        <v>45093.0</v>
      </c>
      <c r="B184" s="14" t="s">
        <v>84</v>
      </c>
      <c r="C184" s="14" t="s">
        <v>4254</v>
      </c>
      <c r="D184" s="14" t="s">
        <v>1159</v>
      </c>
      <c r="E184" s="14"/>
      <c r="F184" s="14">
        <v>2015.0</v>
      </c>
      <c r="G184" s="14">
        <v>3.0</v>
      </c>
      <c r="H184" s="14"/>
      <c r="I184" s="590" t="s">
        <v>1160</v>
      </c>
      <c r="J184" s="223"/>
      <c r="K184" s="14"/>
      <c r="L184" s="14"/>
      <c r="M184" s="223"/>
      <c r="N184" s="14" t="s">
        <v>111</v>
      </c>
      <c r="O184" s="14" t="s">
        <v>34</v>
      </c>
      <c r="P184" s="14" t="s">
        <v>4255</v>
      </c>
      <c r="Q184" s="14"/>
      <c r="R184" s="14"/>
      <c r="S184" s="14" t="s">
        <v>1162</v>
      </c>
      <c r="T184" s="14" t="s">
        <v>4069</v>
      </c>
      <c r="U184" s="17"/>
      <c r="V184" s="14"/>
      <c r="W184" s="14"/>
      <c r="X184" s="18"/>
      <c r="Y184" s="18"/>
      <c r="Z184" s="18"/>
      <c r="AA184" s="19">
        <f t="shared" si="1"/>
        <v>6</v>
      </c>
    </row>
    <row r="185" ht="31.5" customHeight="1">
      <c r="A185" s="12">
        <v>45097.0</v>
      </c>
      <c r="B185" s="14" t="s">
        <v>73</v>
      </c>
      <c r="C185" s="14" t="s">
        <v>1163</v>
      </c>
      <c r="D185" s="14" t="s">
        <v>1164</v>
      </c>
      <c r="E185" s="14"/>
      <c r="F185" s="14" t="s">
        <v>425</v>
      </c>
      <c r="G185" s="14">
        <v>4.0</v>
      </c>
      <c r="H185" s="14"/>
      <c r="I185" s="590" t="s">
        <v>1165</v>
      </c>
      <c r="J185" s="223"/>
      <c r="K185" s="14"/>
      <c r="L185" s="14"/>
      <c r="M185" s="223"/>
      <c r="N185" s="14" t="s">
        <v>48</v>
      </c>
      <c r="O185" s="14" t="s">
        <v>34</v>
      </c>
      <c r="P185" s="14"/>
      <c r="Q185" s="14"/>
      <c r="R185" s="14"/>
      <c r="S185" s="14" t="s">
        <v>1166</v>
      </c>
      <c r="T185" s="14" t="s">
        <v>36</v>
      </c>
      <c r="U185" s="17"/>
      <c r="V185" s="14"/>
      <c r="W185" s="14"/>
      <c r="X185" s="18"/>
      <c r="Y185" s="18"/>
      <c r="Z185" s="18"/>
      <c r="AA185" s="19">
        <f t="shared" si="1"/>
        <v>6</v>
      </c>
    </row>
    <row r="186" ht="31.5" customHeight="1">
      <c r="A186" s="12">
        <v>45097.0</v>
      </c>
      <c r="B186" s="14" t="s">
        <v>4620</v>
      </c>
      <c r="C186" s="14" t="s">
        <v>1167</v>
      </c>
      <c r="D186" s="14" t="s">
        <v>1168</v>
      </c>
      <c r="E186" s="14"/>
      <c r="F186" s="14"/>
      <c r="G186" s="14">
        <v>2.0</v>
      </c>
      <c r="H186" s="14"/>
      <c r="I186" s="590" t="s">
        <v>1169</v>
      </c>
      <c r="J186" s="223"/>
      <c r="K186" s="14"/>
      <c r="L186" s="14"/>
      <c r="M186" s="223"/>
      <c r="N186" s="14" t="s">
        <v>48</v>
      </c>
      <c r="O186" s="14" t="s">
        <v>34</v>
      </c>
      <c r="P186" s="14" t="s">
        <v>1170</v>
      </c>
      <c r="Q186" s="14"/>
      <c r="R186" s="14"/>
      <c r="S186" s="14" t="s">
        <v>1171</v>
      </c>
      <c r="T186" s="14" t="s">
        <v>36</v>
      </c>
      <c r="U186" s="17"/>
      <c r="V186" s="14"/>
      <c r="W186" s="14"/>
      <c r="X186" s="18"/>
      <c r="Y186" s="18"/>
      <c r="Z186" s="18"/>
      <c r="AA186" s="19">
        <f t="shared" si="1"/>
        <v>6</v>
      </c>
    </row>
    <row r="187" ht="31.5" customHeight="1">
      <c r="A187" s="12">
        <v>45097.0</v>
      </c>
      <c r="B187" s="14" t="s">
        <v>4620</v>
      </c>
      <c r="C187" s="14" t="s">
        <v>1172</v>
      </c>
      <c r="D187" s="14" t="s">
        <v>1173</v>
      </c>
      <c r="E187" s="14"/>
      <c r="F187" s="280">
        <v>41649.0</v>
      </c>
      <c r="G187" s="14">
        <v>4.0</v>
      </c>
      <c r="H187" s="14"/>
      <c r="I187" s="590" t="s">
        <v>1174</v>
      </c>
      <c r="J187" s="223"/>
      <c r="K187" s="14"/>
      <c r="L187" s="14"/>
      <c r="M187" s="223"/>
      <c r="N187" s="14" t="s">
        <v>48</v>
      </c>
      <c r="O187" s="14" t="s">
        <v>1049</v>
      </c>
      <c r="P187" s="14" t="s">
        <v>1175</v>
      </c>
      <c r="Q187" s="14"/>
      <c r="R187" s="14"/>
      <c r="S187" s="14" t="s">
        <v>1176</v>
      </c>
      <c r="T187" s="14" t="s">
        <v>4256</v>
      </c>
      <c r="U187" s="17"/>
      <c r="V187" s="14"/>
      <c r="W187" s="14"/>
      <c r="X187" s="18"/>
      <c r="Y187" s="18"/>
      <c r="Z187" s="18"/>
      <c r="AA187" s="19">
        <f t="shared" si="1"/>
        <v>6</v>
      </c>
    </row>
    <row r="188" ht="31.5" customHeight="1">
      <c r="A188" s="12">
        <v>45097.0</v>
      </c>
      <c r="B188" s="14" t="s">
        <v>4620</v>
      </c>
      <c r="C188" s="14" t="s">
        <v>1177</v>
      </c>
      <c r="D188" s="14"/>
      <c r="E188" s="14"/>
      <c r="F188" s="14"/>
      <c r="G188" s="14"/>
      <c r="H188" s="14"/>
      <c r="I188" s="590" t="s">
        <v>1178</v>
      </c>
      <c r="J188" s="223"/>
      <c r="K188" s="14"/>
      <c r="L188" s="14" t="s">
        <v>5933</v>
      </c>
      <c r="M188" s="223"/>
      <c r="N188" s="14" t="s">
        <v>48</v>
      </c>
      <c r="O188" s="14" t="s">
        <v>565</v>
      </c>
      <c r="P188" s="14"/>
      <c r="Q188" s="14"/>
      <c r="R188" s="14"/>
      <c r="S188" s="62" t="s">
        <v>1180</v>
      </c>
      <c r="T188" s="14" t="s">
        <v>4257</v>
      </c>
      <c r="U188" s="17"/>
      <c r="V188" s="14"/>
      <c r="W188" s="14"/>
      <c r="X188" s="18"/>
      <c r="Y188" s="18"/>
      <c r="Z188" s="18"/>
      <c r="AA188" s="19">
        <f t="shared" si="1"/>
        <v>6</v>
      </c>
    </row>
    <row r="189" ht="31.5" customHeight="1">
      <c r="A189" s="12">
        <v>45097.0</v>
      </c>
      <c r="B189" s="14" t="s">
        <v>4620</v>
      </c>
      <c r="C189" s="14" t="s">
        <v>1181</v>
      </c>
      <c r="D189" s="14" t="s">
        <v>1182</v>
      </c>
      <c r="E189" s="14"/>
      <c r="F189" s="14"/>
      <c r="G189" s="14">
        <v>7.0</v>
      </c>
      <c r="H189" s="14"/>
      <c r="I189" s="590" t="s">
        <v>1183</v>
      </c>
      <c r="J189" s="223"/>
      <c r="K189" s="14"/>
      <c r="L189" s="14" t="s">
        <v>1184</v>
      </c>
      <c r="M189" s="223"/>
      <c r="N189" s="14" t="s">
        <v>48</v>
      </c>
      <c r="O189" s="14" t="s">
        <v>13</v>
      </c>
      <c r="P189" s="14" t="s">
        <v>1185</v>
      </c>
      <c r="Q189" s="14"/>
      <c r="R189" s="14"/>
      <c r="S189" s="14" t="s">
        <v>1186</v>
      </c>
      <c r="T189" s="14" t="s">
        <v>36</v>
      </c>
      <c r="U189" s="22"/>
      <c r="V189" s="14"/>
      <c r="W189" s="14"/>
      <c r="X189" s="18"/>
      <c r="Y189" s="18"/>
      <c r="Z189" s="18"/>
      <c r="AA189" s="19">
        <f t="shared" si="1"/>
        <v>6</v>
      </c>
    </row>
    <row r="190" ht="31.5" customHeight="1">
      <c r="A190" s="12">
        <v>45098.0</v>
      </c>
      <c r="B190" s="14" t="s">
        <v>4620</v>
      </c>
      <c r="C190" s="14"/>
      <c r="D190" s="14" t="s">
        <v>1193</v>
      </c>
      <c r="E190" s="14"/>
      <c r="F190" s="14" t="s">
        <v>4259</v>
      </c>
      <c r="G190" s="14"/>
      <c r="H190" s="14"/>
      <c r="I190" s="590" t="s">
        <v>1194</v>
      </c>
      <c r="J190" s="223"/>
      <c r="K190" s="14"/>
      <c r="L190" s="14" t="s">
        <v>4260</v>
      </c>
      <c r="M190" s="223"/>
      <c r="N190" s="14" t="s">
        <v>48</v>
      </c>
      <c r="O190" s="14" t="s">
        <v>158</v>
      </c>
      <c r="P190" s="14" t="s">
        <v>4261</v>
      </c>
      <c r="Q190" s="14"/>
      <c r="R190" s="14"/>
      <c r="S190" s="14" t="s">
        <v>1197</v>
      </c>
      <c r="T190" s="14" t="s">
        <v>4262</v>
      </c>
      <c r="U190" s="17"/>
      <c r="V190" s="14"/>
      <c r="W190" s="14"/>
      <c r="X190" s="18"/>
      <c r="Y190" s="18"/>
      <c r="Z190" s="18"/>
      <c r="AA190" s="19">
        <f t="shared" si="1"/>
        <v>6</v>
      </c>
    </row>
    <row r="191" ht="31.5" customHeight="1">
      <c r="A191" s="12">
        <v>45098.0</v>
      </c>
      <c r="B191" s="14" t="s">
        <v>4620</v>
      </c>
      <c r="C191" s="14" t="s">
        <v>1198</v>
      </c>
      <c r="D191" s="14" t="s">
        <v>1199</v>
      </c>
      <c r="E191" s="14"/>
      <c r="F191" s="14">
        <v>2017.0</v>
      </c>
      <c r="G191" s="14"/>
      <c r="H191" s="14"/>
      <c r="I191" s="590" t="s">
        <v>1200</v>
      </c>
      <c r="J191" s="223"/>
      <c r="K191" s="14"/>
      <c r="L191" s="14" t="s">
        <v>1201</v>
      </c>
      <c r="M191" s="223"/>
      <c r="N191" s="14" t="s">
        <v>111</v>
      </c>
      <c r="O191" s="14" t="s">
        <v>333</v>
      </c>
      <c r="P191" s="14"/>
      <c r="Q191" s="14"/>
      <c r="R191" s="14"/>
      <c r="S191" s="14" t="s">
        <v>1202</v>
      </c>
      <c r="T191" s="14" t="s">
        <v>4197</v>
      </c>
      <c r="U191" s="17">
        <v>45110.0</v>
      </c>
      <c r="V191" s="14"/>
      <c r="W191" s="14"/>
      <c r="X191" s="18"/>
      <c r="Y191" s="18"/>
      <c r="Z191" s="18"/>
      <c r="AA191" s="19">
        <f t="shared" si="1"/>
        <v>6</v>
      </c>
    </row>
    <row r="192" ht="31.5" customHeight="1">
      <c r="A192" s="12">
        <v>45098.0</v>
      </c>
      <c r="B192" s="14" t="s">
        <v>4620</v>
      </c>
      <c r="C192" s="14" t="s">
        <v>1203</v>
      </c>
      <c r="D192" s="14"/>
      <c r="E192" s="14"/>
      <c r="F192" s="14"/>
      <c r="G192" s="14"/>
      <c r="H192" s="14"/>
      <c r="I192" s="590" t="s">
        <v>1204</v>
      </c>
      <c r="J192" s="223"/>
      <c r="K192" s="14"/>
      <c r="L192" s="14"/>
      <c r="M192" s="223"/>
      <c r="N192" s="14" t="s">
        <v>48</v>
      </c>
      <c r="O192" s="14" t="s">
        <v>1049</v>
      </c>
      <c r="P192" s="14"/>
      <c r="Q192" s="14"/>
      <c r="R192" s="14"/>
      <c r="S192" s="14" t="s">
        <v>1205</v>
      </c>
      <c r="T192" s="14" t="s">
        <v>4263</v>
      </c>
      <c r="U192" s="17">
        <v>45127.0</v>
      </c>
      <c r="V192" s="14"/>
      <c r="W192" s="14"/>
      <c r="X192" s="18"/>
      <c r="Y192" s="18"/>
      <c r="Z192" s="18"/>
      <c r="AA192" s="19">
        <f t="shared" si="1"/>
        <v>6</v>
      </c>
    </row>
    <row r="193" ht="31.5" customHeight="1">
      <c r="A193" s="12">
        <v>45084.0</v>
      </c>
      <c r="B193" s="14" t="s">
        <v>201</v>
      </c>
      <c r="C193" s="14" t="s">
        <v>4264</v>
      </c>
      <c r="D193" s="14"/>
      <c r="E193" s="14"/>
      <c r="F193" s="14" t="s">
        <v>839</v>
      </c>
      <c r="G193" s="14"/>
      <c r="H193" s="14"/>
      <c r="I193" s="590" t="s">
        <v>1207</v>
      </c>
      <c r="J193" s="223"/>
      <c r="K193" s="14"/>
      <c r="L193" s="14"/>
      <c r="M193" s="223"/>
      <c r="N193" s="14" t="s">
        <v>111</v>
      </c>
      <c r="O193" s="14" t="s">
        <v>34</v>
      </c>
      <c r="P193" s="14"/>
      <c r="Q193" s="14"/>
      <c r="R193" s="14"/>
      <c r="S193" s="14" t="s">
        <v>1208</v>
      </c>
      <c r="T193" s="14"/>
      <c r="U193" s="17"/>
      <c r="V193" s="14"/>
      <c r="W193" s="14"/>
      <c r="X193" s="18"/>
      <c r="Y193" s="18"/>
      <c r="Z193" s="18"/>
      <c r="AA193" s="19">
        <f t="shared" si="1"/>
        <v>6</v>
      </c>
    </row>
    <row r="194" ht="31.5" customHeight="1">
      <c r="A194" s="12">
        <v>45098.0</v>
      </c>
      <c r="B194" s="14" t="s">
        <v>4620</v>
      </c>
      <c r="C194" s="14" t="s">
        <v>1209</v>
      </c>
      <c r="D194" s="14" t="s">
        <v>1210</v>
      </c>
      <c r="E194" s="14"/>
      <c r="F194" s="14" t="s">
        <v>542</v>
      </c>
      <c r="G194" s="14"/>
      <c r="H194" s="14"/>
      <c r="I194" s="590" t="s">
        <v>1211</v>
      </c>
      <c r="J194" s="223"/>
      <c r="K194" s="14">
        <v>7.84648555E8</v>
      </c>
      <c r="L194" s="14" t="s">
        <v>1212</v>
      </c>
      <c r="M194" s="223"/>
      <c r="N194" s="14" t="s">
        <v>111</v>
      </c>
      <c r="O194" s="14" t="s">
        <v>34</v>
      </c>
      <c r="P194" s="14"/>
      <c r="Q194" s="14"/>
      <c r="R194" s="14"/>
      <c r="S194" s="14" t="s">
        <v>1213</v>
      </c>
      <c r="T194" s="14" t="s">
        <v>4069</v>
      </c>
      <c r="U194" s="17"/>
      <c r="V194" s="14"/>
      <c r="W194" s="14"/>
      <c r="X194" s="18"/>
      <c r="Y194" s="18"/>
      <c r="Z194" s="18"/>
      <c r="AA194" s="19">
        <f t="shared" si="1"/>
        <v>6</v>
      </c>
    </row>
    <row r="195" ht="31.5" customHeight="1">
      <c r="A195" s="12">
        <v>45098.0</v>
      </c>
      <c r="B195" s="14" t="s">
        <v>4620</v>
      </c>
      <c r="C195" s="14" t="s">
        <v>1214</v>
      </c>
      <c r="D195" s="14" t="s">
        <v>1215</v>
      </c>
      <c r="E195" s="14"/>
      <c r="F195" s="14" t="s">
        <v>542</v>
      </c>
      <c r="G195" s="14"/>
      <c r="H195" s="14"/>
      <c r="I195" s="590" t="s">
        <v>1216</v>
      </c>
      <c r="J195" s="223"/>
      <c r="K195" s="14">
        <v>3.54507704E8</v>
      </c>
      <c r="L195" s="14"/>
      <c r="M195" s="223"/>
      <c r="N195" s="14" t="s">
        <v>111</v>
      </c>
      <c r="O195" s="14" t="s">
        <v>34</v>
      </c>
      <c r="P195" s="14"/>
      <c r="Q195" s="14"/>
      <c r="R195" s="14"/>
      <c r="S195" s="14" t="s">
        <v>1217</v>
      </c>
      <c r="T195" s="14" t="s">
        <v>4096</v>
      </c>
      <c r="U195" s="17"/>
      <c r="V195" s="14"/>
      <c r="W195" s="14"/>
      <c r="X195" s="18"/>
      <c r="Y195" s="18"/>
      <c r="Z195" s="18"/>
      <c r="AA195" s="19">
        <f t="shared" si="1"/>
        <v>6</v>
      </c>
    </row>
    <row r="196" ht="31.5" customHeight="1">
      <c r="A196" s="12">
        <v>45098.0</v>
      </c>
      <c r="B196" s="14" t="s">
        <v>4620</v>
      </c>
      <c r="C196" s="14" t="s">
        <v>1218</v>
      </c>
      <c r="D196" s="14" t="s">
        <v>1219</v>
      </c>
      <c r="E196" s="14"/>
      <c r="F196" s="14" t="s">
        <v>4229</v>
      </c>
      <c r="G196" s="14"/>
      <c r="H196" s="14"/>
      <c r="I196" s="590" t="s">
        <v>1220</v>
      </c>
      <c r="J196" s="223"/>
      <c r="K196" s="14"/>
      <c r="L196" s="14" t="s">
        <v>1221</v>
      </c>
      <c r="M196" s="223"/>
      <c r="N196" s="14" t="s">
        <v>48</v>
      </c>
      <c r="O196" s="14" t="s">
        <v>13</v>
      </c>
      <c r="P196" s="14" t="s">
        <v>1222</v>
      </c>
      <c r="Q196" s="14"/>
      <c r="R196" s="14"/>
      <c r="S196" s="14" t="s">
        <v>1223</v>
      </c>
      <c r="T196" s="14" t="s">
        <v>4265</v>
      </c>
      <c r="U196" s="17">
        <v>45127.0</v>
      </c>
      <c r="V196" s="14"/>
      <c r="W196" s="14"/>
      <c r="X196" s="18"/>
      <c r="Y196" s="18"/>
      <c r="Z196" s="18"/>
      <c r="AA196" s="19">
        <f t="shared" si="1"/>
        <v>6</v>
      </c>
    </row>
    <row r="197" ht="31.5" customHeight="1">
      <c r="A197" s="12">
        <v>45099.0</v>
      </c>
      <c r="B197" s="14" t="s">
        <v>703</v>
      </c>
      <c r="C197" s="14" t="s">
        <v>1248</v>
      </c>
      <c r="D197" s="14"/>
      <c r="E197" s="14"/>
      <c r="F197" s="14"/>
      <c r="G197" s="14"/>
      <c r="H197" s="14"/>
      <c r="I197" s="590" t="s">
        <v>1249</v>
      </c>
      <c r="J197" s="223"/>
      <c r="K197" s="14"/>
      <c r="L197" s="130" t="s">
        <v>5934</v>
      </c>
      <c r="M197" s="223"/>
      <c r="N197" s="14" t="s">
        <v>111</v>
      </c>
      <c r="O197" s="14" t="s">
        <v>565</v>
      </c>
      <c r="P197" s="14"/>
      <c r="Q197" s="14"/>
      <c r="R197" s="14"/>
      <c r="S197" s="14" t="s">
        <v>1251</v>
      </c>
      <c r="T197" s="14" t="s">
        <v>4096</v>
      </c>
      <c r="U197" s="17">
        <v>45105.0</v>
      </c>
      <c r="V197" s="14"/>
      <c r="W197" s="14"/>
      <c r="X197" s="18"/>
      <c r="Y197" s="18"/>
      <c r="Z197" s="18"/>
      <c r="AA197" s="19">
        <f t="shared" si="1"/>
        <v>6</v>
      </c>
    </row>
    <row r="198" ht="31.5" customHeight="1">
      <c r="A198" s="12">
        <v>45099.0</v>
      </c>
      <c r="B198" s="14" t="s">
        <v>4620</v>
      </c>
      <c r="C198" s="14" t="s">
        <v>1252</v>
      </c>
      <c r="D198" s="14" t="s">
        <v>1253</v>
      </c>
      <c r="E198" s="14"/>
      <c r="F198" s="14"/>
      <c r="G198" s="14" t="s">
        <v>1254</v>
      </c>
      <c r="H198" s="14"/>
      <c r="I198" s="590" t="s">
        <v>1255</v>
      </c>
      <c r="J198" s="223"/>
      <c r="K198" s="14"/>
      <c r="L198" s="14"/>
      <c r="M198" s="223"/>
      <c r="N198" s="14" t="s">
        <v>48</v>
      </c>
      <c r="O198" s="14" t="s">
        <v>158</v>
      </c>
      <c r="P198" s="14"/>
      <c r="Q198" s="14"/>
      <c r="R198" s="14"/>
      <c r="S198" s="14" t="s">
        <v>1256</v>
      </c>
      <c r="T198" s="14" t="s">
        <v>4272</v>
      </c>
      <c r="U198" s="17">
        <v>45122.0</v>
      </c>
      <c r="V198" s="14"/>
      <c r="W198" s="14"/>
      <c r="X198" s="18"/>
      <c r="Y198" s="18"/>
      <c r="Z198" s="18"/>
      <c r="AA198" s="19">
        <f t="shared" si="1"/>
        <v>6</v>
      </c>
    </row>
    <row r="199" ht="31.5" customHeight="1">
      <c r="A199" s="12">
        <v>45099.0</v>
      </c>
      <c r="B199" s="14" t="s">
        <v>4620</v>
      </c>
      <c r="C199" s="14" t="s">
        <v>1257</v>
      </c>
      <c r="D199" s="14" t="s">
        <v>1258</v>
      </c>
      <c r="E199" s="14"/>
      <c r="F199" s="14">
        <v>2012.0</v>
      </c>
      <c r="G199" s="14" t="s">
        <v>474</v>
      </c>
      <c r="H199" s="14"/>
      <c r="I199" s="590" t="s">
        <v>1259</v>
      </c>
      <c r="J199" s="223"/>
      <c r="K199" s="14"/>
      <c r="L199" s="130" t="s">
        <v>1260</v>
      </c>
      <c r="M199" s="223"/>
      <c r="N199" s="14" t="s">
        <v>111</v>
      </c>
      <c r="O199" s="14" t="s">
        <v>13</v>
      </c>
      <c r="P199" s="14" t="s">
        <v>1261</v>
      </c>
      <c r="Q199" s="14"/>
      <c r="R199" s="14"/>
      <c r="S199" s="14" t="s">
        <v>1262</v>
      </c>
      <c r="T199" s="14" t="s">
        <v>4197</v>
      </c>
      <c r="U199" s="17">
        <v>45124.0</v>
      </c>
      <c r="V199" s="14"/>
      <c r="W199" s="14"/>
      <c r="X199" s="18"/>
      <c r="Y199" s="18"/>
      <c r="Z199" s="18"/>
      <c r="AA199" s="19">
        <f t="shared" si="1"/>
        <v>6</v>
      </c>
    </row>
    <row r="200" ht="31.5" customHeight="1">
      <c r="A200" s="12">
        <v>45099.0</v>
      </c>
      <c r="B200" s="115" t="s">
        <v>4620</v>
      </c>
      <c r="C200" s="14" t="s">
        <v>1263</v>
      </c>
      <c r="D200" s="14"/>
      <c r="E200" s="14"/>
      <c r="F200" s="14"/>
      <c r="G200" s="14"/>
      <c r="H200" s="14"/>
      <c r="I200" s="590" t="s">
        <v>1264</v>
      </c>
      <c r="J200" s="223"/>
      <c r="K200" s="14"/>
      <c r="L200" s="14" t="s">
        <v>1265</v>
      </c>
      <c r="M200" s="223"/>
      <c r="N200" s="14" t="s">
        <v>48</v>
      </c>
      <c r="O200" s="14" t="s">
        <v>565</v>
      </c>
      <c r="P200" s="14"/>
      <c r="Q200" s="14"/>
      <c r="R200" s="14"/>
      <c r="S200" s="14" t="s">
        <v>1266</v>
      </c>
      <c r="T200" s="14" t="s">
        <v>36</v>
      </c>
      <c r="U200" s="17"/>
      <c r="V200" s="14"/>
      <c r="W200" s="14"/>
      <c r="X200" s="18"/>
      <c r="Y200" s="18"/>
      <c r="Z200" s="18"/>
      <c r="AA200" s="19">
        <f t="shared" si="1"/>
        <v>6</v>
      </c>
    </row>
    <row r="201" ht="31.5" customHeight="1">
      <c r="A201" s="12">
        <v>45099.0</v>
      </c>
      <c r="B201" s="115" t="s">
        <v>4620</v>
      </c>
      <c r="C201" s="14" t="s">
        <v>247</v>
      </c>
      <c r="D201" s="14"/>
      <c r="E201" s="14"/>
      <c r="F201" s="14"/>
      <c r="G201" s="14"/>
      <c r="H201" s="14"/>
      <c r="I201" s="590" t="s">
        <v>1267</v>
      </c>
      <c r="J201" s="223"/>
      <c r="K201" s="14"/>
      <c r="L201" s="14" t="s">
        <v>1268</v>
      </c>
      <c r="M201" s="223"/>
      <c r="N201" s="14" t="s">
        <v>111</v>
      </c>
      <c r="O201" s="14" t="s">
        <v>216</v>
      </c>
      <c r="P201" s="14"/>
      <c r="Q201" s="14"/>
      <c r="R201" s="14"/>
      <c r="S201" s="14" t="s">
        <v>1269</v>
      </c>
      <c r="T201" s="14" t="s">
        <v>4096</v>
      </c>
      <c r="U201" s="17">
        <v>45103.0</v>
      </c>
      <c r="V201" s="14"/>
      <c r="W201" s="14"/>
      <c r="X201" s="18"/>
      <c r="Y201" s="18"/>
      <c r="Z201" s="18"/>
      <c r="AA201" s="19">
        <f t="shared" si="1"/>
        <v>6</v>
      </c>
    </row>
    <row r="202" ht="31.5" customHeight="1">
      <c r="A202" s="12">
        <v>45099.0</v>
      </c>
      <c r="B202" s="115" t="s">
        <v>4620</v>
      </c>
      <c r="C202" s="14" t="s">
        <v>1270</v>
      </c>
      <c r="D202" s="14" t="s">
        <v>1271</v>
      </c>
      <c r="E202" s="14"/>
      <c r="F202" s="14"/>
      <c r="G202" s="14">
        <v>6.0</v>
      </c>
      <c r="H202" s="14"/>
      <c r="I202" s="590" t="s">
        <v>1272</v>
      </c>
      <c r="J202" s="223"/>
      <c r="K202" s="14"/>
      <c r="L202" s="14" t="s">
        <v>1273</v>
      </c>
      <c r="M202" s="223"/>
      <c r="N202" s="14" t="s">
        <v>48</v>
      </c>
      <c r="O202" s="14" t="s">
        <v>565</v>
      </c>
      <c r="P202" s="14"/>
      <c r="Q202" s="14"/>
      <c r="R202" s="14"/>
      <c r="S202" s="14" t="s">
        <v>1274</v>
      </c>
      <c r="T202" s="14" t="s">
        <v>4273</v>
      </c>
      <c r="U202" s="17"/>
      <c r="V202" s="14"/>
      <c r="W202" s="14"/>
      <c r="X202" s="18"/>
      <c r="Y202" s="18"/>
      <c r="Z202" s="18"/>
      <c r="AA202" s="19">
        <f t="shared" si="1"/>
        <v>6</v>
      </c>
    </row>
    <row r="203" ht="31.5" customHeight="1">
      <c r="A203" s="12">
        <v>45099.0</v>
      </c>
      <c r="B203" s="115" t="s">
        <v>4620</v>
      </c>
      <c r="C203" s="120" t="s">
        <v>1275</v>
      </c>
      <c r="D203" s="14" t="s">
        <v>1276</v>
      </c>
      <c r="E203" s="14"/>
      <c r="F203" s="14">
        <v>2010.0</v>
      </c>
      <c r="G203" s="14"/>
      <c r="H203" s="14"/>
      <c r="I203" s="590" t="s">
        <v>1277</v>
      </c>
      <c r="J203" s="223"/>
      <c r="K203" s="14"/>
      <c r="L203" s="14"/>
      <c r="M203" s="223"/>
      <c r="N203" s="14" t="s">
        <v>111</v>
      </c>
      <c r="O203" s="14" t="s">
        <v>34</v>
      </c>
      <c r="P203" s="14"/>
      <c r="Q203" s="14"/>
      <c r="R203" s="14"/>
      <c r="S203" s="14" t="s">
        <v>1278</v>
      </c>
      <c r="T203" s="14" t="s">
        <v>4069</v>
      </c>
      <c r="U203" s="17"/>
      <c r="V203" s="14"/>
      <c r="W203" s="14"/>
      <c r="X203" s="18"/>
      <c r="Y203" s="18"/>
      <c r="Z203" s="18"/>
      <c r="AA203" s="19">
        <f t="shared" si="1"/>
        <v>6</v>
      </c>
    </row>
    <row r="204" ht="31.5" customHeight="1">
      <c r="A204" s="12">
        <v>45099.0</v>
      </c>
      <c r="B204" s="115" t="s">
        <v>4620</v>
      </c>
      <c r="C204" s="120" t="s">
        <v>1275</v>
      </c>
      <c r="D204" s="14" t="s">
        <v>1279</v>
      </c>
      <c r="E204" s="14"/>
      <c r="F204" s="14"/>
      <c r="G204" s="14"/>
      <c r="H204" s="14"/>
      <c r="I204" s="590" t="s">
        <v>1277</v>
      </c>
      <c r="J204" s="223"/>
      <c r="K204" s="14"/>
      <c r="L204" s="14"/>
      <c r="M204" s="223"/>
      <c r="N204" s="14" t="s">
        <v>111</v>
      </c>
      <c r="O204" s="14" t="s">
        <v>34</v>
      </c>
      <c r="P204" s="14"/>
      <c r="Q204" s="14"/>
      <c r="R204" s="14"/>
      <c r="S204" s="14" t="s">
        <v>1278</v>
      </c>
      <c r="T204" s="14" t="s">
        <v>4069</v>
      </c>
      <c r="U204" s="17"/>
      <c r="V204" s="14"/>
      <c r="W204" s="14"/>
      <c r="X204" s="18"/>
      <c r="Y204" s="18"/>
      <c r="Z204" s="18"/>
      <c r="AA204" s="19">
        <f t="shared" si="1"/>
        <v>6</v>
      </c>
    </row>
    <row r="205" ht="31.5" customHeight="1">
      <c r="A205" s="12">
        <v>45099.0</v>
      </c>
      <c r="B205" s="115" t="s">
        <v>4620</v>
      </c>
      <c r="C205" s="14" t="s">
        <v>1280</v>
      </c>
      <c r="D205" s="14"/>
      <c r="E205" s="14"/>
      <c r="F205" s="14"/>
      <c r="G205" s="14"/>
      <c r="H205" s="14"/>
      <c r="I205" s="590" t="s">
        <v>1281</v>
      </c>
      <c r="J205" s="223"/>
      <c r="K205" s="132" t="s">
        <v>1281</v>
      </c>
      <c r="L205" s="14" t="s">
        <v>1282</v>
      </c>
      <c r="M205" s="223"/>
      <c r="N205" s="14" t="s">
        <v>48</v>
      </c>
      <c r="O205" s="14" t="s">
        <v>565</v>
      </c>
      <c r="P205" s="14"/>
      <c r="Q205" s="14"/>
      <c r="R205" s="14"/>
      <c r="S205" s="14" t="s">
        <v>1283</v>
      </c>
      <c r="T205" s="14" t="s">
        <v>4274</v>
      </c>
      <c r="U205" s="22">
        <v>45111.0</v>
      </c>
      <c r="V205" s="14"/>
      <c r="W205" s="14"/>
      <c r="X205" s="18"/>
      <c r="Y205" s="18"/>
      <c r="Z205" s="18"/>
      <c r="AA205" s="19">
        <f t="shared" si="1"/>
        <v>6</v>
      </c>
    </row>
    <row r="206" ht="31.5" customHeight="1">
      <c r="A206" s="12">
        <v>45099.0</v>
      </c>
      <c r="B206" s="14" t="s">
        <v>4620</v>
      </c>
      <c r="C206" s="14" t="s">
        <v>1284</v>
      </c>
      <c r="D206" s="14" t="s">
        <v>1285</v>
      </c>
      <c r="E206" s="14"/>
      <c r="F206" s="14" t="s">
        <v>4125</v>
      </c>
      <c r="G206" s="14"/>
      <c r="H206" s="14"/>
      <c r="I206" s="590" t="s">
        <v>1286</v>
      </c>
      <c r="J206" s="223"/>
      <c r="K206" s="14"/>
      <c r="L206" s="130" t="s">
        <v>5935</v>
      </c>
      <c r="M206" s="223"/>
      <c r="N206" s="14" t="s">
        <v>111</v>
      </c>
      <c r="O206" s="14" t="s">
        <v>34</v>
      </c>
      <c r="P206" s="14"/>
      <c r="Q206" s="14"/>
      <c r="R206" s="14"/>
      <c r="S206" s="14" t="s">
        <v>1288</v>
      </c>
      <c r="T206" s="14" t="s">
        <v>4085</v>
      </c>
      <c r="U206" s="17"/>
      <c r="V206" s="14"/>
      <c r="W206" s="14"/>
      <c r="X206" s="18"/>
      <c r="Y206" s="18"/>
      <c r="Z206" s="18"/>
      <c r="AA206" s="19">
        <f t="shared" si="1"/>
        <v>6</v>
      </c>
    </row>
    <row r="207" ht="31.5" customHeight="1">
      <c r="A207" s="12">
        <v>45099.0</v>
      </c>
      <c r="B207" s="14" t="s">
        <v>4620</v>
      </c>
      <c r="C207" s="14" t="s">
        <v>1289</v>
      </c>
      <c r="D207" s="14" t="s">
        <v>1290</v>
      </c>
      <c r="E207" s="14"/>
      <c r="F207" s="14" t="s">
        <v>176</v>
      </c>
      <c r="G207" s="14"/>
      <c r="H207" s="14"/>
      <c r="I207" s="590" t="s">
        <v>1291</v>
      </c>
      <c r="J207" s="223"/>
      <c r="K207" s="14"/>
      <c r="L207" s="130" t="s">
        <v>5936</v>
      </c>
      <c r="M207" s="223"/>
      <c r="N207" s="14" t="s">
        <v>48</v>
      </c>
      <c r="O207" s="14" t="s">
        <v>34</v>
      </c>
      <c r="P207" s="14"/>
      <c r="Q207" s="14"/>
      <c r="R207" s="14"/>
      <c r="S207" s="14" t="s">
        <v>1293</v>
      </c>
      <c r="T207" s="14" t="s">
        <v>4277</v>
      </c>
      <c r="U207" s="17"/>
      <c r="V207" s="14"/>
      <c r="W207" s="14"/>
      <c r="X207" s="18"/>
      <c r="Y207" s="18"/>
      <c r="Z207" s="18"/>
      <c r="AA207" s="19">
        <f t="shared" si="1"/>
        <v>6</v>
      </c>
    </row>
    <row r="208" ht="31.5" customHeight="1">
      <c r="A208" s="12">
        <v>45099.0</v>
      </c>
      <c r="B208" s="14" t="s">
        <v>84</v>
      </c>
      <c r="C208" s="14" t="s">
        <v>4280</v>
      </c>
      <c r="D208" s="14" t="s">
        <v>1301</v>
      </c>
      <c r="E208" s="14"/>
      <c r="F208" s="14">
        <v>2015.0</v>
      </c>
      <c r="G208" s="14"/>
      <c r="H208" s="14"/>
      <c r="I208" s="590" t="s">
        <v>1302</v>
      </c>
      <c r="J208" s="223"/>
      <c r="K208" s="14"/>
      <c r="L208" s="14"/>
      <c r="M208" s="223"/>
      <c r="N208" s="14" t="s">
        <v>111</v>
      </c>
      <c r="O208" s="14" t="s">
        <v>34</v>
      </c>
      <c r="P208" s="14" t="s">
        <v>4281</v>
      </c>
      <c r="Q208" s="14"/>
      <c r="R208" s="14"/>
      <c r="S208" s="14" t="s">
        <v>1304</v>
      </c>
      <c r="T208" s="14" t="s">
        <v>4069</v>
      </c>
      <c r="U208" s="17"/>
      <c r="V208" s="14"/>
      <c r="W208" s="14"/>
      <c r="X208" s="18"/>
      <c r="Y208" s="18"/>
      <c r="Z208" s="18"/>
      <c r="AA208" s="19">
        <f t="shared" si="1"/>
        <v>6</v>
      </c>
    </row>
    <row r="209" ht="31.5" customHeight="1">
      <c r="A209" s="12">
        <v>45099.0</v>
      </c>
      <c r="B209" s="14" t="s">
        <v>84</v>
      </c>
      <c r="C209" s="14" t="s">
        <v>4282</v>
      </c>
      <c r="D209" s="14"/>
      <c r="E209" s="14"/>
      <c r="F209" s="14"/>
      <c r="G209" s="14"/>
      <c r="H209" s="14"/>
      <c r="I209" s="590" t="s">
        <v>1306</v>
      </c>
      <c r="J209" s="223"/>
      <c r="K209" s="14"/>
      <c r="L209" s="14"/>
      <c r="M209" s="223"/>
      <c r="N209" s="14" t="s">
        <v>48</v>
      </c>
      <c r="O209" s="14" t="s">
        <v>34</v>
      </c>
      <c r="P209" s="14"/>
      <c r="Q209" s="14"/>
      <c r="R209" s="14"/>
      <c r="S209" s="14" t="s">
        <v>1307</v>
      </c>
      <c r="T209" s="14" t="s">
        <v>36</v>
      </c>
      <c r="U209" s="17"/>
      <c r="V209" s="14"/>
      <c r="W209" s="14"/>
      <c r="X209" s="18"/>
      <c r="Y209" s="18"/>
      <c r="Z209" s="18"/>
      <c r="AA209" s="19">
        <f t="shared" si="1"/>
        <v>6</v>
      </c>
    </row>
    <row r="210" ht="31.5" customHeight="1">
      <c r="A210" s="12">
        <v>45100.0</v>
      </c>
      <c r="B210" s="14" t="s">
        <v>84</v>
      </c>
      <c r="C210" s="14" t="s">
        <v>1308</v>
      </c>
      <c r="D210" s="14"/>
      <c r="E210" s="14"/>
      <c r="F210" s="14"/>
      <c r="G210" s="14"/>
      <c r="H210" s="14"/>
      <c r="I210" s="590" t="s">
        <v>1309</v>
      </c>
      <c r="J210" s="223"/>
      <c r="K210" s="14"/>
      <c r="L210" s="14" t="s">
        <v>1310</v>
      </c>
      <c r="M210" s="223"/>
      <c r="N210" s="14" t="s">
        <v>89</v>
      </c>
      <c r="O210" s="14" t="s">
        <v>565</v>
      </c>
      <c r="P210" s="14"/>
      <c r="Q210" s="14"/>
      <c r="R210" s="14"/>
      <c r="S210" s="14" t="s">
        <v>1311</v>
      </c>
      <c r="T210" s="14" t="s">
        <v>4283</v>
      </c>
      <c r="U210" s="17">
        <v>45103.0</v>
      </c>
      <c r="V210" s="14"/>
      <c r="W210" s="14"/>
      <c r="X210" s="18"/>
      <c r="Y210" s="18"/>
      <c r="Z210" s="18"/>
      <c r="AA210" s="19">
        <f t="shared" si="1"/>
        <v>6</v>
      </c>
    </row>
    <row r="211" ht="31.5" customHeight="1">
      <c r="A211" s="12">
        <v>45100.0</v>
      </c>
      <c r="B211" s="14" t="s">
        <v>84</v>
      </c>
      <c r="C211" s="14" t="s">
        <v>1312</v>
      </c>
      <c r="D211" s="14" t="s">
        <v>1313</v>
      </c>
      <c r="E211" s="14"/>
      <c r="F211" s="14">
        <v>2014.0</v>
      </c>
      <c r="G211" s="14">
        <v>4.0</v>
      </c>
      <c r="H211" s="14"/>
      <c r="I211" s="590" t="s">
        <v>1314</v>
      </c>
      <c r="J211" s="223"/>
      <c r="K211" s="14"/>
      <c r="L211" s="14" t="s">
        <v>1315</v>
      </c>
      <c r="M211" s="223"/>
      <c r="N211" s="14" t="s">
        <v>111</v>
      </c>
      <c r="O211" s="14" t="s">
        <v>333</v>
      </c>
      <c r="P211" s="14"/>
      <c r="Q211" s="14"/>
      <c r="R211" s="14"/>
      <c r="S211" s="14" t="s">
        <v>1316</v>
      </c>
      <c r="T211" s="14" t="s">
        <v>4069</v>
      </c>
      <c r="U211" s="17"/>
      <c r="V211" s="14"/>
      <c r="W211" s="14"/>
      <c r="X211" s="18"/>
      <c r="Y211" s="18"/>
      <c r="Z211" s="18"/>
      <c r="AA211" s="19">
        <f t="shared" si="1"/>
        <v>6</v>
      </c>
    </row>
    <row r="212" ht="31.5" customHeight="1">
      <c r="A212" s="12">
        <v>45100.0</v>
      </c>
      <c r="B212" s="14" t="s">
        <v>4620</v>
      </c>
      <c r="C212" s="14" t="s">
        <v>1317</v>
      </c>
      <c r="D212" s="14" t="s">
        <v>1318</v>
      </c>
      <c r="E212" s="14"/>
      <c r="F212" s="14" t="s">
        <v>542</v>
      </c>
      <c r="G212" s="14"/>
      <c r="H212" s="14"/>
      <c r="I212" s="590" t="s">
        <v>1319</v>
      </c>
      <c r="J212" s="223"/>
      <c r="K212" s="14"/>
      <c r="L212" s="14" t="s">
        <v>1320</v>
      </c>
      <c r="M212" s="223"/>
      <c r="N212" s="14" t="s">
        <v>48</v>
      </c>
      <c r="O212" s="14" t="s">
        <v>158</v>
      </c>
      <c r="P212" s="14"/>
      <c r="Q212" s="14"/>
      <c r="R212" s="14"/>
      <c r="S212" s="14" t="s">
        <v>1321</v>
      </c>
      <c r="T212" s="14" t="s">
        <v>4073</v>
      </c>
      <c r="U212" s="17"/>
      <c r="V212" s="14"/>
      <c r="W212" s="14"/>
      <c r="X212" s="18"/>
      <c r="Y212" s="18"/>
      <c r="Z212" s="18"/>
      <c r="AA212" s="19">
        <f t="shared" si="1"/>
        <v>6</v>
      </c>
    </row>
    <row r="213" ht="31.5" customHeight="1">
      <c r="A213" s="12">
        <v>45100.0</v>
      </c>
      <c r="B213" s="178" t="s">
        <v>4620</v>
      </c>
      <c r="C213" s="14" t="s">
        <v>1322</v>
      </c>
      <c r="D213" s="14"/>
      <c r="E213" s="14"/>
      <c r="F213" s="14"/>
      <c r="G213" s="14"/>
      <c r="H213" s="14"/>
      <c r="I213" s="590" t="s">
        <v>1323</v>
      </c>
      <c r="J213" s="223"/>
      <c r="K213" s="14"/>
      <c r="L213" s="14" t="s">
        <v>1324</v>
      </c>
      <c r="M213" s="223"/>
      <c r="N213" s="14" t="s">
        <v>111</v>
      </c>
      <c r="O213" s="14" t="s">
        <v>216</v>
      </c>
      <c r="P213" s="14"/>
      <c r="Q213" s="14"/>
      <c r="R213" s="14"/>
      <c r="S213" s="14" t="s">
        <v>1325</v>
      </c>
      <c r="T213" s="14" t="s">
        <v>4096</v>
      </c>
      <c r="U213" s="17">
        <v>45101.0</v>
      </c>
      <c r="V213" s="14"/>
      <c r="W213" s="14"/>
      <c r="X213" s="18"/>
      <c r="Y213" s="18"/>
      <c r="Z213" s="18"/>
      <c r="AA213" s="19">
        <f t="shared" si="1"/>
        <v>6</v>
      </c>
    </row>
    <row r="214" ht="31.5" customHeight="1">
      <c r="A214" s="12">
        <v>45100.0</v>
      </c>
      <c r="B214" s="14" t="s">
        <v>4620</v>
      </c>
      <c r="C214" s="14" t="s">
        <v>1332</v>
      </c>
      <c r="D214" s="14" t="s">
        <v>1333</v>
      </c>
      <c r="E214" s="14"/>
      <c r="F214" s="14" t="s">
        <v>4125</v>
      </c>
      <c r="G214" s="14"/>
      <c r="H214" s="14"/>
      <c r="I214" s="590" t="s">
        <v>1334</v>
      </c>
      <c r="J214" s="223"/>
      <c r="K214" s="14"/>
      <c r="L214" s="14" t="s">
        <v>1335</v>
      </c>
      <c r="M214" s="223"/>
      <c r="N214" s="14" t="s">
        <v>48</v>
      </c>
      <c r="O214" s="14" t="s">
        <v>34</v>
      </c>
      <c r="P214" s="14" t="s">
        <v>4285</v>
      </c>
      <c r="Q214" s="14"/>
      <c r="R214" s="14"/>
      <c r="S214" s="278" t="s">
        <v>1337</v>
      </c>
      <c r="T214" s="14" t="s">
        <v>36</v>
      </c>
      <c r="U214" s="17"/>
      <c r="V214" s="14"/>
      <c r="W214" s="14"/>
      <c r="X214" s="18"/>
      <c r="Y214" s="18"/>
      <c r="Z214" s="18"/>
      <c r="AA214" s="19">
        <f t="shared" si="1"/>
        <v>6</v>
      </c>
    </row>
    <row r="215" ht="31.5" customHeight="1">
      <c r="A215" s="12">
        <v>45100.0</v>
      </c>
      <c r="B215" s="14" t="s">
        <v>4620</v>
      </c>
      <c r="C215" s="14" t="s">
        <v>1345</v>
      </c>
      <c r="D215" s="14" t="s">
        <v>1346</v>
      </c>
      <c r="E215" s="14"/>
      <c r="F215" s="14"/>
      <c r="G215" s="14" t="s">
        <v>1328</v>
      </c>
      <c r="H215" s="14"/>
      <c r="I215" s="590" t="s">
        <v>1347</v>
      </c>
      <c r="J215" s="223"/>
      <c r="K215" s="14"/>
      <c r="L215" s="14"/>
      <c r="M215" s="223"/>
      <c r="N215" s="14" t="s">
        <v>48</v>
      </c>
      <c r="O215" s="14" t="s">
        <v>34</v>
      </c>
      <c r="P215" s="14" t="s">
        <v>1348</v>
      </c>
      <c r="Q215" s="14"/>
      <c r="R215" s="14"/>
      <c r="S215" s="14" t="s">
        <v>1349</v>
      </c>
      <c r="T215" s="14" t="s">
        <v>4127</v>
      </c>
      <c r="U215" s="17"/>
      <c r="V215" s="14"/>
      <c r="W215" s="14"/>
      <c r="X215" s="18"/>
      <c r="Y215" s="18"/>
      <c r="Z215" s="18"/>
      <c r="AA215" s="19">
        <f t="shared" si="1"/>
        <v>6</v>
      </c>
    </row>
    <row r="216" ht="31.5" customHeight="1">
      <c r="A216" s="12">
        <v>45100.0</v>
      </c>
      <c r="B216" s="115" t="s">
        <v>4620</v>
      </c>
      <c r="C216" s="14" t="s">
        <v>1350</v>
      </c>
      <c r="D216" s="14"/>
      <c r="E216" s="14"/>
      <c r="F216" s="14"/>
      <c r="G216" s="14"/>
      <c r="H216" s="14"/>
      <c r="I216" s="590" t="s">
        <v>1351</v>
      </c>
      <c r="J216" s="223"/>
      <c r="K216" s="14"/>
      <c r="L216" s="14"/>
      <c r="M216" s="223"/>
      <c r="N216" s="14" t="s">
        <v>48</v>
      </c>
      <c r="O216" s="14" t="s">
        <v>216</v>
      </c>
      <c r="P216" s="14"/>
      <c r="Q216" s="14"/>
      <c r="R216" s="14"/>
      <c r="S216" s="14" t="s">
        <v>1352</v>
      </c>
      <c r="T216" s="14" t="s">
        <v>4127</v>
      </c>
      <c r="U216" s="17"/>
      <c r="V216" s="14"/>
      <c r="W216" s="14"/>
      <c r="X216" s="18"/>
      <c r="Y216" s="18"/>
      <c r="Z216" s="18"/>
      <c r="AA216" s="19">
        <f t="shared" si="1"/>
        <v>6</v>
      </c>
    </row>
    <row r="217" ht="31.5" customHeight="1">
      <c r="A217" s="12">
        <v>45100.0</v>
      </c>
      <c r="B217" s="14" t="s">
        <v>4620</v>
      </c>
      <c r="C217" s="120" t="s">
        <v>1353</v>
      </c>
      <c r="D217" s="120" t="s">
        <v>1354</v>
      </c>
      <c r="E217" s="14"/>
      <c r="F217" s="142">
        <v>40816.0</v>
      </c>
      <c r="G217" s="14" t="s">
        <v>297</v>
      </c>
      <c r="H217" s="14"/>
      <c r="I217" s="590" t="s">
        <v>1355</v>
      </c>
      <c r="J217" s="223"/>
      <c r="K217" s="14"/>
      <c r="L217" s="14" t="s">
        <v>4287</v>
      </c>
      <c r="M217" s="223"/>
      <c r="N217" s="14" t="s">
        <v>111</v>
      </c>
      <c r="O217" s="14" t="s">
        <v>13</v>
      </c>
      <c r="P217" s="14" t="s">
        <v>1357</v>
      </c>
      <c r="Q217" s="14"/>
      <c r="R217" s="14"/>
      <c r="S217" s="285" t="s">
        <v>1358</v>
      </c>
      <c r="T217" s="14" t="s">
        <v>4197</v>
      </c>
      <c r="U217" s="17"/>
      <c r="V217" s="14"/>
      <c r="W217" s="14"/>
      <c r="X217" s="18"/>
      <c r="Y217" s="18"/>
      <c r="Z217" s="18"/>
      <c r="AA217" s="19">
        <f t="shared" si="1"/>
        <v>6</v>
      </c>
    </row>
    <row r="218" ht="31.5" customHeight="1">
      <c r="A218" s="12">
        <v>45100.0</v>
      </c>
      <c r="B218" s="14" t="s">
        <v>4620</v>
      </c>
      <c r="C218" s="120"/>
      <c r="D218" s="120" t="s">
        <v>4288</v>
      </c>
      <c r="E218" s="14"/>
      <c r="F218" s="14">
        <v>2014.0</v>
      </c>
      <c r="G218" s="14"/>
      <c r="H218" s="14"/>
      <c r="I218" s="590" t="s">
        <v>1355</v>
      </c>
      <c r="J218" s="223"/>
      <c r="K218" s="14"/>
      <c r="L218" s="14"/>
      <c r="M218" s="223"/>
      <c r="N218" s="14" t="s">
        <v>111</v>
      </c>
      <c r="O218" s="14" t="s">
        <v>34</v>
      </c>
      <c r="P218" s="14"/>
      <c r="Q218" s="14"/>
      <c r="R218" s="14"/>
      <c r="S218" s="285" t="s">
        <v>1360</v>
      </c>
      <c r="T218" s="14" t="s">
        <v>4069</v>
      </c>
      <c r="U218" s="17"/>
      <c r="V218" s="14"/>
      <c r="W218" s="14"/>
      <c r="X218" s="18"/>
      <c r="Y218" s="18"/>
      <c r="Z218" s="18"/>
      <c r="AA218" s="19">
        <f t="shared" si="1"/>
        <v>6</v>
      </c>
    </row>
    <row r="219" ht="31.5" customHeight="1">
      <c r="A219" s="12">
        <v>45101.0</v>
      </c>
      <c r="B219" s="14" t="s">
        <v>4620</v>
      </c>
      <c r="C219" s="14"/>
      <c r="D219" s="14"/>
      <c r="E219" s="14"/>
      <c r="F219" s="14"/>
      <c r="G219" s="14"/>
      <c r="H219" s="14"/>
      <c r="I219" s="632"/>
      <c r="J219" s="223"/>
      <c r="K219" s="14"/>
      <c r="L219" s="14"/>
      <c r="M219" s="223"/>
      <c r="N219" s="14" t="s">
        <v>48</v>
      </c>
      <c r="O219" s="14" t="s">
        <v>216</v>
      </c>
      <c r="P219" s="14"/>
      <c r="Q219" s="14"/>
      <c r="R219" s="14"/>
      <c r="S219" s="14"/>
      <c r="T219" s="14"/>
      <c r="U219" s="17"/>
      <c r="V219" s="14"/>
      <c r="W219" s="14"/>
      <c r="X219" s="18"/>
      <c r="Y219" s="18"/>
      <c r="Z219" s="18"/>
      <c r="AA219" s="19">
        <f t="shared" si="1"/>
        <v>6</v>
      </c>
    </row>
    <row r="220" ht="31.5" customHeight="1">
      <c r="A220" s="12">
        <v>45101.0</v>
      </c>
      <c r="B220" s="14" t="s">
        <v>4620</v>
      </c>
      <c r="C220" s="120" t="s">
        <v>1361</v>
      </c>
      <c r="D220" s="37" t="s">
        <v>1362</v>
      </c>
      <c r="E220" s="14"/>
      <c r="F220" s="14"/>
      <c r="G220" s="14"/>
      <c r="H220" s="14"/>
      <c r="I220" s="633" t="s">
        <v>1363</v>
      </c>
      <c r="J220" s="223"/>
      <c r="K220" s="14"/>
      <c r="L220" s="14" t="s">
        <v>1364</v>
      </c>
      <c r="M220" s="223"/>
      <c r="N220" s="14" t="s">
        <v>48</v>
      </c>
      <c r="O220" s="14" t="s">
        <v>34</v>
      </c>
      <c r="P220" s="14"/>
      <c r="Q220" s="14"/>
      <c r="R220" s="14"/>
      <c r="S220" s="37" t="s">
        <v>1365</v>
      </c>
      <c r="T220" s="14" t="s">
        <v>36</v>
      </c>
      <c r="U220" s="61"/>
      <c r="V220" s="14"/>
      <c r="W220" s="14"/>
      <c r="X220" s="18"/>
      <c r="Y220" s="18"/>
      <c r="Z220" s="18"/>
      <c r="AA220" s="19">
        <f t="shared" si="1"/>
        <v>6</v>
      </c>
    </row>
    <row r="221" ht="31.5" customHeight="1">
      <c r="A221" s="12">
        <v>45101.0</v>
      </c>
      <c r="B221" s="14" t="s">
        <v>703</v>
      </c>
      <c r="C221" s="14" t="s">
        <v>1372</v>
      </c>
      <c r="D221" s="14"/>
      <c r="E221" s="14"/>
      <c r="F221" s="14" t="s">
        <v>542</v>
      </c>
      <c r="G221" s="14"/>
      <c r="H221" s="14"/>
      <c r="I221" s="590" t="s">
        <v>1373</v>
      </c>
      <c r="J221" s="223"/>
      <c r="K221" s="14"/>
      <c r="L221" s="14" t="s">
        <v>1374</v>
      </c>
      <c r="M221" s="223"/>
      <c r="N221" s="14" t="s">
        <v>111</v>
      </c>
      <c r="O221" s="14" t="s">
        <v>565</v>
      </c>
      <c r="P221" s="14"/>
      <c r="Q221" s="14"/>
      <c r="R221" s="14"/>
      <c r="S221" s="14" t="s">
        <v>1375</v>
      </c>
      <c r="T221" s="14"/>
      <c r="U221" s="17"/>
      <c r="V221" s="14"/>
      <c r="W221" s="14"/>
      <c r="X221" s="18"/>
      <c r="Y221" s="18"/>
      <c r="Z221" s="18"/>
      <c r="AA221" s="19">
        <f t="shared" si="1"/>
        <v>6</v>
      </c>
    </row>
    <row r="222" ht="31.5" customHeight="1">
      <c r="A222" s="114">
        <v>45095.0</v>
      </c>
      <c r="B222" s="115" t="s">
        <v>84</v>
      </c>
      <c r="C222" s="115" t="s">
        <v>4292</v>
      </c>
      <c r="D222" s="115" t="s">
        <v>1385</v>
      </c>
      <c r="E222" s="115"/>
      <c r="F222" s="115"/>
      <c r="G222" s="115"/>
      <c r="H222" s="115"/>
      <c r="I222" s="590" t="s">
        <v>1386</v>
      </c>
      <c r="J222" s="625"/>
      <c r="K222" s="115"/>
      <c r="L222" s="14" t="s">
        <v>1380</v>
      </c>
      <c r="M222" s="625"/>
      <c r="N222" s="115" t="s">
        <v>111</v>
      </c>
      <c r="O222" s="115" t="s">
        <v>34</v>
      </c>
      <c r="P222" s="115" t="s">
        <v>1387</v>
      </c>
      <c r="Q222" s="115" t="s">
        <v>1381</v>
      </c>
      <c r="R222" s="115"/>
      <c r="S222" s="115" t="s">
        <v>1388</v>
      </c>
      <c r="T222" s="115"/>
      <c r="U222" s="135"/>
      <c r="V222" s="115"/>
      <c r="W222" s="115"/>
      <c r="X222" s="134"/>
      <c r="Y222" s="134"/>
      <c r="Z222" s="18"/>
      <c r="AA222" s="19">
        <f t="shared" si="1"/>
        <v>6</v>
      </c>
    </row>
    <row r="223" ht="31.5" customHeight="1">
      <c r="A223" s="12">
        <v>45101.0</v>
      </c>
      <c r="B223" s="14" t="s">
        <v>4620</v>
      </c>
      <c r="C223" s="14" t="s">
        <v>1389</v>
      </c>
      <c r="D223" s="14"/>
      <c r="E223" s="14"/>
      <c r="F223" s="14"/>
      <c r="G223" s="14"/>
      <c r="H223" s="14"/>
      <c r="I223" s="590" t="s">
        <v>1390</v>
      </c>
      <c r="J223" s="223"/>
      <c r="K223" s="14"/>
      <c r="L223" s="14"/>
      <c r="M223" s="223"/>
      <c r="N223" s="14" t="s">
        <v>48</v>
      </c>
      <c r="O223" s="14" t="s">
        <v>216</v>
      </c>
      <c r="P223" s="14"/>
      <c r="Q223" s="14"/>
      <c r="R223" s="14"/>
      <c r="S223" s="14" t="s">
        <v>1391</v>
      </c>
      <c r="T223" s="14"/>
      <c r="U223" s="17">
        <v>45110.0</v>
      </c>
      <c r="V223" s="14"/>
      <c r="W223" s="14"/>
      <c r="X223" s="18"/>
      <c r="Y223" s="18"/>
      <c r="Z223" s="18"/>
      <c r="AA223" s="19">
        <f t="shared" si="1"/>
        <v>6</v>
      </c>
    </row>
    <row r="224" ht="31.5" customHeight="1">
      <c r="A224" s="12">
        <v>45101.0</v>
      </c>
      <c r="B224" s="14" t="s">
        <v>84</v>
      </c>
      <c r="C224" s="14" t="s">
        <v>1392</v>
      </c>
      <c r="D224" s="14"/>
      <c r="E224" s="14" t="s">
        <v>2821</v>
      </c>
      <c r="F224" s="14">
        <v>2014.0</v>
      </c>
      <c r="G224" s="14"/>
      <c r="H224" s="14"/>
      <c r="I224" s="590" t="s">
        <v>1393</v>
      </c>
      <c r="J224" s="223"/>
      <c r="K224" s="14"/>
      <c r="L224" s="14" t="s">
        <v>1394</v>
      </c>
      <c r="M224" s="223"/>
      <c r="N224" s="14" t="s">
        <v>111</v>
      </c>
      <c r="O224" s="14" t="s">
        <v>34</v>
      </c>
      <c r="P224" s="14"/>
      <c r="Q224" s="14"/>
      <c r="R224" s="14"/>
      <c r="S224" s="14" t="s">
        <v>1395</v>
      </c>
      <c r="T224" s="14" t="s">
        <v>4083</v>
      </c>
      <c r="U224" s="17"/>
      <c r="V224" s="14"/>
      <c r="W224" s="14"/>
      <c r="X224" s="18"/>
      <c r="Y224" s="18"/>
      <c r="Z224" s="18"/>
      <c r="AA224" s="19">
        <f t="shared" si="1"/>
        <v>6</v>
      </c>
    </row>
    <row r="225" ht="31.5" customHeight="1">
      <c r="A225" s="12">
        <v>45103.0</v>
      </c>
      <c r="B225" s="14" t="s">
        <v>84</v>
      </c>
      <c r="C225" s="14"/>
      <c r="D225" s="14" t="s">
        <v>1403</v>
      </c>
      <c r="E225" s="14"/>
      <c r="F225" s="14" t="s">
        <v>4296</v>
      </c>
      <c r="G225" s="14"/>
      <c r="H225" s="14"/>
      <c r="I225" s="590" t="s">
        <v>1404</v>
      </c>
      <c r="J225" s="223"/>
      <c r="K225" s="14"/>
      <c r="L225" s="14" t="s">
        <v>1405</v>
      </c>
      <c r="M225" s="223"/>
      <c r="N225" s="14" t="s">
        <v>48</v>
      </c>
      <c r="O225" s="14" t="s">
        <v>34</v>
      </c>
      <c r="P225" s="14"/>
      <c r="Q225" s="14"/>
      <c r="R225" s="14"/>
      <c r="S225" s="14" t="s">
        <v>1406</v>
      </c>
      <c r="T225" s="14" t="s">
        <v>4085</v>
      </c>
      <c r="U225" s="17"/>
      <c r="V225" s="14"/>
      <c r="W225" s="14"/>
      <c r="X225" s="18"/>
      <c r="Y225" s="18"/>
      <c r="Z225" s="18"/>
      <c r="AA225" s="19">
        <f t="shared" si="1"/>
        <v>6</v>
      </c>
    </row>
    <row r="226" ht="31.5" customHeight="1">
      <c r="A226" s="12">
        <v>45097.0</v>
      </c>
      <c r="B226" s="14" t="s">
        <v>201</v>
      </c>
      <c r="C226" s="14" t="s">
        <v>154</v>
      </c>
      <c r="D226" s="14" t="s">
        <v>1407</v>
      </c>
      <c r="E226" s="14"/>
      <c r="F226" s="14"/>
      <c r="G226" s="14" t="s">
        <v>234</v>
      </c>
      <c r="H226" s="14"/>
      <c r="I226" s="590" t="s">
        <v>156</v>
      </c>
      <c r="J226" s="223"/>
      <c r="K226" s="14"/>
      <c r="L226" s="14" t="s">
        <v>1408</v>
      </c>
      <c r="M226" s="223"/>
      <c r="N226" s="14" t="s">
        <v>48</v>
      </c>
      <c r="O226" s="14" t="s">
        <v>34</v>
      </c>
      <c r="P226" s="14" t="s">
        <v>1409</v>
      </c>
      <c r="Q226" s="14"/>
      <c r="R226" s="14"/>
      <c r="S226" s="14" t="s">
        <v>1410</v>
      </c>
      <c r="T226" s="14" t="s">
        <v>36</v>
      </c>
      <c r="U226" s="17"/>
      <c r="V226" s="14"/>
      <c r="W226" s="14"/>
      <c r="X226" s="18"/>
      <c r="Y226" s="18"/>
      <c r="Z226" s="18"/>
      <c r="AA226" s="19">
        <f t="shared" si="1"/>
        <v>6</v>
      </c>
    </row>
    <row r="227" ht="31.5" customHeight="1">
      <c r="A227" s="12">
        <v>45103.0</v>
      </c>
      <c r="B227" s="27" t="s">
        <v>60</v>
      </c>
      <c r="C227" s="14" t="s">
        <v>4298</v>
      </c>
      <c r="D227" s="14"/>
      <c r="E227" s="14"/>
      <c r="F227" s="14"/>
      <c r="G227" s="14" t="s">
        <v>1419</v>
      </c>
      <c r="H227" s="14"/>
      <c r="I227" s="632" t="s">
        <v>1420</v>
      </c>
      <c r="J227" s="223"/>
      <c r="K227" s="14"/>
      <c r="L227" s="14" t="s">
        <v>1421</v>
      </c>
      <c r="M227" s="223"/>
      <c r="N227" s="27" t="s">
        <v>48</v>
      </c>
      <c r="O227" s="14" t="s">
        <v>565</v>
      </c>
      <c r="P227" s="14"/>
      <c r="Q227" s="14"/>
      <c r="R227" s="14"/>
      <c r="S227" s="14" t="s">
        <v>1422</v>
      </c>
      <c r="T227" s="14"/>
      <c r="U227" s="17">
        <v>45108.0</v>
      </c>
      <c r="V227" s="14"/>
      <c r="W227" s="14"/>
      <c r="X227" s="18"/>
      <c r="Y227" s="18"/>
      <c r="Z227" s="18"/>
      <c r="AA227" s="19">
        <f t="shared" si="1"/>
        <v>6</v>
      </c>
    </row>
    <row r="228" ht="31.5" customHeight="1">
      <c r="A228" s="12">
        <v>45104.0</v>
      </c>
      <c r="B228" s="14" t="s">
        <v>4620</v>
      </c>
      <c r="C228" s="14" t="s">
        <v>1423</v>
      </c>
      <c r="D228" s="14"/>
      <c r="E228" s="14"/>
      <c r="F228" s="14"/>
      <c r="G228" s="14"/>
      <c r="H228" s="14"/>
      <c r="I228" s="590" t="s">
        <v>1424</v>
      </c>
      <c r="J228" s="223"/>
      <c r="K228" s="14"/>
      <c r="L228" s="14"/>
      <c r="M228" s="223"/>
      <c r="N228" s="27" t="s">
        <v>111</v>
      </c>
      <c r="O228" s="14" t="s">
        <v>34</v>
      </c>
      <c r="P228" s="14"/>
      <c r="Q228" s="14"/>
      <c r="R228" s="14"/>
      <c r="S228" s="14" t="s">
        <v>1425</v>
      </c>
      <c r="T228" s="14" t="s">
        <v>4069</v>
      </c>
      <c r="U228" s="17"/>
      <c r="V228" s="14"/>
      <c r="W228" s="14"/>
      <c r="X228" s="18"/>
      <c r="Y228" s="18"/>
      <c r="Z228" s="18"/>
      <c r="AA228" s="19">
        <f t="shared" si="1"/>
        <v>6</v>
      </c>
    </row>
    <row r="229" ht="31.5" customHeight="1">
      <c r="A229" s="12">
        <v>45104.0</v>
      </c>
      <c r="B229" s="115" t="s">
        <v>4620</v>
      </c>
      <c r="C229" s="14" t="s">
        <v>1426</v>
      </c>
      <c r="D229" s="14"/>
      <c r="E229" s="14"/>
      <c r="F229" s="14"/>
      <c r="G229" s="14"/>
      <c r="H229" s="14"/>
      <c r="I229" s="590" t="s">
        <v>1427</v>
      </c>
      <c r="J229" s="223"/>
      <c r="K229" s="14"/>
      <c r="L229" s="14" t="s">
        <v>1428</v>
      </c>
      <c r="M229" s="223"/>
      <c r="N229" s="27" t="s">
        <v>48</v>
      </c>
      <c r="O229" s="14" t="s">
        <v>34</v>
      </c>
      <c r="P229" s="14"/>
      <c r="Q229" s="14"/>
      <c r="R229" s="14"/>
      <c r="S229" s="14" t="s">
        <v>1429</v>
      </c>
      <c r="T229" s="14" t="s">
        <v>36</v>
      </c>
      <c r="U229" s="17"/>
      <c r="V229" s="14"/>
      <c r="W229" s="14"/>
      <c r="X229" s="18"/>
      <c r="Y229" s="18"/>
      <c r="Z229" s="18"/>
      <c r="AA229" s="19">
        <f t="shared" si="1"/>
        <v>6</v>
      </c>
    </row>
    <row r="230" ht="31.5" customHeight="1">
      <c r="A230" s="12">
        <v>45104.0</v>
      </c>
      <c r="B230" s="115" t="s">
        <v>703</v>
      </c>
      <c r="C230" s="14" t="s">
        <v>1430</v>
      </c>
      <c r="D230" s="14"/>
      <c r="E230" s="14"/>
      <c r="F230" s="14"/>
      <c r="G230" s="14"/>
      <c r="H230" s="14"/>
      <c r="I230" s="590" t="s">
        <v>1431</v>
      </c>
      <c r="J230" s="223"/>
      <c r="K230" s="14"/>
      <c r="L230" s="14"/>
      <c r="M230" s="223"/>
      <c r="N230" s="27" t="s">
        <v>111</v>
      </c>
      <c r="O230" s="14" t="s">
        <v>216</v>
      </c>
      <c r="P230" s="14"/>
      <c r="Q230" s="14"/>
      <c r="R230" s="14"/>
      <c r="S230" s="14" t="s">
        <v>1432</v>
      </c>
      <c r="T230" s="14"/>
      <c r="U230" s="17"/>
      <c r="V230" s="14"/>
      <c r="W230" s="14"/>
      <c r="X230" s="18"/>
      <c r="Y230" s="18"/>
      <c r="Z230" s="18"/>
      <c r="AA230" s="19">
        <f t="shared" si="1"/>
        <v>6</v>
      </c>
    </row>
    <row r="231" ht="31.5" customHeight="1">
      <c r="A231" s="12">
        <v>45104.0</v>
      </c>
      <c r="B231" s="115" t="s">
        <v>703</v>
      </c>
      <c r="C231" s="14" t="s">
        <v>1433</v>
      </c>
      <c r="D231" s="14"/>
      <c r="E231" s="14"/>
      <c r="F231" s="14"/>
      <c r="G231" s="14"/>
      <c r="H231" s="14"/>
      <c r="I231" s="590" t="s">
        <v>1434</v>
      </c>
      <c r="J231" s="223"/>
      <c r="K231" s="14"/>
      <c r="L231" s="14" t="s">
        <v>1435</v>
      </c>
      <c r="M231" s="223"/>
      <c r="N231" s="27" t="s">
        <v>48</v>
      </c>
      <c r="O231" s="14" t="s">
        <v>34</v>
      </c>
      <c r="P231" s="14"/>
      <c r="Q231" s="14"/>
      <c r="R231" s="14"/>
      <c r="S231" s="14" t="s">
        <v>1436</v>
      </c>
      <c r="T231" s="14" t="s">
        <v>36</v>
      </c>
      <c r="U231" s="17"/>
      <c r="V231" s="14"/>
      <c r="W231" s="14"/>
      <c r="X231" s="18"/>
      <c r="Y231" s="18"/>
      <c r="Z231" s="18"/>
      <c r="AA231" s="19">
        <f t="shared" si="1"/>
        <v>6</v>
      </c>
    </row>
    <row r="232" ht="31.5" customHeight="1">
      <c r="A232" s="12">
        <v>45104.0</v>
      </c>
      <c r="B232" s="115" t="s">
        <v>4620</v>
      </c>
      <c r="C232" s="14" t="s">
        <v>1437</v>
      </c>
      <c r="D232" s="14"/>
      <c r="E232" s="14"/>
      <c r="F232" s="14"/>
      <c r="G232" s="14" t="s">
        <v>176</v>
      </c>
      <c r="H232" s="14"/>
      <c r="I232" s="590" t="s">
        <v>1438</v>
      </c>
      <c r="J232" s="223"/>
      <c r="K232" s="14"/>
      <c r="L232" s="14" t="s">
        <v>1439</v>
      </c>
      <c r="M232" s="223"/>
      <c r="N232" s="27" t="s">
        <v>111</v>
      </c>
      <c r="O232" s="14" t="s">
        <v>1049</v>
      </c>
      <c r="P232" s="14"/>
      <c r="Q232" s="14"/>
      <c r="R232" s="14"/>
      <c r="S232" s="14" t="s">
        <v>1440</v>
      </c>
      <c r="T232" s="14"/>
      <c r="U232" s="17"/>
      <c r="V232" s="14"/>
      <c r="W232" s="14"/>
      <c r="X232" s="18"/>
      <c r="Y232" s="18"/>
      <c r="Z232" s="18"/>
      <c r="AA232" s="19">
        <f t="shared" si="1"/>
        <v>6</v>
      </c>
    </row>
    <row r="233" ht="31.5" customHeight="1">
      <c r="A233" s="12">
        <v>45104.0</v>
      </c>
      <c r="B233" s="14" t="s">
        <v>60</v>
      </c>
      <c r="C233" s="14" t="s">
        <v>4299</v>
      </c>
      <c r="D233" s="14" t="s">
        <v>1442</v>
      </c>
      <c r="E233" s="14"/>
      <c r="F233" s="14"/>
      <c r="G233" s="14" t="s">
        <v>1443</v>
      </c>
      <c r="H233" s="14"/>
      <c r="I233" s="634" t="s">
        <v>1444</v>
      </c>
      <c r="J233" s="223"/>
      <c r="K233" s="14"/>
      <c r="L233" s="14"/>
      <c r="M233" s="223"/>
      <c r="N233" s="27" t="s">
        <v>48</v>
      </c>
      <c r="O233" s="14" t="s">
        <v>34</v>
      </c>
      <c r="P233" s="14"/>
      <c r="Q233" s="14"/>
      <c r="R233" s="14"/>
      <c r="S233" s="14" t="s">
        <v>1445</v>
      </c>
      <c r="T233" s="14" t="s">
        <v>36</v>
      </c>
      <c r="U233" s="17"/>
      <c r="V233" s="14"/>
      <c r="W233" s="14"/>
      <c r="X233" s="18"/>
      <c r="Y233" s="18"/>
      <c r="Z233" s="18"/>
      <c r="AA233" s="19">
        <f t="shared" si="1"/>
        <v>6</v>
      </c>
    </row>
    <row r="234" ht="31.5" customHeight="1">
      <c r="A234" s="12">
        <v>45104.0</v>
      </c>
      <c r="B234" s="115" t="s">
        <v>4620</v>
      </c>
      <c r="C234" s="14" t="s">
        <v>1446</v>
      </c>
      <c r="D234" s="14"/>
      <c r="E234" s="14"/>
      <c r="F234" s="14"/>
      <c r="G234" s="14"/>
      <c r="H234" s="14"/>
      <c r="I234" s="590" t="s">
        <v>1447</v>
      </c>
      <c r="J234" s="223"/>
      <c r="K234" s="14"/>
      <c r="L234" s="14" t="s">
        <v>1448</v>
      </c>
      <c r="M234" s="223"/>
      <c r="N234" s="27" t="s">
        <v>48</v>
      </c>
      <c r="O234" s="14" t="s">
        <v>34</v>
      </c>
      <c r="P234" s="14"/>
      <c r="Q234" s="14"/>
      <c r="R234" s="14"/>
      <c r="S234" s="14" t="s">
        <v>1449</v>
      </c>
      <c r="T234" s="14" t="s">
        <v>36</v>
      </c>
      <c r="U234" s="17"/>
      <c r="V234" s="14"/>
      <c r="W234" s="14"/>
      <c r="X234" s="18"/>
      <c r="Y234" s="18"/>
      <c r="Z234" s="18"/>
      <c r="AA234" s="19">
        <f t="shared" si="1"/>
        <v>6</v>
      </c>
    </row>
    <row r="235" ht="31.5" customHeight="1">
      <c r="A235" s="12">
        <v>45104.0</v>
      </c>
      <c r="B235" s="14" t="s">
        <v>4620</v>
      </c>
      <c r="C235" s="14" t="s">
        <v>393</v>
      </c>
      <c r="D235" s="14"/>
      <c r="E235" s="14"/>
      <c r="F235" s="14"/>
      <c r="G235" s="14"/>
      <c r="H235" s="14"/>
      <c r="I235" s="590" t="s">
        <v>1450</v>
      </c>
      <c r="J235" s="223"/>
      <c r="K235" s="14"/>
      <c r="L235" s="14" t="s">
        <v>1451</v>
      </c>
      <c r="M235" s="223"/>
      <c r="N235" s="27" t="s">
        <v>111</v>
      </c>
      <c r="O235" s="14" t="s">
        <v>34</v>
      </c>
      <c r="P235" s="14"/>
      <c r="Q235" s="14"/>
      <c r="R235" s="14"/>
      <c r="S235" s="14" t="s">
        <v>1452</v>
      </c>
      <c r="T235" s="14" t="s">
        <v>4069</v>
      </c>
      <c r="U235" s="17"/>
      <c r="V235" s="14"/>
      <c r="W235" s="14"/>
      <c r="X235" s="18"/>
      <c r="Y235" s="18"/>
      <c r="Z235" s="18"/>
      <c r="AA235" s="19">
        <f t="shared" si="1"/>
        <v>6</v>
      </c>
    </row>
    <row r="236" ht="31.5" customHeight="1">
      <c r="A236" s="12">
        <v>45104.0</v>
      </c>
      <c r="B236" s="14" t="s">
        <v>60</v>
      </c>
      <c r="C236" s="514" t="s">
        <v>4300</v>
      </c>
      <c r="D236" s="514" t="s">
        <v>1453</v>
      </c>
      <c r="E236" s="14"/>
      <c r="F236" s="14"/>
      <c r="G236" s="14" t="s">
        <v>1443</v>
      </c>
      <c r="H236" s="14"/>
      <c r="I236" s="634" t="s">
        <v>1454</v>
      </c>
      <c r="J236" s="223"/>
      <c r="K236" s="14"/>
      <c r="L236" s="14"/>
      <c r="M236" s="223"/>
      <c r="N236" s="27" t="s">
        <v>48</v>
      </c>
      <c r="O236" s="14" t="s">
        <v>565</v>
      </c>
      <c r="P236" s="14"/>
      <c r="Q236" s="14"/>
      <c r="R236" s="14"/>
      <c r="S236" s="14" t="s">
        <v>1455</v>
      </c>
      <c r="T236" s="14"/>
      <c r="U236" s="17"/>
      <c r="V236" s="14"/>
      <c r="W236" s="14"/>
      <c r="X236" s="18"/>
      <c r="Y236" s="18"/>
      <c r="Z236" s="18"/>
      <c r="AA236" s="19">
        <f t="shared" si="1"/>
        <v>6</v>
      </c>
    </row>
    <row r="237" ht="31.5" customHeight="1">
      <c r="A237" s="12">
        <v>45104.0</v>
      </c>
      <c r="B237" s="14" t="s">
        <v>60</v>
      </c>
      <c r="C237" s="14" t="s">
        <v>4605</v>
      </c>
      <c r="D237" s="14" t="s">
        <v>3948</v>
      </c>
      <c r="E237" s="14"/>
      <c r="F237" s="14">
        <v>2012.0</v>
      </c>
      <c r="G237" s="14" t="s">
        <v>297</v>
      </c>
      <c r="H237" s="14"/>
      <c r="I237" s="628" t="s">
        <v>3949</v>
      </c>
      <c r="J237" s="223"/>
      <c r="K237" s="14"/>
      <c r="L237" s="14" t="s">
        <v>3950</v>
      </c>
      <c r="M237" s="223"/>
      <c r="N237" s="27" t="s">
        <v>111</v>
      </c>
      <c r="O237" s="14" t="s">
        <v>34</v>
      </c>
      <c r="P237" s="61" t="s">
        <v>3951</v>
      </c>
      <c r="Q237" s="14"/>
      <c r="R237" s="14"/>
      <c r="S237" s="14" t="s">
        <v>5937</v>
      </c>
      <c r="T237" s="43" t="s">
        <v>4197</v>
      </c>
      <c r="U237" s="17"/>
      <c r="V237" s="14"/>
      <c r="W237" s="14"/>
      <c r="X237" s="18"/>
      <c r="Y237" s="18"/>
      <c r="Z237" s="18"/>
      <c r="AA237" s="19">
        <f t="shared" si="1"/>
        <v>6</v>
      </c>
    </row>
    <row r="238" ht="31.5" customHeight="1">
      <c r="A238" s="12">
        <v>45104.0</v>
      </c>
      <c r="B238" s="14" t="s">
        <v>60</v>
      </c>
      <c r="C238" s="14" t="s">
        <v>4605</v>
      </c>
      <c r="D238" s="14" t="s">
        <v>3953</v>
      </c>
      <c r="E238" s="14"/>
      <c r="F238" s="14">
        <v>2013.0</v>
      </c>
      <c r="G238" s="14" t="s">
        <v>155</v>
      </c>
      <c r="H238" s="14"/>
      <c r="I238" s="11"/>
      <c r="J238" s="223"/>
      <c r="K238" s="14"/>
      <c r="L238" s="14" t="s">
        <v>3950</v>
      </c>
      <c r="M238" s="223"/>
      <c r="N238" s="27" t="s">
        <v>111</v>
      </c>
      <c r="O238" s="14" t="s">
        <v>565</v>
      </c>
      <c r="P238" s="14"/>
      <c r="Q238" s="14"/>
      <c r="R238" s="14"/>
      <c r="S238" s="14" t="s">
        <v>5938</v>
      </c>
      <c r="T238" s="14" t="s">
        <v>4197</v>
      </c>
      <c r="U238" s="17">
        <v>45124.0</v>
      </c>
      <c r="V238" s="14"/>
      <c r="W238" s="14"/>
      <c r="X238" s="18"/>
      <c r="Y238" s="18"/>
      <c r="Z238" s="18"/>
      <c r="AA238" s="19">
        <f t="shared" si="1"/>
        <v>6</v>
      </c>
    </row>
    <row r="239" ht="31.5" customHeight="1">
      <c r="A239" s="12">
        <v>45104.0</v>
      </c>
      <c r="B239" s="14" t="s">
        <v>4620</v>
      </c>
      <c r="C239" s="14" t="s">
        <v>1463</v>
      </c>
      <c r="D239" s="14"/>
      <c r="E239" s="14"/>
      <c r="F239" s="14" t="s">
        <v>425</v>
      </c>
      <c r="G239" s="14"/>
      <c r="H239" s="14"/>
      <c r="I239" s="590" t="s">
        <v>1464</v>
      </c>
      <c r="J239" s="223"/>
      <c r="K239" s="14"/>
      <c r="L239" s="14"/>
      <c r="M239" s="223"/>
      <c r="N239" s="27" t="s">
        <v>111</v>
      </c>
      <c r="O239" s="14" t="s">
        <v>158</v>
      </c>
      <c r="P239" s="14"/>
      <c r="Q239" s="14"/>
      <c r="R239" s="14"/>
      <c r="S239" s="14" t="s">
        <v>1465</v>
      </c>
      <c r="T239" s="14" t="s">
        <v>4302</v>
      </c>
      <c r="U239" s="17">
        <v>45120.0</v>
      </c>
      <c r="V239" s="14"/>
      <c r="W239" s="14"/>
      <c r="X239" s="18"/>
      <c r="Y239" s="18"/>
      <c r="Z239" s="18"/>
      <c r="AA239" s="19">
        <f t="shared" si="1"/>
        <v>6</v>
      </c>
    </row>
    <row r="240" ht="31.5" customHeight="1">
      <c r="A240" s="12">
        <v>45104.0</v>
      </c>
      <c r="B240" s="14" t="s">
        <v>4620</v>
      </c>
      <c r="C240" s="14" t="s">
        <v>1466</v>
      </c>
      <c r="D240" s="14" t="s">
        <v>1467</v>
      </c>
      <c r="E240" s="14"/>
      <c r="F240" s="142">
        <v>41255.0</v>
      </c>
      <c r="G240" s="14" t="s">
        <v>437</v>
      </c>
      <c r="H240" s="14"/>
      <c r="I240" s="590" t="s">
        <v>1468</v>
      </c>
      <c r="J240" s="223"/>
      <c r="K240" s="14"/>
      <c r="L240" s="14"/>
      <c r="M240" s="223"/>
      <c r="N240" s="27" t="s">
        <v>48</v>
      </c>
      <c r="O240" s="14" t="s">
        <v>34</v>
      </c>
      <c r="P240" s="14" t="s">
        <v>1469</v>
      </c>
      <c r="Q240" s="14"/>
      <c r="R240" s="14"/>
      <c r="S240" s="14" t="s">
        <v>1470</v>
      </c>
      <c r="T240" s="14" t="s">
        <v>36</v>
      </c>
      <c r="U240" s="17"/>
      <c r="V240" s="14"/>
      <c r="W240" s="14"/>
      <c r="X240" s="18"/>
      <c r="Y240" s="18"/>
      <c r="Z240" s="18"/>
      <c r="AA240" s="19">
        <f t="shared" si="1"/>
        <v>6</v>
      </c>
    </row>
    <row r="241" ht="31.5" customHeight="1">
      <c r="A241" s="12">
        <v>45104.0</v>
      </c>
      <c r="B241" s="14" t="s">
        <v>4620</v>
      </c>
      <c r="C241" s="14" t="s">
        <v>1471</v>
      </c>
      <c r="D241" s="14" t="s">
        <v>1472</v>
      </c>
      <c r="E241" s="14"/>
      <c r="F241" s="14" t="s">
        <v>4303</v>
      </c>
      <c r="G241" s="14"/>
      <c r="H241" s="14"/>
      <c r="I241" s="590" t="s">
        <v>1473</v>
      </c>
      <c r="J241" s="223"/>
      <c r="K241" s="14"/>
      <c r="L241" s="14"/>
      <c r="M241" s="223"/>
      <c r="N241" s="27" t="s">
        <v>48</v>
      </c>
      <c r="O241" s="14" t="s">
        <v>34</v>
      </c>
      <c r="P241" s="14" t="s">
        <v>1474</v>
      </c>
      <c r="Q241" s="14"/>
      <c r="R241" s="14"/>
      <c r="S241" s="14" t="s">
        <v>1475</v>
      </c>
      <c r="T241" s="14" t="s">
        <v>36</v>
      </c>
      <c r="U241" s="41"/>
      <c r="V241" s="14"/>
      <c r="W241" s="14"/>
      <c r="X241" s="18"/>
      <c r="Y241" s="18"/>
      <c r="Z241" s="18"/>
      <c r="AA241" s="19">
        <f t="shared" si="1"/>
        <v>6</v>
      </c>
    </row>
    <row r="242" ht="31.5" customHeight="1">
      <c r="A242" s="12">
        <v>45104.0</v>
      </c>
      <c r="B242" s="14" t="s">
        <v>4620</v>
      </c>
      <c r="C242" s="14" t="s">
        <v>1482</v>
      </c>
      <c r="D242" s="14"/>
      <c r="E242" s="14"/>
      <c r="F242" s="14"/>
      <c r="G242" s="14"/>
      <c r="H242" s="14"/>
      <c r="I242" s="590" t="s">
        <v>1483</v>
      </c>
      <c r="J242" s="223"/>
      <c r="K242" s="14"/>
      <c r="L242" s="14"/>
      <c r="M242" s="223"/>
      <c r="N242" s="27" t="s">
        <v>48</v>
      </c>
      <c r="O242" s="14" t="s">
        <v>1484</v>
      </c>
      <c r="P242" s="14"/>
      <c r="Q242" s="14"/>
      <c r="R242" s="14"/>
      <c r="S242" s="14" t="s">
        <v>1485</v>
      </c>
      <c r="T242" s="14" t="s">
        <v>4305</v>
      </c>
      <c r="U242" s="17">
        <v>45114.0</v>
      </c>
      <c r="V242" s="14"/>
      <c r="W242" s="14"/>
      <c r="X242" s="18"/>
      <c r="Y242" s="18"/>
      <c r="Z242" s="18"/>
      <c r="AA242" s="19">
        <f t="shared" si="1"/>
        <v>6</v>
      </c>
    </row>
    <row r="243" ht="31.5" customHeight="1">
      <c r="A243" s="12">
        <v>45104.0</v>
      </c>
      <c r="B243" s="14" t="s">
        <v>4620</v>
      </c>
      <c r="C243" s="14" t="s">
        <v>1492</v>
      </c>
      <c r="D243" s="14" t="s">
        <v>1493</v>
      </c>
      <c r="E243" s="14"/>
      <c r="F243" s="14">
        <v>2014.0</v>
      </c>
      <c r="G243" s="14">
        <v>4.0</v>
      </c>
      <c r="H243" s="14"/>
      <c r="I243" s="590" t="s">
        <v>1494</v>
      </c>
      <c r="J243" s="223"/>
      <c r="K243" s="14"/>
      <c r="L243" s="14"/>
      <c r="M243" s="223"/>
      <c r="N243" s="27" t="s">
        <v>48</v>
      </c>
      <c r="O243" s="14" t="s">
        <v>34</v>
      </c>
      <c r="P243" s="14" t="s">
        <v>1495</v>
      </c>
      <c r="Q243" s="14"/>
      <c r="R243" s="14"/>
      <c r="S243" s="14" t="s">
        <v>1496</v>
      </c>
      <c r="T243" s="14" t="s">
        <v>4307</v>
      </c>
      <c r="U243" s="17">
        <v>45127.0</v>
      </c>
      <c r="V243" s="14"/>
      <c r="W243" s="14"/>
      <c r="X243" s="18"/>
      <c r="Y243" s="18"/>
      <c r="Z243" s="18"/>
      <c r="AA243" s="19">
        <f t="shared" si="1"/>
        <v>6</v>
      </c>
    </row>
    <row r="244" ht="31.5" customHeight="1">
      <c r="A244" s="12">
        <v>45104.0</v>
      </c>
      <c r="B244" s="14" t="s">
        <v>4620</v>
      </c>
      <c r="C244" s="14" t="s">
        <v>1497</v>
      </c>
      <c r="D244" s="14" t="s">
        <v>1498</v>
      </c>
      <c r="E244" s="14"/>
      <c r="F244" s="14" t="s">
        <v>4308</v>
      </c>
      <c r="G244" s="14"/>
      <c r="H244" s="14"/>
      <c r="I244" s="633" t="s">
        <v>1499</v>
      </c>
      <c r="J244" s="223"/>
      <c r="K244" s="14"/>
      <c r="L244" s="14" t="s">
        <v>1500</v>
      </c>
      <c r="M244" s="223"/>
      <c r="N244" s="27" t="s">
        <v>111</v>
      </c>
      <c r="O244" s="14" t="s">
        <v>13</v>
      </c>
      <c r="P244" s="61"/>
      <c r="Q244" s="14"/>
      <c r="R244" s="14"/>
      <c r="S244" s="14" t="s">
        <v>1501</v>
      </c>
      <c r="T244" s="14" t="s">
        <v>4096</v>
      </c>
      <c r="U244" s="17">
        <v>45117.0</v>
      </c>
      <c r="V244" s="14"/>
      <c r="W244" s="14"/>
      <c r="X244" s="18"/>
      <c r="Y244" s="18"/>
      <c r="Z244" s="18"/>
      <c r="AA244" s="19">
        <f t="shared" si="1"/>
        <v>6</v>
      </c>
    </row>
    <row r="245" ht="31.5" customHeight="1">
      <c r="A245" s="12">
        <v>45104.0</v>
      </c>
      <c r="B245" s="115" t="s">
        <v>4620</v>
      </c>
      <c r="C245" s="14" t="s">
        <v>1508</v>
      </c>
      <c r="D245" s="14"/>
      <c r="E245" s="14"/>
      <c r="F245" s="14" t="s">
        <v>437</v>
      </c>
      <c r="G245" s="14"/>
      <c r="H245" s="14"/>
      <c r="I245" s="590" t="s">
        <v>1509</v>
      </c>
      <c r="J245" s="223"/>
      <c r="K245" s="14"/>
      <c r="L245" s="14"/>
      <c r="M245" s="591" t="s">
        <v>5939</v>
      </c>
      <c r="N245" s="27" t="s">
        <v>111</v>
      </c>
      <c r="O245" s="14" t="s">
        <v>34</v>
      </c>
      <c r="P245" s="14"/>
      <c r="Q245" s="14"/>
      <c r="R245" s="14"/>
      <c r="S245" s="14" t="s">
        <v>1510</v>
      </c>
      <c r="T245" s="14" t="s">
        <v>4069</v>
      </c>
      <c r="U245" s="17"/>
      <c r="V245" s="14"/>
      <c r="W245" s="14"/>
      <c r="X245" s="18"/>
      <c r="Y245" s="18"/>
      <c r="Z245" s="18"/>
      <c r="AA245" s="19">
        <f t="shared" si="1"/>
        <v>6</v>
      </c>
    </row>
    <row r="246" ht="31.5" customHeight="1">
      <c r="A246" s="12">
        <v>45104.0</v>
      </c>
      <c r="B246" s="14" t="s">
        <v>4620</v>
      </c>
      <c r="C246" s="120" t="s">
        <v>1511</v>
      </c>
      <c r="D246" s="14"/>
      <c r="E246" s="14"/>
      <c r="F246" s="14" t="s">
        <v>4310</v>
      </c>
      <c r="G246" s="14"/>
      <c r="H246" s="14"/>
      <c r="I246" s="635" t="s">
        <v>1512</v>
      </c>
      <c r="J246" s="223"/>
      <c r="K246" s="14"/>
      <c r="L246" s="14" t="s">
        <v>1513</v>
      </c>
      <c r="M246" s="223"/>
      <c r="N246" s="27" t="s">
        <v>48</v>
      </c>
      <c r="O246" s="14" t="s">
        <v>158</v>
      </c>
      <c r="P246" s="14"/>
      <c r="Q246" s="14"/>
      <c r="R246" s="14"/>
      <c r="S246" s="14" t="s">
        <v>1514</v>
      </c>
      <c r="T246" s="14" t="s">
        <v>4311</v>
      </c>
      <c r="U246" s="17"/>
      <c r="V246" s="14"/>
      <c r="W246" s="14"/>
      <c r="X246" s="18"/>
      <c r="Y246" s="18"/>
      <c r="Z246" s="18"/>
      <c r="AA246" s="19">
        <f t="shared" si="1"/>
        <v>6</v>
      </c>
    </row>
    <row r="247" ht="31.5" customHeight="1">
      <c r="A247" s="12">
        <v>45104.0</v>
      </c>
      <c r="B247" s="14" t="s">
        <v>4620</v>
      </c>
      <c r="C247" s="120" t="s">
        <v>1511</v>
      </c>
      <c r="D247" s="14"/>
      <c r="E247" s="14"/>
      <c r="F247" s="14" t="s">
        <v>4312</v>
      </c>
      <c r="G247" s="14"/>
      <c r="H247" s="14"/>
      <c r="I247" s="635" t="s">
        <v>1512</v>
      </c>
      <c r="J247" s="223"/>
      <c r="K247" s="14"/>
      <c r="L247" s="14" t="s">
        <v>1513</v>
      </c>
      <c r="M247" s="223"/>
      <c r="N247" s="27" t="s">
        <v>48</v>
      </c>
      <c r="O247" s="14" t="s">
        <v>158</v>
      </c>
      <c r="P247" s="14"/>
      <c r="Q247" s="14"/>
      <c r="R247" s="14"/>
      <c r="S247" s="278" t="s">
        <v>1515</v>
      </c>
      <c r="T247" s="14" t="s">
        <v>4311</v>
      </c>
      <c r="U247" s="17">
        <v>45127.0</v>
      </c>
      <c r="V247" s="14"/>
      <c r="W247" s="14"/>
      <c r="X247" s="18"/>
      <c r="Y247" s="18"/>
      <c r="Z247" s="18"/>
      <c r="AA247" s="19">
        <f t="shared" si="1"/>
        <v>6</v>
      </c>
    </row>
    <row r="248" ht="31.5" customHeight="1">
      <c r="A248" s="12">
        <v>45104.0</v>
      </c>
      <c r="B248" s="14" t="s">
        <v>73</v>
      </c>
      <c r="C248" s="14" t="s">
        <v>1516</v>
      </c>
      <c r="D248" s="14" t="s">
        <v>1517</v>
      </c>
      <c r="E248" s="14"/>
      <c r="F248" s="14" t="s">
        <v>4313</v>
      </c>
      <c r="G248" s="14"/>
      <c r="H248" s="14"/>
      <c r="I248" s="590" t="s">
        <v>1518</v>
      </c>
      <c r="J248" s="223"/>
      <c r="K248" s="14"/>
      <c r="L248" s="14" t="s">
        <v>1519</v>
      </c>
      <c r="M248" s="223"/>
      <c r="N248" s="27" t="s">
        <v>111</v>
      </c>
      <c r="O248" s="14" t="s">
        <v>34</v>
      </c>
      <c r="P248" s="285" t="s">
        <v>1520</v>
      </c>
      <c r="Q248" s="14"/>
      <c r="R248" s="14"/>
      <c r="S248" s="14" t="s">
        <v>1521</v>
      </c>
      <c r="T248" s="14" t="s">
        <v>4069</v>
      </c>
      <c r="U248" s="17"/>
      <c r="V248" s="14"/>
      <c r="W248" s="14"/>
      <c r="X248" s="18"/>
      <c r="Y248" s="18"/>
      <c r="Z248" s="18"/>
      <c r="AA248" s="19">
        <f t="shared" si="1"/>
        <v>6</v>
      </c>
    </row>
    <row r="249" ht="31.5" customHeight="1">
      <c r="A249" s="12">
        <v>45104.0</v>
      </c>
      <c r="B249" s="14" t="s">
        <v>4620</v>
      </c>
      <c r="C249" s="37" t="s">
        <v>1522</v>
      </c>
      <c r="D249" s="14" t="s">
        <v>1523</v>
      </c>
      <c r="E249" s="14"/>
      <c r="F249" s="14" t="s">
        <v>234</v>
      </c>
      <c r="G249" s="14"/>
      <c r="H249" s="14"/>
      <c r="I249" s="590" t="s">
        <v>1524</v>
      </c>
      <c r="J249" s="223"/>
      <c r="K249" s="14"/>
      <c r="L249" s="14" t="s">
        <v>4314</v>
      </c>
      <c r="M249" s="223"/>
      <c r="N249" s="27" t="s">
        <v>48</v>
      </c>
      <c r="O249" s="14" t="s">
        <v>158</v>
      </c>
      <c r="P249" s="14"/>
      <c r="Q249" s="14"/>
      <c r="R249" s="14"/>
      <c r="S249" s="14" t="s">
        <v>1526</v>
      </c>
      <c r="T249" s="14"/>
      <c r="U249" s="17">
        <v>45122.0</v>
      </c>
      <c r="V249" s="14"/>
      <c r="W249" s="14"/>
      <c r="X249" s="18"/>
      <c r="Y249" s="18"/>
      <c r="Z249" s="18"/>
      <c r="AA249" s="19">
        <f t="shared" si="1"/>
        <v>6</v>
      </c>
    </row>
    <row r="250" ht="31.5" customHeight="1">
      <c r="A250" s="12">
        <v>45101.0</v>
      </c>
      <c r="B250" s="14" t="s">
        <v>4620</v>
      </c>
      <c r="C250" s="14"/>
      <c r="D250" s="14" t="s">
        <v>1527</v>
      </c>
      <c r="E250" s="14"/>
      <c r="F250" s="14"/>
      <c r="G250" s="14"/>
      <c r="H250" s="14"/>
      <c r="I250" s="590" t="s">
        <v>1528</v>
      </c>
      <c r="J250" s="223"/>
      <c r="K250" s="14"/>
      <c r="L250" s="14" t="s">
        <v>1529</v>
      </c>
      <c r="M250" s="223"/>
      <c r="N250" s="14" t="s">
        <v>111</v>
      </c>
      <c r="O250" s="14" t="s">
        <v>565</v>
      </c>
      <c r="P250" s="14"/>
      <c r="Q250" s="14"/>
      <c r="R250" s="14"/>
      <c r="S250" s="14" t="s">
        <v>5940</v>
      </c>
      <c r="T250" s="14" t="s">
        <v>4096</v>
      </c>
      <c r="U250" s="17">
        <v>45106.0</v>
      </c>
      <c r="V250" s="14"/>
      <c r="W250" s="14"/>
      <c r="X250" s="18"/>
      <c r="Y250" s="18"/>
      <c r="Z250" s="18"/>
      <c r="AA250" s="19">
        <f t="shared" si="1"/>
        <v>6</v>
      </c>
    </row>
    <row r="251" ht="31.5" customHeight="1">
      <c r="A251" s="12">
        <v>45100.0</v>
      </c>
      <c r="B251" s="14" t="s">
        <v>4620</v>
      </c>
      <c r="C251" s="14" t="s">
        <v>1531</v>
      </c>
      <c r="D251" s="14"/>
      <c r="E251" s="14"/>
      <c r="F251" s="14"/>
      <c r="G251" s="14"/>
      <c r="H251" s="14"/>
      <c r="I251" s="590" t="s">
        <v>1532</v>
      </c>
      <c r="J251" s="223"/>
      <c r="K251" s="14"/>
      <c r="L251" s="14"/>
      <c r="M251" s="223"/>
      <c r="N251" s="14" t="s">
        <v>111</v>
      </c>
      <c r="O251" s="14" t="s">
        <v>34</v>
      </c>
      <c r="P251" s="14"/>
      <c r="Q251" s="14"/>
      <c r="R251" s="14"/>
      <c r="S251" s="138" t="s">
        <v>1533</v>
      </c>
      <c r="T251" s="14" t="s">
        <v>4069</v>
      </c>
      <c r="U251" s="17"/>
      <c r="V251" s="14"/>
      <c r="W251" s="14"/>
      <c r="X251" s="18"/>
      <c r="Y251" s="18"/>
      <c r="Z251" s="18"/>
      <c r="AA251" s="19">
        <f t="shared" si="1"/>
        <v>6</v>
      </c>
    </row>
    <row r="252" ht="31.5" customHeight="1">
      <c r="A252" s="12">
        <v>45100.0</v>
      </c>
      <c r="B252" s="14" t="s">
        <v>4620</v>
      </c>
      <c r="C252" s="14" t="s">
        <v>1534</v>
      </c>
      <c r="D252" s="14" t="s">
        <v>1535</v>
      </c>
      <c r="E252" s="14"/>
      <c r="F252" s="14"/>
      <c r="G252" s="14" t="s">
        <v>155</v>
      </c>
      <c r="H252" s="14"/>
      <c r="I252" s="590" t="s">
        <v>1536</v>
      </c>
      <c r="J252" s="223"/>
      <c r="K252" s="14"/>
      <c r="L252" s="14"/>
      <c r="M252" s="223"/>
      <c r="N252" s="14" t="s">
        <v>48</v>
      </c>
      <c r="O252" s="14" t="s">
        <v>34</v>
      </c>
      <c r="P252" s="14"/>
      <c r="Q252" s="14"/>
      <c r="R252" s="14"/>
      <c r="S252" s="14" t="s">
        <v>1537</v>
      </c>
      <c r="T252" s="14" t="s">
        <v>36</v>
      </c>
      <c r="U252" s="17"/>
      <c r="V252" s="14"/>
      <c r="W252" s="14"/>
      <c r="X252" s="18"/>
      <c r="Y252" s="18"/>
      <c r="Z252" s="18"/>
      <c r="AA252" s="19">
        <f t="shared" si="1"/>
        <v>6</v>
      </c>
    </row>
    <row r="253" ht="31.5" customHeight="1">
      <c r="A253" s="12">
        <v>45100.0</v>
      </c>
      <c r="B253" s="14" t="s">
        <v>4620</v>
      </c>
      <c r="C253" s="14" t="s">
        <v>1538</v>
      </c>
      <c r="D253" s="14"/>
      <c r="E253" s="14"/>
      <c r="F253" s="14"/>
      <c r="G253" s="14"/>
      <c r="H253" s="14"/>
      <c r="I253" s="590" t="s">
        <v>1539</v>
      </c>
      <c r="J253" s="223"/>
      <c r="K253" s="14"/>
      <c r="L253" s="14"/>
      <c r="M253" s="223"/>
      <c r="N253" s="14" t="s">
        <v>111</v>
      </c>
      <c r="O253" s="14" t="s">
        <v>565</v>
      </c>
      <c r="P253" s="14"/>
      <c r="Q253" s="14"/>
      <c r="R253" s="14"/>
      <c r="S253" s="14" t="s">
        <v>1540</v>
      </c>
      <c r="T253" s="14" t="s">
        <v>4096</v>
      </c>
      <c r="U253" s="17">
        <v>45114.0</v>
      </c>
      <c r="V253" s="14"/>
      <c r="W253" s="14"/>
      <c r="X253" s="18"/>
      <c r="Y253" s="18"/>
      <c r="Z253" s="18"/>
      <c r="AA253" s="19">
        <f t="shared" si="1"/>
        <v>6</v>
      </c>
    </row>
    <row r="254" ht="31.5" customHeight="1">
      <c r="A254" s="12">
        <v>45103.0</v>
      </c>
      <c r="B254" s="14" t="s">
        <v>4620</v>
      </c>
      <c r="C254" s="14" t="s">
        <v>1541</v>
      </c>
      <c r="D254" s="14" t="s">
        <v>1542</v>
      </c>
      <c r="E254" s="14"/>
      <c r="F254" s="14" t="s">
        <v>1244</v>
      </c>
      <c r="G254" s="14"/>
      <c r="H254" s="14"/>
      <c r="I254" s="590" t="s">
        <v>1543</v>
      </c>
      <c r="J254" s="223"/>
      <c r="K254" s="14"/>
      <c r="L254" s="14" t="s">
        <v>1544</v>
      </c>
      <c r="M254" s="223"/>
      <c r="N254" s="27" t="s">
        <v>111</v>
      </c>
      <c r="O254" s="14" t="s">
        <v>565</v>
      </c>
      <c r="P254" s="14"/>
      <c r="Q254" s="14"/>
      <c r="R254" s="14"/>
      <c r="S254" s="14" t="s">
        <v>1545</v>
      </c>
      <c r="T254" s="14" t="s">
        <v>4096</v>
      </c>
      <c r="U254" s="17">
        <v>45117.0</v>
      </c>
      <c r="V254" s="14"/>
      <c r="W254" s="14"/>
      <c r="X254" s="18"/>
      <c r="Y254" s="18"/>
      <c r="Z254" s="18"/>
      <c r="AA254" s="19">
        <f t="shared" si="1"/>
        <v>6</v>
      </c>
    </row>
    <row r="255" ht="31.5" customHeight="1">
      <c r="A255" s="12">
        <v>45105.0</v>
      </c>
      <c r="B255" s="14" t="s">
        <v>60</v>
      </c>
      <c r="C255" s="514" t="s">
        <v>4318</v>
      </c>
      <c r="D255" s="14" t="s">
        <v>1554</v>
      </c>
      <c r="E255" s="14"/>
      <c r="F255" s="14"/>
      <c r="G255" s="14"/>
      <c r="H255" s="14"/>
      <c r="I255" s="636">
        <v>9.05123029E8</v>
      </c>
      <c r="J255" s="223"/>
      <c r="K255" s="14"/>
      <c r="L255" s="14"/>
      <c r="M255" s="223"/>
      <c r="N255" s="27" t="s">
        <v>111</v>
      </c>
      <c r="O255" s="14" t="s">
        <v>34</v>
      </c>
      <c r="P255" s="14"/>
      <c r="Q255" s="14"/>
      <c r="R255" s="14"/>
      <c r="S255" s="14" t="s">
        <v>1555</v>
      </c>
      <c r="T255" s="14" t="s">
        <v>4096</v>
      </c>
      <c r="U255" s="17"/>
      <c r="V255" s="14"/>
      <c r="W255" s="14"/>
      <c r="X255" s="18"/>
      <c r="Y255" s="18"/>
      <c r="Z255" s="18"/>
      <c r="AA255" s="19">
        <f t="shared" si="1"/>
        <v>6</v>
      </c>
    </row>
    <row r="256" ht="31.5" customHeight="1">
      <c r="A256" s="12">
        <v>45105.0</v>
      </c>
      <c r="B256" s="14" t="s">
        <v>60</v>
      </c>
      <c r="C256" s="514" t="s">
        <v>4318</v>
      </c>
      <c r="D256" s="14" t="s">
        <v>1556</v>
      </c>
      <c r="E256" s="14"/>
      <c r="F256" s="14"/>
      <c r="G256" s="14"/>
      <c r="H256" s="14"/>
      <c r="I256" s="636">
        <v>9.05123029E8</v>
      </c>
      <c r="J256" s="223"/>
      <c r="K256" s="14"/>
      <c r="L256" s="14"/>
      <c r="M256" s="223"/>
      <c r="N256" s="27" t="s">
        <v>111</v>
      </c>
      <c r="O256" s="14" t="s">
        <v>34</v>
      </c>
      <c r="P256" s="14"/>
      <c r="Q256" s="14"/>
      <c r="R256" s="14"/>
      <c r="S256" s="14" t="s">
        <v>1557</v>
      </c>
      <c r="T256" s="14" t="s">
        <v>4096</v>
      </c>
      <c r="U256" s="17"/>
      <c r="V256" s="14"/>
      <c r="W256" s="14"/>
      <c r="X256" s="18"/>
      <c r="Y256" s="18"/>
      <c r="Z256" s="18"/>
      <c r="AA256" s="19">
        <f t="shared" si="1"/>
        <v>6</v>
      </c>
    </row>
    <row r="257" ht="31.5" customHeight="1">
      <c r="A257" s="12">
        <v>45105.0</v>
      </c>
      <c r="B257" s="14" t="s">
        <v>703</v>
      </c>
      <c r="C257" s="512" t="s">
        <v>1558</v>
      </c>
      <c r="D257" s="14"/>
      <c r="E257" s="14"/>
      <c r="F257" s="14"/>
      <c r="G257" s="14"/>
      <c r="H257" s="14"/>
      <c r="I257" s="632" t="s">
        <v>1559</v>
      </c>
      <c r="J257" s="223"/>
      <c r="K257" s="14"/>
      <c r="L257" s="14" t="s">
        <v>4319</v>
      </c>
      <c r="M257" s="223"/>
      <c r="N257" s="27" t="s">
        <v>111</v>
      </c>
      <c r="O257" s="14" t="s">
        <v>34</v>
      </c>
      <c r="P257" s="14"/>
      <c r="Q257" s="14"/>
      <c r="R257" s="14"/>
      <c r="S257" s="14" t="s">
        <v>1561</v>
      </c>
      <c r="T257" s="14" t="s">
        <v>4069</v>
      </c>
      <c r="U257" s="17"/>
      <c r="V257" s="14"/>
      <c r="W257" s="14"/>
      <c r="X257" s="18"/>
      <c r="Y257" s="18"/>
      <c r="Z257" s="18"/>
      <c r="AA257" s="19">
        <f t="shared" si="1"/>
        <v>6</v>
      </c>
    </row>
    <row r="258" ht="31.5" customHeight="1">
      <c r="A258" s="12">
        <v>45105.0</v>
      </c>
      <c r="B258" s="14" t="s">
        <v>703</v>
      </c>
      <c r="C258" s="512" t="s">
        <v>1562</v>
      </c>
      <c r="D258" s="14" t="s">
        <v>1563</v>
      </c>
      <c r="E258" s="14"/>
      <c r="F258" s="14" t="s">
        <v>4320</v>
      </c>
      <c r="G258" s="14"/>
      <c r="H258" s="14"/>
      <c r="I258" s="632" t="s">
        <v>1564</v>
      </c>
      <c r="J258" s="223"/>
      <c r="K258" s="14"/>
      <c r="L258" s="14" t="s">
        <v>4319</v>
      </c>
      <c r="M258" s="223"/>
      <c r="N258" s="27" t="s">
        <v>111</v>
      </c>
      <c r="O258" s="14" t="s">
        <v>34</v>
      </c>
      <c r="P258" s="14" t="s">
        <v>1565</v>
      </c>
      <c r="Q258" s="14"/>
      <c r="R258" s="14"/>
      <c r="S258" s="14" t="s">
        <v>1566</v>
      </c>
      <c r="T258" s="14" t="s">
        <v>4069</v>
      </c>
      <c r="U258" s="17"/>
      <c r="V258" s="14"/>
      <c r="W258" s="14"/>
      <c r="X258" s="18"/>
      <c r="Y258" s="18"/>
      <c r="Z258" s="18"/>
      <c r="AA258" s="19">
        <f t="shared" si="1"/>
        <v>6</v>
      </c>
    </row>
    <row r="259" ht="31.5" customHeight="1">
      <c r="A259" s="12">
        <v>45105.0</v>
      </c>
      <c r="B259" s="14" t="s">
        <v>703</v>
      </c>
      <c r="C259" s="294" t="s">
        <v>1567</v>
      </c>
      <c r="D259" s="14"/>
      <c r="E259" s="14"/>
      <c r="F259" s="14"/>
      <c r="G259" s="14"/>
      <c r="H259" s="14"/>
      <c r="I259" s="590" t="s">
        <v>1568</v>
      </c>
      <c r="J259" s="223"/>
      <c r="K259" s="14"/>
      <c r="L259" s="14" t="s">
        <v>4319</v>
      </c>
      <c r="M259" s="223"/>
      <c r="N259" s="27" t="s">
        <v>111</v>
      </c>
      <c r="O259" s="14" t="s">
        <v>216</v>
      </c>
      <c r="P259" s="14"/>
      <c r="Q259" s="14"/>
      <c r="R259" s="14"/>
      <c r="S259" s="14" t="s">
        <v>1569</v>
      </c>
      <c r="T259" s="14" t="s">
        <v>4096</v>
      </c>
      <c r="U259" s="17">
        <v>45114.0</v>
      </c>
      <c r="V259" s="14"/>
      <c r="W259" s="14"/>
      <c r="X259" s="18"/>
      <c r="Y259" s="18"/>
      <c r="Z259" s="18"/>
      <c r="AA259" s="19">
        <f t="shared" si="1"/>
        <v>6</v>
      </c>
    </row>
    <row r="260" ht="31.5" customHeight="1">
      <c r="A260" s="12">
        <v>45105.0</v>
      </c>
      <c r="B260" s="14" t="s">
        <v>703</v>
      </c>
      <c r="C260" s="294" t="s">
        <v>4321</v>
      </c>
      <c r="D260" s="14"/>
      <c r="E260" s="14"/>
      <c r="F260" s="14"/>
      <c r="G260" s="14"/>
      <c r="H260" s="14"/>
      <c r="I260" s="590" t="s">
        <v>1571</v>
      </c>
      <c r="J260" s="223"/>
      <c r="K260" s="14"/>
      <c r="L260" s="14" t="s">
        <v>4319</v>
      </c>
      <c r="M260" s="223"/>
      <c r="N260" s="27" t="s">
        <v>111</v>
      </c>
      <c r="O260" s="14" t="s">
        <v>34</v>
      </c>
      <c r="P260" s="14"/>
      <c r="Q260" s="14"/>
      <c r="R260" s="14"/>
      <c r="S260" s="14" t="s">
        <v>1572</v>
      </c>
      <c r="T260" s="14" t="s">
        <v>4069</v>
      </c>
      <c r="U260" s="17"/>
      <c r="V260" s="14"/>
      <c r="W260" s="14"/>
      <c r="X260" s="18"/>
      <c r="Y260" s="18"/>
      <c r="Z260" s="18"/>
      <c r="AA260" s="19">
        <f t="shared" si="1"/>
        <v>6</v>
      </c>
    </row>
    <row r="261" ht="31.5" customHeight="1">
      <c r="A261" s="12">
        <v>45105.0</v>
      </c>
      <c r="B261" s="14" t="s">
        <v>703</v>
      </c>
      <c r="C261" s="294" t="s">
        <v>1573</v>
      </c>
      <c r="D261" s="14"/>
      <c r="E261" s="14"/>
      <c r="F261" s="14"/>
      <c r="G261" s="14"/>
      <c r="H261" s="14"/>
      <c r="I261" s="590" t="s">
        <v>1574</v>
      </c>
      <c r="J261" s="223"/>
      <c r="K261" s="14"/>
      <c r="L261" s="14" t="s">
        <v>4319</v>
      </c>
      <c r="M261" s="223"/>
      <c r="N261" s="27" t="s">
        <v>48</v>
      </c>
      <c r="O261" s="14" t="s">
        <v>34</v>
      </c>
      <c r="P261" s="14"/>
      <c r="Q261" s="14"/>
      <c r="R261" s="14"/>
      <c r="S261" s="14" t="s">
        <v>1575</v>
      </c>
      <c r="T261" s="14"/>
      <c r="U261" s="17">
        <v>45110.0</v>
      </c>
      <c r="V261" s="14"/>
      <c r="W261" s="14"/>
      <c r="X261" s="18"/>
      <c r="Y261" s="18"/>
      <c r="Z261" s="18"/>
      <c r="AA261" s="19">
        <f t="shared" si="1"/>
        <v>6</v>
      </c>
    </row>
    <row r="262" ht="31.5" customHeight="1">
      <c r="A262" s="12">
        <v>45105.0</v>
      </c>
      <c r="B262" s="14" t="s">
        <v>703</v>
      </c>
      <c r="C262" s="294" t="s">
        <v>1576</v>
      </c>
      <c r="D262" s="14"/>
      <c r="E262" s="14"/>
      <c r="F262" s="14"/>
      <c r="G262" s="14"/>
      <c r="H262" s="14"/>
      <c r="I262" s="590" t="s">
        <v>1577</v>
      </c>
      <c r="J262" s="223"/>
      <c r="K262" s="14"/>
      <c r="L262" s="14" t="s">
        <v>4319</v>
      </c>
      <c r="M262" s="223"/>
      <c r="N262" s="27" t="s">
        <v>48</v>
      </c>
      <c r="O262" s="14" t="s">
        <v>34</v>
      </c>
      <c r="P262" s="14"/>
      <c r="Q262" s="14"/>
      <c r="R262" s="14"/>
      <c r="S262" s="14" t="s">
        <v>1578</v>
      </c>
      <c r="T262" s="14" t="s">
        <v>4127</v>
      </c>
      <c r="U262" s="17"/>
      <c r="V262" s="14"/>
      <c r="W262" s="14"/>
      <c r="X262" s="18"/>
      <c r="Y262" s="18"/>
      <c r="Z262" s="18"/>
      <c r="AA262" s="19">
        <f t="shared" si="1"/>
        <v>6</v>
      </c>
    </row>
    <row r="263" ht="31.5" customHeight="1">
      <c r="A263" s="12">
        <v>45105.0</v>
      </c>
      <c r="B263" s="14" t="s">
        <v>703</v>
      </c>
      <c r="C263" s="294" t="s">
        <v>1579</v>
      </c>
      <c r="D263" s="14"/>
      <c r="E263" s="14"/>
      <c r="F263" s="14"/>
      <c r="G263" s="14"/>
      <c r="H263" s="14"/>
      <c r="I263" s="590" t="s">
        <v>1580</v>
      </c>
      <c r="J263" s="223"/>
      <c r="K263" s="14"/>
      <c r="L263" s="14" t="s">
        <v>4319</v>
      </c>
      <c r="M263" s="223"/>
      <c r="N263" s="27" t="s">
        <v>48</v>
      </c>
      <c r="O263" s="14" t="s">
        <v>34</v>
      </c>
      <c r="P263" s="14"/>
      <c r="Q263" s="14"/>
      <c r="R263" s="14"/>
      <c r="S263" s="14" t="s">
        <v>1581</v>
      </c>
      <c r="T263" s="14" t="s">
        <v>4127</v>
      </c>
      <c r="U263" s="17"/>
      <c r="V263" s="14"/>
      <c r="W263" s="14"/>
      <c r="X263" s="18"/>
      <c r="Y263" s="18"/>
      <c r="Z263" s="18"/>
      <c r="AA263" s="19">
        <f t="shared" si="1"/>
        <v>6</v>
      </c>
    </row>
    <row r="264" ht="31.5" customHeight="1">
      <c r="A264" s="12">
        <v>45105.0</v>
      </c>
      <c r="B264" s="14" t="s">
        <v>703</v>
      </c>
      <c r="C264" s="294" t="s">
        <v>1582</v>
      </c>
      <c r="D264" s="14"/>
      <c r="E264" s="14"/>
      <c r="F264" s="14"/>
      <c r="G264" s="14"/>
      <c r="H264" s="14"/>
      <c r="I264" s="632" t="s">
        <v>1583</v>
      </c>
      <c r="J264" s="223"/>
      <c r="K264" s="14"/>
      <c r="L264" s="14" t="s">
        <v>4319</v>
      </c>
      <c r="M264" s="223"/>
      <c r="N264" s="27" t="s">
        <v>48</v>
      </c>
      <c r="O264" s="14" t="s">
        <v>216</v>
      </c>
      <c r="P264" s="14"/>
      <c r="Q264" s="14"/>
      <c r="R264" s="14"/>
      <c r="S264" s="14" t="s">
        <v>1584</v>
      </c>
      <c r="T264" s="14" t="s">
        <v>4127</v>
      </c>
      <c r="U264" s="17"/>
      <c r="V264" s="14"/>
      <c r="W264" s="14"/>
      <c r="X264" s="18"/>
      <c r="Y264" s="18"/>
      <c r="Z264" s="18"/>
      <c r="AA264" s="19">
        <f t="shared" si="1"/>
        <v>6</v>
      </c>
    </row>
    <row r="265" ht="31.5" customHeight="1">
      <c r="A265" s="12">
        <v>45105.0</v>
      </c>
      <c r="B265" s="14" t="s">
        <v>4620</v>
      </c>
      <c r="C265" s="14" t="s">
        <v>1590</v>
      </c>
      <c r="D265" s="14" t="s">
        <v>1591</v>
      </c>
      <c r="E265" s="14"/>
      <c r="F265" s="14"/>
      <c r="G265" s="14" t="s">
        <v>176</v>
      </c>
      <c r="H265" s="14"/>
      <c r="I265" s="590" t="s">
        <v>1592</v>
      </c>
      <c r="J265" s="223"/>
      <c r="K265" s="14"/>
      <c r="L265" s="139" t="s">
        <v>1593</v>
      </c>
      <c r="M265" s="223"/>
      <c r="N265" s="27" t="s">
        <v>48</v>
      </c>
      <c r="O265" s="14" t="s">
        <v>34</v>
      </c>
      <c r="P265" s="14" t="s">
        <v>1594</v>
      </c>
      <c r="Q265" s="14"/>
      <c r="R265" s="14"/>
      <c r="S265" s="14" t="s">
        <v>1595</v>
      </c>
      <c r="T265" s="14" t="s">
        <v>4127</v>
      </c>
      <c r="U265" s="17"/>
      <c r="V265" s="14"/>
      <c r="W265" s="14"/>
      <c r="X265" s="18"/>
      <c r="Y265" s="18"/>
      <c r="Z265" s="18"/>
      <c r="AA265" s="19">
        <f t="shared" si="1"/>
        <v>6</v>
      </c>
    </row>
    <row r="266" ht="31.5" customHeight="1">
      <c r="A266" s="12">
        <v>45105.0</v>
      </c>
      <c r="B266" s="14" t="s">
        <v>703</v>
      </c>
      <c r="C266" s="14" t="s">
        <v>1596</v>
      </c>
      <c r="D266" s="14"/>
      <c r="E266" s="14"/>
      <c r="F266" s="14"/>
      <c r="G266" s="14"/>
      <c r="H266" s="14"/>
      <c r="I266" s="590" t="s">
        <v>1597</v>
      </c>
      <c r="J266" s="223"/>
      <c r="K266" s="14"/>
      <c r="L266" s="14"/>
      <c r="M266" s="223"/>
      <c r="N266" s="27" t="s">
        <v>48</v>
      </c>
      <c r="O266" s="14" t="s">
        <v>216</v>
      </c>
      <c r="P266" s="14"/>
      <c r="Q266" s="14"/>
      <c r="R266" s="14"/>
      <c r="S266" s="14" t="s">
        <v>1598</v>
      </c>
      <c r="T266" s="14" t="s">
        <v>36</v>
      </c>
      <c r="U266" s="17"/>
      <c r="V266" s="14"/>
      <c r="W266" s="14"/>
      <c r="X266" s="18"/>
      <c r="Y266" s="18"/>
      <c r="Z266" s="18"/>
      <c r="AA266" s="19">
        <f t="shared" si="1"/>
        <v>6</v>
      </c>
    </row>
    <row r="267" ht="31.5" customHeight="1">
      <c r="A267" s="12">
        <v>45105.0</v>
      </c>
      <c r="B267" s="14" t="s">
        <v>4620</v>
      </c>
      <c r="C267" s="14" t="s">
        <v>4323</v>
      </c>
      <c r="D267" s="14"/>
      <c r="E267" s="14"/>
      <c r="F267" s="14"/>
      <c r="G267" s="14"/>
      <c r="H267" s="14"/>
      <c r="I267" s="590" t="s">
        <v>1600</v>
      </c>
      <c r="J267" s="223"/>
      <c r="K267" s="14"/>
      <c r="L267" s="14"/>
      <c r="M267" s="223"/>
      <c r="N267" s="27" t="s">
        <v>48</v>
      </c>
      <c r="O267" s="14" t="s">
        <v>216</v>
      </c>
      <c r="P267" s="14"/>
      <c r="Q267" s="14"/>
      <c r="R267" s="14"/>
      <c r="S267" s="14" t="s">
        <v>1601</v>
      </c>
      <c r="T267" s="14"/>
      <c r="U267" s="17"/>
      <c r="V267" s="14"/>
      <c r="W267" s="14"/>
      <c r="X267" s="18"/>
      <c r="Y267" s="18"/>
      <c r="Z267" s="18"/>
      <c r="AA267" s="19">
        <f t="shared" si="1"/>
        <v>6</v>
      </c>
    </row>
    <row r="268" ht="31.5" customHeight="1">
      <c r="A268" s="12">
        <v>45105.0</v>
      </c>
      <c r="B268" s="14" t="s">
        <v>84</v>
      </c>
      <c r="C268" s="14" t="s">
        <v>1602</v>
      </c>
      <c r="D268" s="637" t="s">
        <v>4324</v>
      </c>
      <c r="E268" s="14"/>
      <c r="F268" s="14" t="s">
        <v>505</v>
      </c>
      <c r="G268" s="14"/>
      <c r="H268" s="14"/>
      <c r="I268" s="590" t="s">
        <v>1604</v>
      </c>
      <c r="J268" s="223"/>
      <c r="K268" s="14"/>
      <c r="L268" s="14"/>
      <c r="M268" s="223"/>
      <c r="N268" s="27" t="s">
        <v>111</v>
      </c>
      <c r="O268" s="14" t="s">
        <v>158</v>
      </c>
      <c r="P268" s="14"/>
      <c r="Q268" s="14"/>
      <c r="R268" s="14"/>
      <c r="S268" s="285" t="s">
        <v>1605</v>
      </c>
      <c r="T268" s="14" t="s">
        <v>4325</v>
      </c>
      <c r="U268" s="17">
        <v>45114.0</v>
      </c>
      <c r="V268" s="14"/>
      <c r="W268" s="14"/>
      <c r="X268" s="18"/>
      <c r="Y268" s="18"/>
      <c r="Z268" s="18"/>
      <c r="AA268" s="19">
        <f t="shared" si="1"/>
        <v>6</v>
      </c>
    </row>
    <row r="269" ht="31.5" customHeight="1">
      <c r="A269" s="12">
        <v>45106.0</v>
      </c>
      <c r="B269" s="14" t="s">
        <v>4620</v>
      </c>
      <c r="C269" s="14" t="s">
        <v>1606</v>
      </c>
      <c r="D269" s="14"/>
      <c r="E269" s="14"/>
      <c r="F269" s="14"/>
      <c r="G269" s="14"/>
      <c r="H269" s="14"/>
      <c r="I269" s="590" t="s">
        <v>1600</v>
      </c>
      <c r="J269" s="223"/>
      <c r="K269" s="14"/>
      <c r="L269" s="14"/>
      <c r="M269" s="223"/>
      <c r="N269" s="27" t="s">
        <v>48</v>
      </c>
      <c r="O269" s="14" t="s">
        <v>216</v>
      </c>
      <c r="P269" s="14"/>
      <c r="Q269" s="14"/>
      <c r="R269" s="14"/>
      <c r="S269" s="14" t="s">
        <v>1601</v>
      </c>
      <c r="T269" s="14"/>
      <c r="U269" s="17"/>
      <c r="V269" s="14"/>
      <c r="W269" s="14"/>
      <c r="X269" s="18"/>
      <c r="Y269" s="18"/>
      <c r="Z269" s="18"/>
      <c r="AA269" s="19">
        <f t="shared" si="1"/>
        <v>6</v>
      </c>
    </row>
    <row r="270" ht="31.5" customHeight="1">
      <c r="A270" s="12">
        <v>45106.0</v>
      </c>
      <c r="B270" s="14" t="s">
        <v>60</v>
      </c>
      <c r="C270" s="14" t="s">
        <v>1607</v>
      </c>
      <c r="D270" s="14" t="s">
        <v>1608</v>
      </c>
      <c r="E270" s="14"/>
      <c r="F270" s="14" t="s">
        <v>87</v>
      </c>
      <c r="G270" s="14"/>
      <c r="H270" s="14"/>
      <c r="I270" s="634" t="s">
        <v>1609</v>
      </c>
      <c r="J270" s="223"/>
      <c r="K270" s="14"/>
      <c r="L270" s="14"/>
      <c r="M270" s="223"/>
      <c r="N270" s="27" t="s">
        <v>111</v>
      </c>
      <c r="O270" s="14" t="s">
        <v>565</v>
      </c>
      <c r="P270" s="14"/>
      <c r="Q270" s="14"/>
      <c r="R270" s="14"/>
      <c r="S270" s="285" t="s">
        <v>1610</v>
      </c>
      <c r="T270" s="14" t="s">
        <v>4326</v>
      </c>
      <c r="U270" s="17">
        <v>45114.0</v>
      </c>
      <c r="V270" s="14"/>
      <c r="W270" s="14"/>
      <c r="X270" s="18"/>
      <c r="Y270" s="18"/>
      <c r="Z270" s="18"/>
      <c r="AA270" s="19">
        <f t="shared" si="1"/>
        <v>6</v>
      </c>
    </row>
    <row r="271" ht="31.5" customHeight="1">
      <c r="A271" s="12">
        <v>45106.0</v>
      </c>
      <c r="B271" s="14" t="s">
        <v>60</v>
      </c>
      <c r="C271" s="14" t="s">
        <v>1607</v>
      </c>
      <c r="D271" s="14" t="s">
        <v>4327</v>
      </c>
      <c r="E271" s="14"/>
      <c r="F271" s="14" t="s">
        <v>4328</v>
      </c>
      <c r="G271" s="14"/>
      <c r="H271" s="14"/>
      <c r="I271" s="634" t="s">
        <v>1609</v>
      </c>
      <c r="J271" s="223"/>
      <c r="K271" s="14"/>
      <c r="L271" s="14"/>
      <c r="M271" s="223"/>
      <c r="N271" s="27" t="s">
        <v>111</v>
      </c>
      <c r="O271" s="14" t="s">
        <v>565</v>
      </c>
      <c r="P271" s="14"/>
      <c r="Q271" s="14"/>
      <c r="R271" s="14"/>
      <c r="S271" s="285" t="s">
        <v>1610</v>
      </c>
      <c r="T271" s="14" t="s">
        <v>4326</v>
      </c>
      <c r="U271" s="17">
        <v>45114.0</v>
      </c>
      <c r="V271" s="14"/>
      <c r="W271" s="14"/>
      <c r="X271" s="18"/>
      <c r="Y271" s="18"/>
      <c r="Z271" s="18"/>
      <c r="AA271" s="19">
        <f t="shared" si="1"/>
        <v>6</v>
      </c>
    </row>
    <row r="272" ht="31.5" customHeight="1">
      <c r="A272" s="12">
        <v>45106.0</v>
      </c>
      <c r="B272" s="14" t="s">
        <v>73</v>
      </c>
      <c r="C272" s="14" t="s">
        <v>1612</v>
      </c>
      <c r="D272" s="14" t="s">
        <v>1613</v>
      </c>
      <c r="E272" s="14"/>
      <c r="F272" s="14" t="s">
        <v>437</v>
      </c>
      <c r="G272" s="14"/>
      <c r="H272" s="14"/>
      <c r="I272" s="590" t="s">
        <v>1614</v>
      </c>
      <c r="J272" s="223"/>
      <c r="K272" s="14"/>
      <c r="L272" s="14" t="s">
        <v>4329</v>
      </c>
      <c r="M272" s="223"/>
      <c r="N272" s="27" t="s">
        <v>111</v>
      </c>
      <c r="O272" s="14" t="s">
        <v>565</v>
      </c>
      <c r="P272" s="14"/>
      <c r="Q272" s="14"/>
      <c r="R272" s="14"/>
      <c r="S272" s="14" t="s">
        <v>1616</v>
      </c>
      <c r="T272" s="14" t="s">
        <v>4330</v>
      </c>
      <c r="U272" s="17">
        <v>45119.0</v>
      </c>
      <c r="V272" s="14"/>
      <c r="W272" s="14"/>
      <c r="X272" s="18"/>
      <c r="Y272" s="18"/>
      <c r="Z272" s="18"/>
      <c r="AA272" s="19">
        <f t="shared" si="1"/>
        <v>6</v>
      </c>
    </row>
    <row r="273" ht="31.5" customHeight="1">
      <c r="A273" s="12">
        <v>45106.0</v>
      </c>
      <c r="B273" s="14" t="s">
        <v>60</v>
      </c>
      <c r="C273" s="14"/>
      <c r="D273" s="14" t="s">
        <v>1617</v>
      </c>
      <c r="E273" s="14"/>
      <c r="F273" s="14"/>
      <c r="G273" s="14" t="s">
        <v>1443</v>
      </c>
      <c r="H273" s="14"/>
      <c r="I273" s="634" t="s">
        <v>1618</v>
      </c>
      <c r="J273" s="223"/>
      <c r="K273" s="14"/>
      <c r="L273" s="14"/>
      <c r="M273" s="223"/>
      <c r="N273" s="27" t="s">
        <v>48</v>
      </c>
      <c r="O273" s="14" t="s">
        <v>565</v>
      </c>
      <c r="P273" s="14"/>
      <c r="Q273" s="14"/>
      <c r="R273" s="14"/>
      <c r="S273" s="14" t="s">
        <v>1619</v>
      </c>
      <c r="T273" s="14" t="s">
        <v>4331</v>
      </c>
      <c r="U273" s="17">
        <v>45110.0</v>
      </c>
      <c r="V273" s="14"/>
      <c r="W273" s="14"/>
      <c r="X273" s="18"/>
      <c r="Y273" s="18"/>
      <c r="Z273" s="18"/>
      <c r="AA273" s="19">
        <f t="shared" si="1"/>
        <v>6</v>
      </c>
    </row>
    <row r="274" ht="31.5" customHeight="1">
      <c r="A274" s="12">
        <v>45107.0</v>
      </c>
      <c r="B274" s="115" t="s">
        <v>4620</v>
      </c>
      <c r="C274" s="14" t="s">
        <v>1625</v>
      </c>
      <c r="D274" s="14"/>
      <c r="E274" s="14"/>
      <c r="F274" s="14"/>
      <c r="G274" s="14"/>
      <c r="H274" s="14"/>
      <c r="I274" s="590" t="s">
        <v>1626</v>
      </c>
      <c r="J274" s="223"/>
      <c r="K274" s="14"/>
      <c r="L274" s="14"/>
      <c r="M274" s="223"/>
      <c r="N274" s="27" t="s">
        <v>48</v>
      </c>
      <c r="O274" s="14" t="s">
        <v>565</v>
      </c>
      <c r="P274" s="14"/>
      <c r="Q274" s="14"/>
      <c r="R274" s="14"/>
      <c r="S274" s="14" t="s">
        <v>1627</v>
      </c>
      <c r="T274" s="14" t="s">
        <v>36</v>
      </c>
      <c r="U274" s="17"/>
      <c r="V274" s="14"/>
      <c r="W274" s="14"/>
      <c r="X274" s="18"/>
      <c r="Y274" s="18"/>
      <c r="Z274" s="18"/>
      <c r="AA274" s="19">
        <f t="shared" si="1"/>
        <v>6</v>
      </c>
    </row>
    <row r="275" ht="31.5" customHeight="1">
      <c r="A275" s="12">
        <v>45107.0</v>
      </c>
      <c r="B275" s="14" t="s">
        <v>703</v>
      </c>
      <c r="C275" s="120" t="s">
        <v>739</v>
      </c>
      <c r="D275" s="14" t="s">
        <v>1628</v>
      </c>
      <c r="E275" s="14"/>
      <c r="F275" s="14">
        <v>2012.0</v>
      </c>
      <c r="G275" s="14"/>
      <c r="H275" s="14"/>
      <c r="I275" s="590" t="s">
        <v>1629</v>
      </c>
      <c r="J275" s="223"/>
      <c r="K275" s="14"/>
      <c r="L275" s="14"/>
      <c r="M275" s="223"/>
      <c r="N275" s="27" t="s">
        <v>111</v>
      </c>
      <c r="O275" s="14" t="s">
        <v>34</v>
      </c>
      <c r="P275" s="14"/>
      <c r="Q275" s="14"/>
      <c r="R275" s="14"/>
      <c r="S275" s="14" t="s">
        <v>1630</v>
      </c>
      <c r="T275" s="14" t="s">
        <v>4069</v>
      </c>
      <c r="U275" s="17"/>
      <c r="V275" s="14"/>
      <c r="W275" s="14"/>
      <c r="X275" s="18"/>
      <c r="Y275" s="18"/>
      <c r="Z275" s="18"/>
      <c r="AA275" s="19">
        <f t="shared" si="1"/>
        <v>6</v>
      </c>
    </row>
    <row r="276" ht="31.5" customHeight="1">
      <c r="A276" s="12">
        <v>45107.0</v>
      </c>
      <c r="B276" s="14" t="s">
        <v>703</v>
      </c>
      <c r="C276" s="120" t="s">
        <v>739</v>
      </c>
      <c r="D276" s="14" t="s">
        <v>1631</v>
      </c>
      <c r="E276" s="14"/>
      <c r="F276" s="14">
        <v>2015.0</v>
      </c>
      <c r="G276" s="14"/>
      <c r="H276" s="14"/>
      <c r="I276" s="590" t="s">
        <v>1629</v>
      </c>
      <c r="J276" s="223"/>
      <c r="K276" s="14"/>
      <c r="L276" s="14"/>
      <c r="M276" s="223"/>
      <c r="N276" s="27" t="s">
        <v>111</v>
      </c>
      <c r="O276" s="14" t="s">
        <v>34</v>
      </c>
      <c r="P276" s="14"/>
      <c r="Q276" s="14"/>
      <c r="R276" s="14"/>
      <c r="S276" s="14" t="s">
        <v>1630</v>
      </c>
      <c r="T276" s="14" t="s">
        <v>4069</v>
      </c>
      <c r="U276" s="17"/>
      <c r="V276" s="14"/>
      <c r="W276" s="14"/>
      <c r="X276" s="18"/>
      <c r="Y276" s="18"/>
      <c r="Z276" s="18"/>
      <c r="AA276" s="19">
        <f t="shared" si="1"/>
        <v>6</v>
      </c>
    </row>
    <row r="277" ht="31.5" customHeight="1">
      <c r="A277" s="12">
        <v>45107.0</v>
      </c>
      <c r="B277" s="14" t="s">
        <v>703</v>
      </c>
      <c r="C277" s="638" t="s">
        <v>1632</v>
      </c>
      <c r="D277" s="14"/>
      <c r="E277" s="14"/>
      <c r="F277" s="14"/>
      <c r="G277" s="14"/>
      <c r="H277" s="14"/>
      <c r="I277" s="590" t="s">
        <v>1633</v>
      </c>
      <c r="J277" s="223"/>
      <c r="K277" s="14"/>
      <c r="L277" s="14"/>
      <c r="M277" s="223"/>
      <c r="N277" s="27" t="s">
        <v>48</v>
      </c>
      <c r="O277" s="14" t="s">
        <v>34</v>
      </c>
      <c r="P277" s="14"/>
      <c r="Q277" s="14"/>
      <c r="R277" s="14"/>
      <c r="S277" s="14" t="s">
        <v>1634</v>
      </c>
      <c r="T277" s="14" t="s">
        <v>36</v>
      </c>
      <c r="U277" s="17"/>
      <c r="V277" s="14"/>
      <c r="W277" s="14"/>
      <c r="X277" s="18"/>
      <c r="Y277" s="18"/>
      <c r="Z277" s="18"/>
      <c r="AA277" s="19">
        <f t="shared" si="1"/>
        <v>6</v>
      </c>
    </row>
    <row r="278" ht="31.5" customHeight="1">
      <c r="A278" s="12">
        <v>45107.0</v>
      </c>
      <c r="B278" s="14" t="s">
        <v>703</v>
      </c>
      <c r="C278" s="14" t="s">
        <v>1635</v>
      </c>
      <c r="D278" s="14"/>
      <c r="E278" s="14"/>
      <c r="F278" s="14"/>
      <c r="G278" s="14" t="s">
        <v>297</v>
      </c>
      <c r="H278" s="14"/>
      <c r="I278" s="590" t="s">
        <v>1636</v>
      </c>
      <c r="J278" s="591" t="s">
        <v>1637</v>
      </c>
      <c r="K278" s="14" t="s">
        <v>1638</v>
      </c>
      <c r="L278" s="14"/>
      <c r="M278" s="223"/>
      <c r="N278" s="27" t="s">
        <v>111</v>
      </c>
      <c r="O278" s="14" t="s">
        <v>34</v>
      </c>
      <c r="P278" s="14"/>
      <c r="Q278" s="14"/>
      <c r="R278" s="14"/>
      <c r="S278" s="14" t="s">
        <v>1639</v>
      </c>
      <c r="T278" s="14" t="s">
        <v>4069</v>
      </c>
      <c r="U278" s="17"/>
      <c r="V278" s="14"/>
      <c r="W278" s="14"/>
      <c r="X278" s="18"/>
      <c r="Y278" s="18"/>
      <c r="Z278" s="18"/>
      <c r="AA278" s="19">
        <f t="shared" si="1"/>
        <v>6</v>
      </c>
    </row>
    <row r="279" ht="31.5" customHeight="1">
      <c r="A279" s="12">
        <v>45107.0</v>
      </c>
      <c r="B279" s="14" t="s">
        <v>703</v>
      </c>
      <c r="C279" s="14" t="s">
        <v>1640</v>
      </c>
      <c r="D279" s="14"/>
      <c r="E279" s="14"/>
      <c r="F279" s="14"/>
      <c r="G279" s="14" t="s">
        <v>234</v>
      </c>
      <c r="H279" s="14"/>
      <c r="I279" s="590" t="s">
        <v>1641</v>
      </c>
      <c r="J279" s="223"/>
      <c r="K279" s="14"/>
      <c r="L279" s="14"/>
      <c r="M279" s="223"/>
      <c r="N279" s="27" t="s">
        <v>48</v>
      </c>
      <c r="O279" s="14" t="s">
        <v>565</v>
      </c>
      <c r="P279" s="14"/>
      <c r="Q279" s="14"/>
      <c r="R279" s="14"/>
      <c r="S279" s="14" t="s">
        <v>1642</v>
      </c>
      <c r="T279" s="14" t="s">
        <v>36</v>
      </c>
      <c r="U279" s="17"/>
      <c r="V279" s="14"/>
      <c r="W279" s="14"/>
      <c r="X279" s="18"/>
      <c r="Y279" s="18"/>
      <c r="Z279" s="18"/>
      <c r="AA279" s="19">
        <f t="shared" si="1"/>
        <v>6</v>
      </c>
    </row>
    <row r="280" ht="31.5" customHeight="1">
      <c r="A280" s="12">
        <v>45107.0</v>
      </c>
      <c r="B280" s="14" t="s">
        <v>703</v>
      </c>
      <c r="C280" s="14" t="s">
        <v>1643</v>
      </c>
      <c r="D280" s="14"/>
      <c r="E280" s="14"/>
      <c r="F280" s="14"/>
      <c r="G280" s="14"/>
      <c r="H280" s="14"/>
      <c r="I280" s="590" t="s">
        <v>1644</v>
      </c>
      <c r="J280" s="223"/>
      <c r="K280" s="14"/>
      <c r="L280" s="14"/>
      <c r="M280" s="223"/>
      <c r="N280" s="27" t="s">
        <v>111</v>
      </c>
      <c r="O280" s="14" t="s">
        <v>34</v>
      </c>
      <c r="P280" s="14"/>
      <c r="Q280" s="14"/>
      <c r="R280" s="14"/>
      <c r="S280" s="14" t="s">
        <v>1645</v>
      </c>
      <c r="T280" s="14" t="s">
        <v>4337</v>
      </c>
      <c r="U280" s="17"/>
      <c r="V280" s="14"/>
      <c r="W280" s="14"/>
      <c r="X280" s="18"/>
      <c r="Y280" s="18"/>
      <c r="Z280" s="18"/>
      <c r="AA280" s="19">
        <f t="shared" si="1"/>
        <v>6</v>
      </c>
    </row>
    <row r="281" ht="31.5" customHeight="1">
      <c r="A281" s="12">
        <v>45107.0</v>
      </c>
      <c r="B281" s="14" t="s">
        <v>703</v>
      </c>
      <c r="C281" s="14" t="s">
        <v>1646</v>
      </c>
      <c r="D281" s="14"/>
      <c r="E281" s="14"/>
      <c r="F281" s="14"/>
      <c r="G281" s="14"/>
      <c r="H281" s="14"/>
      <c r="I281" s="590" t="s">
        <v>1647</v>
      </c>
      <c r="J281" s="223"/>
      <c r="K281" s="14"/>
      <c r="L281" s="14"/>
      <c r="M281" s="223"/>
      <c r="N281" s="27" t="s">
        <v>48</v>
      </c>
      <c r="O281" s="14" t="s">
        <v>565</v>
      </c>
      <c r="P281" s="14"/>
      <c r="Q281" s="14"/>
      <c r="R281" s="14"/>
      <c r="S281" s="14" t="s">
        <v>1648</v>
      </c>
      <c r="T281" s="14" t="s">
        <v>36</v>
      </c>
      <c r="U281" s="17"/>
      <c r="V281" s="14"/>
      <c r="W281" s="14"/>
      <c r="X281" s="18"/>
      <c r="Y281" s="18"/>
      <c r="Z281" s="18"/>
      <c r="AA281" s="19">
        <f t="shared" si="1"/>
        <v>6</v>
      </c>
    </row>
    <row r="282" ht="31.5" customHeight="1">
      <c r="A282" s="12">
        <v>45107.0</v>
      </c>
      <c r="B282" s="14" t="s">
        <v>703</v>
      </c>
      <c r="C282" s="14" t="s">
        <v>1649</v>
      </c>
      <c r="D282" s="14"/>
      <c r="E282" s="14"/>
      <c r="F282" s="14"/>
      <c r="G282" s="14"/>
      <c r="H282" s="14"/>
      <c r="I282" s="590" t="s">
        <v>1650</v>
      </c>
      <c r="J282" s="223"/>
      <c r="K282" s="14"/>
      <c r="L282" s="14"/>
      <c r="M282" s="223"/>
      <c r="N282" s="27" t="s">
        <v>48</v>
      </c>
      <c r="O282" s="14" t="s">
        <v>216</v>
      </c>
      <c r="P282" s="14"/>
      <c r="Q282" s="14"/>
      <c r="R282" s="14"/>
      <c r="S282" s="14" t="s">
        <v>1651</v>
      </c>
      <c r="T282" s="14" t="s">
        <v>36</v>
      </c>
      <c r="U282" s="17"/>
      <c r="V282" s="14"/>
      <c r="W282" s="14"/>
      <c r="X282" s="18"/>
      <c r="Y282" s="18"/>
      <c r="Z282" s="18"/>
      <c r="AA282" s="19">
        <f t="shared" si="1"/>
        <v>6</v>
      </c>
    </row>
    <row r="283" ht="31.5" customHeight="1">
      <c r="A283" s="12">
        <v>45107.0</v>
      </c>
      <c r="B283" s="14" t="s">
        <v>84</v>
      </c>
      <c r="C283" s="14" t="s">
        <v>4338</v>
      </c>
      <c r="D283" s="14" t="s">
        <v>1653</v>
      </c>
      <c r="E283" s="14"/>
      <c r="F283" s="14" t="s">
        <v>4339</v>
      </c>
      <c r="G283" s="14"/>
      <c r="H283" s="14"/>
      <c r="I283" s="590" t="s">
        <v>1654</v>
      </c>
      <c r="J283" s="223"/>
      <c r="K283" s="14"/>
      <c r="L283" s="14"/>
      <c r="M283" s="223"/>
      <c r="N283" s="27" t="s">
        <v>111</v>
      </c>
      <c r="O283" s="14" t="s">
        <v>34</v>
      </c>
      <c r="P283" s="14" t="s">
        <v>1655</v>
      </c>
      <c r="Q283" s="14"/>
      <c r="R283" s="14"/>
      <c r="S283" s="14" t="s">
        <v>1656</v>
      </c>
      <c r="T283" s="14" t="s">
        <v>4069</v>
      </c>
      <c r="U283" s="17"/>
      <c r="V283" s="14"/>
      <c r="W283" s="14"/>
      <c r="X283" s="18"/>
      <c r="Y283" s="18"/>
      <c r="Z283" s="18"/>
      <c r="AA283" s="19">
        <f t="shared" si="1"/>
        <v>6</v>
      </c>
    </row>
    <row r="284" ht="31.5" customHeight="1">
      <c r="A284" s="12">
        <v>45107.0</v>
      </c>
      <c r="B284" s="14" t="s">
        <v>201</v>
      </c>
      <c r="C284" s="14" t="s">
        <v>4340</v>
      </c>
      <c r="D284" s="14"/>
      <c r="E284" s="14"/>
      <c r="F284" s="14"/>
      <c r="G284" s="14"/>
      <c r="H284" s="14"/>
      <c r="I284" s="590"/>
      <c r="J284" s="591" t="s">
        <v>1658</v>
      </c>
      <c r="K284" s="14"/>
      <c r="L284" s="14"/>
      <c r="M284" s="223"/>
      <c r="N284" s="27" t="s">
        <v>111</v>
      </c>
      <c r="O284" s="14" t="s">
        <v>216</v>
      </c>
      <c r="P284" s="14"/>
      <c r="Q284" s="14"/>
      <c r="R284" s="14"/>
      <c r="S284" s="14" t="s">
        <v>1659</v>
      </c>
      <c r="T284" s="14"/>
      <c r="U284" s="17"/>
      <c r="V284" s="14"/>
      <c r="W284" s="14"/>
      <c r="X284" s="18"/>
      <c r="Y284" s="18"/>
      <c r="Z284" s="18"/>
      <c r="AA284" s="19">
        <f t="shared" si="1"/>
        <v>6</v>
      </c>
    </row>
    <row r="285" ht="31.5" customHeight="1">
      <c r="A285" s="12">
        <v>45107.0</v>
      </c>
      <c r="B285" s="14" t="s">
        <v>703</v>
      </c>
      <c r="C285" s="14" t="s">
        <v>161</v>
      </c>
      <c r="D285" s="14"/>
      <c r="E285" s="14"/>
      <c r="F285" s="14"/>
      <c r="G285" s="14"/>
      <c r="H285" s="14"/>
      <c r="I285" s="590" t="s">
        <v>1660</v>
      </c>
      <c r="J285" s="591" t="s">
        <v>1658</v>
      </c>
      <c r="K285" s="14"/>
      <c r="L285" s="14"/>
      <c r="M285" s="223"/>
      <c r="N285" s="27" t="s">
        <v>48</v>
      </c>
      <c r="O285" s="14" t="s">
        <v>34</v>
      </c>
      <c r="P285" s="14"/>
      <c r="Q285" s="14"/>
      <c r="R285" s="14"/>
      <c r="S285" s="14" t="s">
        <v>1661</v>
      </c>
      <c r="T285" s="14" t="s">
        <v>36</v>
      </c>
      <c r="U285" s="17"/>
      <c r="V285" s="14"/>
      <c r="W285" s="14"/>
      <c r="X285" s="18"/>
      <c r="Y285" s="18"/>
      <c r="Z285" s="18"/>
      <c r="AA285" s="19">
        <f t="shared" si="1"/>
        <v>6</v>
      </c>
    </row>
    <row r="286" ht="31.5" customHeight="1">
      <c r="A286" s="12">
        <v>45107.0</v>
      </c>
      <c r="B286" s="14" t="s">
        <v>703</v>
      </c>
      <c r="C286" s="14" t="s">
        <v>4341</v>
      </c>
      <c r="D286" s="14"/>
      <c r="E286" s="14"/>
      <c r="F286" s="14"/>
      <c r="G286" s="14"/>
      <c r="H286" s="14"/>
      <c r="I286" s="590" t="s">
        <v>1663</v>
      </c>
      <c r="J286" s="591" t="s">
        <v>1658</v>
      </c>
      <c r="K286" s="14"/>
      <c r="L286" s="14"/>
      <c r="M286" s="223"/>
      <c r="N286" s="27" t="s">
        <v>48</v>
      </c>
      <c r="O286" s="14" t="s">
        <v>34</v>
      </c>
      <c r="P286" s="14"/>
      <c r="Q286" s="14"/>
      <c r="R286" s="14"/>
      <c r="S286" s="14" t="s">
        <v>1664</v>
      </c>
      <c r="T286" s="14" t="s">
        <v>36</v>
      </c>
      <c r="U286" s="17"/>
      <c r="V286" s="14"/>
      <c r="W286" s="14"/>
      <c r="X286" s="18"/>
      <c r="Y286" s="18"/>
      <c r="Z286" s="18"/>
      <c r="AA286" s="19">
        <f t="shared" si="1"/>
        <v>6</v>
      </c>
    </row>
    <row r="287" ht="31.5" customHeight="1">
      <c r="A287" s="12">
        <v>45108.0</v>
      </c>
      <c r="B287" s="14" t="s">
        <v>4620</v>
      </c>
      <c r="C287" s="14" t="s">
        <v>1665</v>
      </c>
      <c r="D287" s="14" t="s">
        <v>1666</v>
      </c>
      <c r="E287" s="14"/>
      <c r="F287" s="14" t="s">
        <v>4180</v>
      </c>
      <c r="G287" s="14"/>
      <c r="H287" s="14"/>
      <c r="I287" s="590" t="s">
        <v>1667</v>
      </c>
      <c r="J287" s="223"/>
      <c r="K287" s="14"/>
      <c r="L287" s="14"/>
      <c r="M287" s="223"/>
      <c r="N287" s="27" t="s">
        <v>111</v>
      </c>
      <c r="O287" s="14" t="s">
        <v>565</v>
      </c>
      <c r="P287" s="14"/>
      <c r="Q287" s="14"/>
      <c r="R287" s="14"/>
      <c r="S287" s="14" t="s">
        <v>1668</v>
      </c>
      <c r="T287" s="14" t="s">
        <v>4096</v>
      </c>
      <c r="U287" s="17">
        <v>45124.0</v>
      </c>
      <c r="V287" s="14"/>
      <c r="W287" s="14"/>
      <c r="X287" s="18"/>
      <c r="Y287" s="18"/>
      <c r="Z287" s="18"/>
      <c r="AA287" s="19">
        <f t="shared" si="1"/>
        <v>7</v>
      </c>
    </row>
    <row r="288" ht="31.5" customHeight="1">
      <c r="A288" s="12">
        <v>45108.0</v>
      </c>
      <c r="B288" s="115" t="s">
        <v>4620</v>
      </c>
      <c r="C288" s="14" t="s">
        <v>1679</v>
      </c>
      <c r="D288" s="14"/>
      <c r="E288" s="14"/>
      <c r="F288" s="14"/>
      <c r="G288" s="14"/>
      <c r="H288" s="14"/>
      <c r="I288" s="590" t="s">
        <v>1680</v>
      </c>
      <c r="J288" s="223"/>
      <c r="K288" s="14"/>
      <c r="L288" s="14"/>
      <c r="M288" s="223"/>
      <c r="N288" s="27" t="s">
        <v>48</v>
      </c>
      <c r="O288" s="14" t="s">
        <v>565</v>
      </c>
      <c r="P288" s="14"/>
      <c r="Q288" s="14"/>
      <c r="R288" s="14"/>
      <c r="S288" s="14" t="s">
        <v>1681</v>
      </c>
      <c r="T288" s="14" t="s">
        <v>4345</v>
      </c>
      <c r="U288" s="17">
        <v>45125.0</v>
      </c>
      <c r="V288" s="14"/>
      <c r="W288" s="14"/>
      <c r="X288" s="18"/>
      <c r="Y288" s="18"/>
      <c r="Z288" s="18"/>
      <c r="AA288" s="19">
        <f t="shared" si="1"/>
        <v>7</v>
      </c>
    </row>
    <row r="289" ht="31.5" customHeight="1">
      <c r="A289" s="12">
        <v>45108.0</v>
      </c>
      <c r="B289" s="14" t="s">
        <v>201</v>
      </c>
      <c r="C289" s="14" t="s">
        <v>4348</v>
      </c>
      <c r="D289" s="14"/>
      <c r="E289" s="14"/>
      <c r="F289" s="14"/>
      <c r="G289" s="14" t="s">
        <v>1443</v>
      </c>
      <c r="H289" s="14"/>
      <c r="I289" s="590" t="s">
        <v>1690</v>
      </c>
      <c r="J289" s="223"/>
      <c r="K289" s="14"/>
      <c r="L289" s="14"/>
      <c r="M289" s="223"/>
      <c r="N289" s="27" t="s">
        <v>48</v>
      </c>
      <c r="O289" s="14" t="s">
        <v>34</v>
      </c>
      <c r="P289" s="14"/>
      <c r="Q289" s="14"/>
      <c r="R289" s="14"/>
      <c r="S289" s="14" t="s">
        <v>1691</v>
      </c>
      <c r="T289" s="14" t="s">
        <v>36</v>
      </c>
      <c r="U289" s="41"/>
      <c r="V289" s="14"/>
      <c r="W289" s="14"/>
      <c r="X289" s="18"/>
      <c r="Y289" s="18"/>
      <c r="Z289" s="18"/>
      <c r="AA289" s="19">
        <f t="shared" si="1"/>
        <v>7</v>
      </c>
    </row>
    <row r="290" ht="31.5" customHeight="1">
      <c r="A290" s="12">
        <v>45108.0</v>
      </c>
      <c r="B290" s="14" t="s">
        <v>703</v>
      </c>
      <c r="C290" s="14" t="s">
        <v>1692</v>
      </c>
      <c r="D290" s="14"/>
      <c r="E290" s="14"/>
      <c r="F290" s="14" t="s">
        <v>4349</v>
      </c>
      <c r="G290" s="14"/>
      <c r="H290" s="14"/>
      <c r="I290" s="590" t="s">
        <v>1693</v>
      </c>
      <c r="J290" s="223"/>
      <c r="K290" s="14"/>
      <c r="L290" s="14" t="s">
        <v>1694</v>
      </c>
      <c r="M290" s="223"/>
      <c r="N290" s="27" t="s">
        <v>48</v>
      </c>
      <c r="O290" s="14" t="s">
        <v>565</v>
      </c>
      <c r="P290" s="14"/>
      <c r="Q290" s="14"/>
      <c r="R290" s="14"/>
      <c r="S290" s="14" t="s">
        <v>1695</v>
      </c>
      <c r="T290" s="14" t="s">
        <v>4350</v>
      </c>
      <c r="U290" s="17">
        <v>45114.0</v>
      </c>
      <c r="V290" s="14"/>
      <c r="W290" s="14"/>
      <c r="X290" s="18"/>
      <c r="Y290" s="18"/>
      <c r="Z290" s="18"/>
      <c r="AA290" s="19">
        <f t="shared" si="1"/>
        <v>7</v>
      </c>
    </row>
    <row r="291" ht="31.5" customHeight="1">
      <c r="A291" s="12">
        <v>45108.0</v>
      </c>
      <c r="B291" s="14" t="s">
        <v>201</v>
      </c>
      <c r="C291" s="14" t="s">
        <v>4351</v>
      </c>
      <c r="D291" s="14"/>
      <c r="E291" s="14"/>
      <c r="F291" s="14" t="s">
        <v>4352</v>
      </c>
      <c r="G291" s="14"/>
      <c r="H291" s="14"/>
      <c r="I291" s="590" t="s">
        <v>1697</v>
      </c>
      <c r="J291" s="223"/>
      <c r="K291" s="14"/>
      <c r="L291" s="14" t="s">
        <v>1698</v>
      </c>
      <c r="M291" s="223"/>
      <c r="N291" s="27" t="s">
        <v>89</v>
      </c>
      <c r="O291" s="14" t="s">
        <v>565</v>
      </c>
      <c r="P291" s="14"/>
      <c r="Q291" s="14"/>
      <c r="R291" s="14"/>
      <c r="S291" s="14" t="s">
        <v>1699</v>
      </c>
      <c r="T291" s="14"/>
      <c r="U291" s="17"/>
      <c r="V291" s="14"/>
      <c r="W291" s="14"/>
      <c r="X291" s="18"/>
      <c r="Y291" s="18"/>
      <c r="Z291" s="18"/>
      <c r="AA291" s="19">
        <f t="shared" si="1"/>
        <v>7</v>
      </c>
    </row>
    <row r="292" ht="31.5" customHeight="1">
      <c r="A292" s="12">
        <v>45109.0</v>
      </c>
      <c r="B292" s="14" t="s">
        <v>4620</v>
      </c>
      <c r="C292" s="14" t="s">
        <v>1700</v>
      </c>
      <c r="D292" s="14"/>
      <c r="E292" s="14"/>
      <c r="F292" s="14"/>
      <c r="G292" s="14" t="s">
        <v>419</v>
      </c>
      <c r="H292" s="14"/>
      <c r="I292" s="590" t="s">
        <v>1701</v>
      </c>
      <c r="J292" s="223"/>
      <c r="K292" s="14"/>
      <c r="L292" s="143" t="s">
        <v>1702</v>
      </c>
      <c r="M292" s="223"/>
      <c r="N292" s="27" t="s">
        <v>48</v>
      </c>
      <c r="O292" s="14" t="s">
        <v>34</v>
      </c>
      <c r="P292" s="14"/>
      <c r="Q292" s="14"/>
      <c r="R292" s="14"/>
      <c r="S292" s="14" t="s">
        <v>1703</v>
      </c>
      <c r="T292" s="14" t="s">
        <v>36</v>
      </c>
      <c r="U292" s="17"/>
      <c r="V292" s="14"/>
      <c r="W292" s="14"/>
      <c r="X292" s="18"/>
      <c r="Y292" s="18"/>
      <c r="Z292" s="18"/>
      <c r="AA292" s="19">
        <f t="shared" si="1"/>
        <v>7</v>
      </c>
    </row>
    <row r="293" ht="31.5" customHeight="1">
      <c r="A293" s="12">
        <v>45109.0</v>
      </c>
      <c r="B293" s="14" t="s">
        <v>4620</v>
      </c>
      <c r="C293" s="14" t="s">
        <v>1704</v>
      </c>
      <c r="D293" s="14" t="s">
        <v>1705</v>
      </c>
      <c r="E293" s="14"/>
      <c r="F293" s="14" t="s">
        <v>4353</v>
      </c>
      <c r="G293" s="14"/>
      <c r="H293" s="14"/>
      <c r="I293" s="590" t="s">
        <v>1706</v>
      </c>
      <c r="J293" s="223"/>
      <c r="K293" s="14"/>
      <c r="L293" s="14"/>
      <c r="M293" s="223"/>
      <c r="N293" s="27" t="s">
        <v>111</v>
      </c>
      <c r="O293" s="14" t="s">
        <v>13</v>
      </c>
      <c r="P293" s="14" t="s">
        <v>1707</v>
      </c>
      <c r="Q293" s="14"/>
      <c r="R293" s="14"/>
      <c r="S293" s="14" t="s">
        <v>1708</v>
      </c>
      <c r="T293" s="14" t="s">
        <v>4197</v>
      </c>
      <c r="U293" s="17">
        <v>45159.0</v>
      </c>
      <c r="V293" s="14"/>
      <c r="W293" s="14"/>
      <c r="X293" s="18"/>
      <c r="Y293" s="18"/>
      <c r="Z293" s="18"/>
      <c r="AA293" s="19">
        <f t="shared" si="1"/>
        <v>7</v>
      </c>
    </row>
    <row r="294" ht="31.5" customHeight="1">
      <c r="A294" s="12">
        <v>45109.0</v>
      </c>
      <c r="B294" s="14" t="s">
        <v>4620</v>
      </c>
      <c r="C294" s="14" t="s">
        <v>1709</v>
      </c>
      <c r="D294" s="14"/>
      <c r="E294" s="14"/>
      <c r="F294" s="14"/>
      <c r="G294" s="14"/>
      <c r="H294" s="14"/>
      <c r="I294" s="590" t="s">
        <v>1710</v>
      </c>
      <c r="J294" s="223"/>
      <c r="K294" s="14"/>
      <c r="L294" s="14"/>
      <c r="M294" s="223"/>
      <c r="N294" s="27" t="s">
        <v>48</v>
      </c>
      <c r="O294" s="14" t="s">
        <v>216</v>
      </c>
      <c r="P294" s="14"/>
      <c r="Q294" s="14"/>
      <c r="R294" s="14"/>
      <c r="S294" s="14" t="s">
        <v>1711</v>
      </c>
      <c r="T294" s="14"/>
      <c r="U294" s="17"/>
      <c r="V294" s="14"/>
      <c r="W294" s="14"/>
      <c r="X294" s="18"/>
      <c r="Y294" s="18"/>
      <c r="Z294" s="18"/>
      <c r="AA294" s="19">
        <f t="shared" si="1"/>
        <v>7</v>
      </c>
    </row>
    <row r="295" ht="31.5" customHeight="1">
      <c r="A295" s="12">
        <v>45100.0</v>
      </c>
      <c r="B295" s="14" t="s">
        <v>4621</v>
      </c>
      <c r="C295" s="14"/>
      <c r="D295" s="14" t="s">
        <v>1712</v>
      </c>
      <c r="E295" s="14"/>
      <c r="F295" s="14"/>
      <c r="G295" s="14"/>
      <c r="H295" s="14"/>
      <c r="I295" s="590" t="s">
        <v>1713</v>
      </c>
      <c r="J295" s="223"/>
      <c r="K295" s="14"/>
      <c r="L295" s="14" t="s">
        <v>1714</v>
      </c>
      <c r="M295" s="223" t="s">
        <v>5941</v>
      </c>
      <c r="N295" s="14" t="s">
        <v>48</v>
      </c>
      <c r="O295" s="14" t="s">
        <v>34</v>
      </c>
      <c r="P295" s="14"/>
      <c r="Q295" s="14"/>
      <c r="R295" s="14"/>
      <c r="S295" s="14" t="s">
        <v>1715</v>
      </c>
      <c r="T295" s="14" t="s">
        <v>36</v>
      </c>
      <c r="U295" s="17"/>
      <c r="V295" s="14"/>
      <c r="W295" s="14"/>
      <c r="X295" s="18"/>
      <c r="Y295" s="18"/>
      <c r="Z295" s="18"/>
      <c r="AA295" s="19">
        <f t="shared" si="1"/>
        <v>6</v>
      </c>
    </row>
    <row r="296" ht="31.5" customHeight="1">
      <c r="A296" s="12">
        <v>45109.0</v>
      </c>
      <c r="B296" s="14" t="s">
        <v>4621</v>
      </c>
      <c r="C296" s="14"/>
      <c r="D296" s="14" t="s">
        <v>1716</v>
      </c>
      <c r="E296" s="14"/>
      <c r="F296" s="14"/>
      <c r="G296" s="14"/>
      <c r="H296" s="14"/>
      <c r="I296" s="590" t="s">
        <v>1717</v>
      </c>
      <c r="J296" s="223"/>
      <c r="K296" s="14"/>
      <c r="L296" s="14" t="s">
        <v>5942</v>
      </c>
      <c r="M296" s="223" t="s">
        <v>5941</v>
      </c>
      <c r="N296" s="27" t="s">
        <v>111</v>
      </c>
      <c r="O296" s="14" t="s">
        <v>216</v>
      </c>
      <c r="P296" s="14"/>
      <c r="Q296" s="14"/>
      <c r="R296" s="14"/>
      <c r="S296" s="14"/>
      <c r="T296" s="14"/>
      <c r="U296" s="17"/>
      <c r="V296" s="14"/>
      <c r="W296" s="14"/>
      <c r="X296" s="18"/>
      <c r="Y296" s="18"/>
      <c r="Z296" s="18"/>
      <c r="AA296" s="19">
        <f t="shared" si="1"/>
        <v>7</v>
      </c>
    </row>
    <row r="297" ht="31.5" customHeight="1">
      <c r="A297" s="12">
        <v>45109.0</v>
      </c>
      <c r="B297" s="14" t="s">
        <v>4621</v>
      </c>
      <c r="C297" s="14"/>
      <c r="D297" s="14" t="s">
        <v>1719</v>
      </c>
      <c r="E297" s="14"/>
      <c r="F297" s="14"/>
      <c r="G297" s="14"/>
      <c r="H297" s="14"/>
      <c r="I297" s="590" t="s">
        <v>1720</v>
      </c>
      <c r="J297" s="223"/>
      <c r="K297" s="14"/>
      <c r="L297" s="14" t="s">
        <v>5943</v>
      </c>
      <c r="M297" s="223" t="s">
        <v>5941</v>
      </c>
      <c r="N297" s="27" t="s">
        <v>48</v>
      </c>
      <c r="O297" s="14" t="s">
        <v>1484</v>
      </c>
      <c r="P297" s="14"/>
      <c r="Q297" s="14"/>
      <c r="R297" s="14"/>
      <c r="S297" s="14" t="s">
        <v>1722</v>
      </c>
      <c r="T297" s="14" t="s">
        <v>4356</v>
      </c>
      <c r="U297" s="17">
        <v>45117.0</v>
      </c>
      <c r="V297" s="14"/>
      <c r="W297" s="14"/>
      <c r="X297" s="18"/>
      <c r="Y297" s="18"/>
      <c r="Z297" s="18"/>
      <c r="AA297" s="19">
        <f t="shared" si="1"/>
        <v>7</v>
      </c>
    </row>
    <row r="298" ht="31.5" customHeight="1">
      <c r="A298" s="12">
        <v>45109.0</v>
      </c>
      <c r="B298" s="14" t="s">
        <v>4620</v>
      </c>
      <c r="C298" s="14" t="s">
        <v>1723</v>
      </c>
      <c r="D298" s="14" t="s">
        <v>4357</v>
      </c>
      <c r="E298" s="142"/>
      <c r="F298" s="142">
        <v>40596.0</v>
      </c>
      <c r="G298" s="14"/>
      <c r="H298" s="14"/>
      <c r="I298" s="590" t="s">
        <v>1725</v>
      </c>
      <c r="J298" s="223"/>
      <c r="K298" s="14"/>
      <c r="L298" s="14" t="s">
        <v>1726</v>
      </c>
      <c r="M298" s="223"/>
      <c r="N298" s="27" t="s">
        <v>111</v>
      </c>
      <c r="O298" s="14" t="s">
        <v>34</v>
      </c>
      <c r="P298" s="14"/>
      <c r="Q298" s="14"/>
      <c r="R298" s="14"/>
      <c r="S298" s="14" t="s">
        <v>1727</v>
      </c>
      <c r="T298" s="14" t="s">
        <v>4069</v>
      </c>
      <c r="U298" s="17"/>
      <c r="V298" s="14"/>
      <c r="W298" s="14"/>
      <c r="X298" s="18"/>
      <c r="Y298" s="18"/>
      <c r="Z298" s="18"/>
      <c r="AA298" s="19">
        <f t="shared" si="1"/>
        <v>7</v>
      </c>
    </row>
    <row r="299" ht="31.5" customHeight="1">
      <c r="A299" s="12">
        <v>45109.0</v>
      </c>
      <c r="B299" s="14" t="s">
        <v>703</v>
      </c>
      <c r="C299" s="14" t="s">
        <v>1728</v>
      </c>
      <c r="D299" s="14"/>
      <c r="E299" s="14"/>
      <c r="F299" s="14"/>
      <c r="G299" s="14"/>
      <c r="H299" s="14"/>
      <c r="I299" s="590" t="s">
        <v>1729</v>
      </c>
      <c r="J299" s="223"/>
      <c r="K299" s="14"/>
      <c r="L299" s="14"/>
      <c r="M299" s="223"/>
      <c r="N299" s="27" t="s">
        <v>48</v>
      </c>
      <c r="O299" s="14" t="s">
        <v>34</v>
      </c>
      <c r="P299" s="14"/>
      <c r="Q299" s="14"/>
      <c r="R299" s="14"/>
      <c r="S299" s="14" t="s">
        <v>1730</v>
      </c>
      <c r="T299" s="14" t="s">
        <v>36</v>
      </c>
      <c r="U299" s="17"/>
      <c r="V299" s="14"/>
      <c r="W299" s="14"/>
      <c r="X299" s="18"/>
      <c r="Y299" s="18"/>
      <c r="Z299" s="18"/>
      <c r="AA299" s="19">
        <f t="shared" si="1"/>
        <v>7</v>
      </c>
    </row>
    <row r="300" ht="31.5" customHeight="1">
      <c r="A300" s="12">
        <v>45109.0</v>
      </c>
      <c r="B300" s="14" t="s">
        <v>703</v>
      </c>
      <c r="C300" s="14" t="s">
        <v>1731</v>
      </c>
      <c r="D300" s="14"/>
      <c r="E300" s="14"/>
      <c r="F300" s="14"/>
      <c r="G300" s="14"/>
      <c r="H300" s="14"/>
      <c r="I300" s="590" t="s">
        <v>1732</v>
      </c>
      <c r="J300" s="223"/>
      <c r="K300" s="14"/>
      <c r="L300" s="14"/>
      <c r="M300" s="223"/>
      <c r="N300" s="27" t="s">
        <v>111</v>
      </c>
      <c r="O300" s="14" t="s">
        <v>216</v>
      </c>
      <c r="P300" s="14"/>
      <c r="Q300" s="14"/>
      <c r="R300" s="14"/>
      <c r="S300" s="14" t="s">
        <v>1733</v>
      </c>
      <c r="T300" s="14" t="s">
        <v>4096</v>
      </c>
      <c r="U300" s="17"/>
      <c r="V300" s="14"/>
      <c r="W300" s="14"/>
      <c r="X300" s="18"/>
      <c r="Y300" s="18"/>
      <c r="Z300" s="18"/>
      <c r="AA300" s="19">
        <f t="shared" si="1"/>
        <v>7</v>
      </c>
    </row>
    <row r="301" ht="31.5" customHeight="1">
      <c r="A301" s="12">
        <v>45110.0</v>
      </c>
      <c r="B301" s="14" t="s">
        <v>4620</v>
      </c>
      <c r="C301" s="37" t="s">
        <v>1734</v>
      </c>
      <c r="D301" s="14" t="s">
        <v>1735</v>
      </c>
      <c r="E301" s="14"/>
      <c r="F301" s="14"/>
      <c r="G301" s="14" t="s">
        <v>169</v>
      </c>
      <c r="H301" s="14"/>
      <c r="I301" s="590" t="s">
        <v>1736</v>
      </c>
      <c r="J301" s="223"/>
      <c r="K301" s="14" t="s">
        <v>289</v>
      </c>
      <c r="L301" s="14"/>
      <c r="M301" s="223"/>
      <c r="N301" s="27" t="s">
        <v>48</v>
      </c>
      <c r="O301" s="14" t="s">
        <v>34</v>
      </c>
      <c r="P301" s="61" t="s">
        <v>1737</v>
      </c>
      <c r="Q301" s="14"/>
      <c r="R301" s="14"/>
      <c r="S301" s="14" t="s">
        <v>1738</v>
      </c>
      <c r="T301" s="14" t="s">
        <v>36</v>
      </c>
      <c r="U301" s="17"/>
      <c r="V301" s="14"/>
      <c r="W301" s="14"/>
      <c r="X301" s="18"/>
      <c r="Y301" s="18"/>
      <c r="Z301" s="18"/>
      <c r="AA301" s="19">
        <f t="shared" si="1"/>
        <v>7</v>
      </c>
    </row>
    <row r="302" ht="31.5" customHeight="1">
      <c r="A302" s="12">
        <v>45110.0</v>
      </c>
      <c r="B302" s="14" t="s">
        <v>4620</v>
      </c>
      <c r="C302" s="37" t="s">
        <v>1734</v>
      </c>
      <c r="D302" s="14" t="s">
        <v>1739</v>
      </c>
      <c r="E302" s="14"/>
      <c r="F302" s="14"/>
      <c r="G302" s="14" t="s">
        <v>115</v>
      </c>
      <c r="H302" s="14"/>
      <c r="I302" s="590" t="s">
        <v>1736</v>
      </c>
      <c r="J302" s="223"/>
      <c r="K302" s="14"/>
      <c r="L302" s="14" t="s">
        <v>1740</v>
      </c>
      <c r="M302" s="223"/>
      <c r="N302" s="27" t="s">
        <v>48</v>
      </c>
      <c r="O302" s="14" t="s">
        <v>13</v>
      </c>
      <c r="P302" s="14" t="s">
        <v>1741</v>
      </c>
      <c r="Q302" s="14"/>
      <c r="R302" s="14"/>
      <c r="S302" s="14" t="s">
        <v>1742</v>
      </c>
      <c r="T302" s="14"/>
      <c r="U302" s="17">
        <v>45122.0</v>
      </c>
      <c r="V302" s="14"/>
      <c r="W302" s="14"/>
      <c r="X302" s="18"/>
      <c r="Y302" s="18"/>
      <c r="Z302" s="18"/>
      <c r="AA302" s="19">
        <f t="shared" si="1"/>
        <v>7</v>
      </c>
    </row>
    <row r="303" ht="31.5" customHeight="1">
      <c r="A303" s="12">
        <v>45110.0</v>
      </c>
      <c r="B303" s="14" t="s">
        <v>4620</v>
      </c>
      <c r="C303" s="37" t="s">
        <v>1734</v>
      </c>
      <c r="D303" s="14" t="s">
        <v>1743</v>
      </c>
      <c r="E303" s="14"/>
      <c r="F303" s="14"/>
      <c r="G303" s="14" t="s">
        <v>1744</v>
      </c>
      <c r="H303" s="14"/>
      <c r="I303" s="590" t="s">
        <v>1736</v>
      </c>
      <c r="J303" s="223"/>
      <c r="K303" s="14"/>
      <c r="L303" s="14" t="s">
        <v>1745</v>
      </c>
      <c r="M303" s="223"/>
      <c r="N303" s="27" t="s">
        <v>48</v>
      </c>
      <c r="O303" s="14" t="s">
        <v>13</v>
      </c>
      <c r="P303" s="14" t="s">
        <v>1746</v>
      </c>
      <c r="Q303" s="14"/>
      <c r="R303" s="14"/>
      <c r="S303" s="14" t="s">
        <v>1747</v>
      </c>
      <c r="T303" s="14" t="s">
        <v>4358</v>
      </c>
      <c r="U303" s="17">
        <v>45139.0</v>
      </c>
      <c r="V303" s="14"/>
      <c r="W303" s="14"/>
      <c r="X303" s="18"/>
      <c r="Y303" s="18"/>
      <c r="Z303" s="18"/>
      <c r="AA303" s="19">
        <f t="shared" si="1"/>
        <v>7</v>
      </c>
    </row>
    <row r="304" ht="31.5" customHeight="1">
      <c r="A304" s="12">
        <v>45101.0</v>
      </c>
      <c r="B304" s="14" t="s">
        <v>84</v>
      </c>
      <c r="C304" s="14" t="s">
        <v>1748</v>
      </c>
      <c r="D304" s="14" t="s">
        <v>1749</v>
      </c>
      <c r="E304" s="14"/>
      <c r="F304" s="14" t="s">
        <v>4125</v>
      </c>
      <c r="G304" s="14"/>
      <c r="H304" s="14"/>
      <c r="I304" s="590" t="s">
        <v>1750</v>
      </c>
      <c r="J304" s="223"/>
      <c r="K304" s="14"/>
      <c r="L304" s="14"/>
      <c r="M304" s="223"/>
      <c r="N304" s="14" t="s">
        <v>48</v>
      </c>
      <c r="O304" s="14" t="s">
        <v>565</v>
      </c>
      <c r="P304" s="14"/>
      <c r="Q304" s="14"/>
      <c r="R304" s="14"/>
      <c r="S304" s="14"/>
      <c r="T304" s="14" t="s">
        <v>4359</v>
      </c>
      <c r="U304" s="17"/>
      <c r="V304" s="14"/>
      <c r="W304" s="14"/>
      <c r="X304" s="18"/>
      <c r="Y304" s="18"/>
      <c r="Z304" s="18"/>
      <c r="AA304" s="19">
        <f t="shared" si="1"/>
        <v>6</v>
      </c>
    </row>
    <row r="305" ht="31.5" customHeight="1">
      <c r="A305" s="12">
        <v>45110.0</v>
      </c>
      <c r="B305" s="115" t="s">
        <v>4620</v>
      </c>
      <c r="C305" s="14" t="s">
        <v>4360</v>
      </c>
      <c r="D305" s="14"/>
      <c r="E305" s="14"/>
      <c r="F305" s="14"/>
      <c r="G305" s="14"/>
      <c r="H305" s="14"/>
      <c r="I305" s="590" t="s">
        <v>1752</v>
      </c>
      <c r="J305" s="223"/>
      <c r="K305" s="14"/>
      <c r="L305" s="14"/>
      <c r="M305" s="223"/>
      <c r="N305" s="27" t="s">
        <v>111</v>
      </c>
      <c r="O305" s="14" t="s">
        <v>565</v>
      </c>
      <c r="P305" s="14"/>
      <c r="Q305" s="14"/>
      <c r="R305" s="14"/>
      <c r="S305" s="14" t="s">
        <v>1753</v>
      </c>
      <c r="T305" s="14" t="s">
        <v>4096</v>
      </c>
      <c r="U305" s="17"/>
      <c r="V305" s="14"/>
      <c r="W305" s="14"/>
      <c r="X305" s="18"/>
      <c r="Y305" s="18"/>
      <c r="Z305" s="18"/>
      <c r="AA305" s="19">
        <f t="shared" si="1"/>
        <v>7</v>
      </c>
    </row>
    <row r="306" ht="31.5" customHeight="1">
      <c r="A306" s="12">
        <v>45110.0</v>
      </c>
      <c r="B306" s="115" t="s">
        <v>4620</v>
      </c>
      <c r="C306" s="14" t="s">
        <v>1754</v>
      </c>
      <c r="D306" s="14"/>
      <c r="E306" s="14"/>
      <c r="F306" s="14"/>
      <c r="G306" s="14"/>
      <c r="H306" s="14"/>
      <c r="I306" s="590" t="s">
        <v>1755</v>
      </c>
      <c r="J306" s="223"/>
      <c r="K306" s="14"/>
      <c r="L306" s="14"/>
      <c r="M306" s="223"/>
      <c r="N306" s="27" t="s">
        <v>111</v>
      </c>
      <c r="O306" s="14" t="s">
        <v>216</v>
      </c>
      <c r="P306" s="14"/>
      <c r="Q306" s="14"/>
      <c r="R306" s="14"/>
      <c r="S306" s="14" t="s">
        <v>1756</v>
      </c>
      <c r="T306" s="14" t="s">
        <v>4096</v>
      </c>
      <c r="U306" s="17"/>
      <c r="V306" s="14"/>
      <c r="W306" s="14"/>
      <c r="X306" s="18"/>
      <c r="Y306" s="18"/>
      <c r="Z306" s="18"/>
      <c r="AA306" s="19">
        <f t="shared" si="1"/>
        <v>7</v>
      </c>
    </row>
    <row r="307" ht="31.5" customHeight="1">
      <c r="A307" s="12">
        <v>45111.0</v>
      </c>
      <c r="B307" s="14" t="s">
        <v>201</v>
      </c>
      <c r="C307" s="14" t="s">
        <v>4363</v>
      </c>
      <c r="D307" s="14" t="s">
        <v>1763</v>
      </c>
      <c r="E307" s="14"/>
      <c r="F307" s="14">
        <v>2014.0</v>
      </c>
      <c r="G307" s="14" t="s">
        <v>839</v>
      </c>
      <c r="H307" s="14"/>
      <c r="I307" s="590" t="s">
        <v>1764</v>
      </c>
      <c r="J307" s="223"/>
      <c r="K307" s="14"/>
      <c r="L307" s="14"/>
      <c r="M307" s="223"/>
      <c r="N307" s="27" t="s">
        <v>111</v>
      </c>
      <c r="O307" s="14" t="s">
        <v>34</v>
      </c>
      <c r="P307" s="14"/>
      <c r="Q307" s="14"/>
      <c r="R307" s="14"/>
      <c r="S307" s="14" t="s">
        <v>1765</v>
      </c>
      <c r="T307" s="14" t="s">
        <v>4069</v>
      </c>
      <c r="U307" s="17"/>
      <c r="V307" s="14"/>
      <c r="W307" s="14"/>
      <c r="X307" s="18"/>
      <c r="Y307" s="18"/>
      <c r="Z307" s="18"/>
      <c r="AA307" s="19">
        <f t="shared" si="1"/>
        <v>7</v>
      </c>
    </row>
    <row r="308" ht="31.5" customHeight="1">
      <c r="A308" s="12">
        <v>45111.0</v>
      </c>
      <c r="B308" s="14" t="s">
        <v>84</v>
      </c>
      <c r="C308" s="14" t="s">
        <v>4364</v>
      </c>
      <c r="D308" s="14" t="s">
        <v>1766</v>
      </c>
      <c r="E308" s="14"/>
      <c r="F308" s="14"/>
      <c r="G308" s="14" t="s">
        <v>1767</v>
      </c>
      <c r="H308" s="14"/>
      <c r="I308" s="590" t="s">
        <v>1768</v>
      </c>
      <c r="J308" s="223"/>
      <c r="K308" s="14"/>
      <c r="L308" s="14" t="s">
        <v>1769</v>
      </c>
      <c r="M308" s="223"/>
      <c r="N308" s="27" t="s">
        <v>48</v>
      </c>
      <c r="O308" s="14" t="s">
        <v>565</v>
      </c>
      <c r="P308" s="14"/>
      <c r="Q308" s="14"/>
      <c r="R308" s="14"/>
      <c r="S308" s="14" t="s">
        <v>1770</v>
      </c>
      <c r="T308" s="14" t="s">
        <v>4365</v>
      </c>
      <c r="U308" s="17">
        <v>45112.0</v>
      </c>
      <c r="V308" s="14"/>
      <c r="W308" s="14"/>
      <c r="X308" s="18"/>
      <c r="Y308" s="18"/>
      <c r="Z308" s="18"/>
      <c r="AA308" s="19">
        <f t="shared" si="1"/>
        <v>7</v>
      </c>
    </row>
    <row r="309" ht="31.5" customHeight="1">
      <c r="A309" s="12">
        <v>45111.0</v>
      </c>
      <c r="B309" s="14" t="s">
        <v>703</v>
      </c>
      <c r="C309" s="14" t="s">
        <v>1771</v>
      </c>
      <c r="D309" s="224"/>
      <c r="E309" s="14"/>
      <c r="F309" s="14"/>
      <c r="G309" s="14">
        <v>6.0</v>
      </c>
      <c r="H309" s="14"/>
      <c r="I309" s="590" t="s">
        <v>1772</v>
      </c>
      <c r="J309" s="223"/>
      <c r="K309" s="14"/>
      <c r="L309" s="14" t="s">
        <v>1773</v>
      </c>
      <c r="M309" s="223"/>
      <c r="N309" s="27" t="s">
        <v>111</v>
      </c>
      <c r="O309" s="14" t="s">
        <v>34</v>
      </c>
      <c r="P309" s="14"/>
      <c r="Q309" s="14"/>
      <c r="R309" s="14"/>
      <c r="S309" s="14" t="s">
        <v>1774</v>
      </c>
      <c r="T309" s="14" t="s">
        <v>4069</v>
      </c>
      <c r="U309" s="17"/>
      <c r="V309" s="14"/>
      <c r="W309" s="14"/>
      <c r="X309" s="18"/>
      <c r="Y309" s="18"/>
      <c r="Z309" s="18"/>
      <c r="AA309" s="19">
        <f t="shared" si="1"/>
        <v>7</v>
      </c>
    </row>
    <row r="310" ht="31.5" customHeight="1">
      <c r="A310" s="12">
        <v>45112.0</v>
      </c>
      <c r="B310" s="14" t="s">
        <v>539</v>
      </c>
      <c r="C310" s="14" t="s">
        <v>4371</v>
      </c>
      <c r="D310" s="14" t="s">
        <v>1788</v>
      </c>
      <c r="E310" s="14"/>
      <c r="F310" s="14" t="s">
        <v>4178</v>
      </c>
      <c r="G310" s="14"/>
      <c r="H310" s="14"/>
      <c r="I310" s="175">
        <v>3.47056168E8</v>
      </c>
      <c r="J310" s="223"/>
      <c r="K310" s="14"/>
      <c r="L310" s="14" t="s">
        <v>1789</v>
      </c>
      <c r="M310" s="223"/>
      <c r="N310" s="27" t="s">
        <v>111</v>
      </c>
      <c r="O310" s="14" t="s">
        <v>13</v>
      </c>
      <c r="P310" s="14" t="s">
        <v>1790</v>
      </c>
      <c r="Q310" s="14"/>
      <c r="R310" s="14"/>
      <c r="S310" s="14" t="s">
        <v>1791</v>
      </c>
      <c r="T310" s="14" t="s">
        <v>4197</v>
      </c>
      <c r="U310" s="17">
        <v>45120.0</v>
      </c>
      <c r="V310" s="14"/>
      <c r="W310" s="14"/>
      <c r="X310" s="18"/>
      <c r="Y310" s="18"/>
      <c r="Z310" s="18"/>
      <c r="AA310" s="19">
        <f t="shared" si="1"/>
        <v>7</v>
      </c>
    </row>
    <row r="311" ht="31.5" customHeight="1">
      <c r="A311" s="12">
        <v>45112.0</v>
      </c>
      <c r="B311" s="14" t="s">
        <v>539</v>
      </c>
      <c r="C311" s="14" t="s">
        <v>1792</v>
      </c>
      <c r="D311" s="14" t="s">
        <v>1792</v>
      </c>
      <c r="E311" s="14"/>
      <c r="F311" s="14" t="s">
        <v>4372</v>
      </c>
      <c r="G311" s="14"/>
      <c r="H311" s="14"/>
      <c r="I311" s="175">
        <v>8.66266979E8</v>
      </c>
      <c r="J311" s="223"/>
      <c r="K311" s="14"/>
      <c r="L311" s="14" t="s">
        <v>1793</v>
      </c>
      <c r="M311" s="223"/>
      <c r="N311" s="27" t="s">
        <v>111</v>
      </c>
      <c r="O311" s="14" t="s">
        <v>565</v>
      </c>
      <c r="P311" s="14"/>
      <c r="Q311" s="14"/>
      <c r="R311" s="14"/>
      <c r="S311" s="14" t="s">
        <v>1794</v>
      </c>
      <c r="T311" s="14" t="s">
        <v>4373</v>
      </c>
      <c r="U311" s="17">
        <v>45139.0</v>
      </c>
      <c r="V311" s="14"/>
      <c r="W311" s="14"/>
      <c r="X311" s="18"/>
      <c r="Y311" s="18"/>
      <c r="Z311" s="18"/>
      <c r="AA311" s="19">
        <f t="shared" si="1"/>
        <v>7</v>
      </c>
    </row>
    <row r="312" ht="31.5" customHeight="1">
      <c r="A312" s="12">
        <v>45112.0</v>
      </c>
      <c r="B312" s="14" t="s">
        <v>539</v>
      </c>
      <c r="C312" s="14" t="s">
        <v>1795</v>
      </c>
      <c r="D312" s="14"/>
      <c r="E312" s="14"/>
      <c r="F312" s="14"/>
      <c r="G312" s="14"/>
      <c r="H312" s="14"/>
      <c r="I312" s="175">
        <v>9.72466204E8</v>
      </c>
      <c r="J312" s="223"/>
      <c r="K312" s="14"/>
      <c r="L312" s="14" t="s">
        <v>1796</v>
      </c>
      <c r="M312" s="223"/>
      <c r="N312" s="27" t="s">
        <v>111</v>
      </c>
      <c r="O312" s="14" t="s">
        <v>216</v>
      </c>
      <c r="P312" s="14"/>
      <c r="Q312" s="14"/>
      <c r="R312" s="14"/>
      <c r="S312" s="14" t="s">
        <v>1797</v>
      </c>
      <c r="T312" s="14"/>
      <c r="U312" s="17"/>
      <c r="V312" s="14"/>
      <c r="W312" s="14"/>
      <c r="X312" s="18"/>
      <c r="Y312" s="18"/>
      <c r="Z312" s="18"/>
      <c r="AA312" s="19">
        <f t="shared" si="1"/>
        <v>7</v>
      </c>
    </row>
    <row r="313" ht="31.5" customHeight="1">
      <c r="A313" s="12">
        <v>45112.0</v>
      </c>
      <c r="B313" s="14" t="s">
        <v>539</v>
      </c>
      <c r="C313" s="14" t="s">
        <v>1798</v>
      </c>
      <c r="D313" s="14" t="s">
        <v>1798</v>
      </c>
      <c r="E313" s="14"/>
      <c r="F313" s="14">
        <v>2000.0</v>
      </c>
      <c r="G313" s="14"/>
      <c r="H313" s="14"/>
      <c r="I313" s="175">
        <v>3.59639964E8</v>
      </c>
      <c r="J313" s="223"/>
      <c r="K313" s="14"/>
      <c r="L313" s="14" t="s">
        <v>358</v>
      </c>
      <c r="M313" s="223"/>
      <c r="N313" s="27" t="s">
        <v>111</v>
      </c>
      <c r="O313" s="14" t="s">
        <v>565</v>
      </c>
      <c r="P313" s="14"/>
      <c r="Q313" s="14"/>
      <c r="R313" s="14"/>
      <c r="S313" s="14" t="s">
        <v>1799</v>
      </c>
      <c r="T313" s="14"/>
      <c r="U313" s="17"/>
      <c r="V313" s="14"/>
      <c r="W313" s="14"/>
      <c r="X313" s="18"/>
      <c r="Y313" s="18"/>
      <c r="Z313" s="18"/>
      <c r="AA313" s="19">
        <f t="shared" si="1"/>
        <v>7</v>
      </c>
    </row>
    <row r="314" ht="31.5" customHeight="1">
      <c r="A314" s="12">
        <v>45112.0</v>
      </c>
      <c r="B314" s="14" t="s">
        <v>539</v>
      </c>
      <c r="C314" s="14" t="s">
        <v>1800</v>
      </c>
      <c r="D314" s="14"/>
      <c r="E314" s="14"/>
      <c r="F314" s="14"/>
      <c r="G314" s="14"/>
      <c r="H314" s="14"/>
      <c r="I314" s="175">
        <v>7.89724991E8</v>
      </c>
      <c r="J314" s="223"/>
      <c r="K314" s="14"/>
      <c r="L314" s="14" t="s">
        <v>1796</v>
      </c>
      <c r="M314" s="223"/>
      <c r="N314" s="27" t="s">
        <v>111</v>
      </c>
      <c r="O314" s="14" t="s">
        <v>216</v>
      </c>
      <c r="P314" s="14"/>
      <c r="Q314" s="14"/>
      <c r="R314" s="14"/>
      <c r="S314" s="14" t="s">
        <v>1797</v>
      </c>
      <c r="T314" s="14"/>
      <c r="U314" s="17"/>
      <c r="V314" s="14"/>
      <c r="W314" s="14"/>
      <c r="X314" s="18"/>
      <c r="Y314" s="18"/>
      <c r="Z314" s="18"/>
      <c r="AA314" s="19">
        <f t="shared" si="1"/>
        <v>7</v>
      </c>
    </row>
    <row r="315" ht="31.5" customHeight="1">
      <c r="A315" s="12">
        <v>45112.0</v>
      </c>
      <c r="B315" s="14" t="s">
        <v>539</v>
      </c>
      <c r="C315" s="14"/>
      <c r="D315" s="14"/>
      <c r="E315" s="14"/>
      <c r="F315" s="14"/>
      <c r="G315" s="14"/>
      <c r="H315" s="14"/>
      <c r="I315" s="175">
        <v>9.83712446E8</v>
      </c>
      <c r="J315" s="223"/>
      <c r="K315" s="14"/>
      <c r="L315" s="14" t="s">
        <v>1796</v>
      </c>
      <c r="M315" s="223"/>
      <c r="N315" s="27" t="s">
        <v>111</v>
      </c>
      <c r="O315" s="14" t="s">
        <v>216</v>
      </c>
      <c r="P315" s="14"/>
      <c r="Q315" s="14"/>
      <c r="R315" s="14"/>
      <c r="S315" s="14" t="s">
        <v>1797</v>
      </c>
      <c r="T315" s="14"/>
      <c r="U315" s="17"/>
      <c r="V315" s="14"/>
      <c r="W315" s="14"/>
      <c r="X315" s="18"/>
      <c r="Y315" s="18"/>
      <c r="Z315" s="18"/>
      <c r="AA315" s="19">
        <f t="shared" si="1"/>
        <v>7</v>
      </c>
    </row>
    <row r="316" ht="31.5" customHeight="1">
      <c r="A316" s="12">
        <v>45112.0</v>
      </c>
      <c r="B316" s="14" t="s">
        <v>539</v>
      </c>
      <c r="C316" s="14" t="s">
        <v>1802</v>
      </c>
      <c r="D316" s="14" t="s">
        <v>1803</v>
      </c>
      <c r="E316" s="14"/>
      <c r="F316" s="14" t="s">
        <v>437</v>
      </c>
      <c r="G316" s="14"/>
      <c r="H316" s="14"/>
      <c r="I316" s="175">
        <v>9.84395356E8</v>
      </c>
      <c r="J316" s="223"/>
      <c r="K316" s="14"/>
      <c r="L316" s="14" t="s">
        <v>1804</v>
      </c>
      <c r="M316" s="223"/>
      <c r="N316" s="27" t="s">
        <v>111</v>
      </c>
      <c r="O316" s="14" t="s">
        <v>34</v>
      </c>
      <c r="P316" s="14" t="s">
        <v>1805</v>
      </c>
      <c r="Q316" s="14"/>
      <c r="R316" s="14"/>
      <c r="S316" s="14" t="s">
        <v>1806</v>
      </c>
      <c r="T316" s="14" t="s">
        <v>4069</v>
      </c>
      <c r="U316" s="17"/>
      <c r="V316" s="14"/>
      <c r="W316" s="14"/>
      <c r="X316" s="18"/>
      <c r="Y316" s="18"/>
      <c r="Z316" s="18"/>
      <c r="AA316" s="19">
        <f t="shared" si="1"/>
        <v>7</v>
      </c>
    </row>
    <row r="317" ht="31.5" customHeight="1">
      <c r="A317" s="12">
        <v>45112.0</v>
      </c>
      <c r="B317" s="14" t="s">
        <v>539</v>
      </c>
      <c r="C317" s="14" t="s">
        <v>4374</v>
      </c>
      <c r="D317" s="14" t="s">
        <v>1808</v>
      </c>
      <c r="E317" s="14"/>
      <c r="F317" s="14">
        <v>2017.0</v>
      </c>
      <c r="G317" s="14"/>
      <c r="H317" s="14"/>
      <c r="I317" s="175">
        <v>9.02274008E8</v>
      </c>
      <c r="J317" s="223"/>
      <c r="K317" s="14"/>
      <c r="L317" s="14" t="s">
        <v>1796</v>
      </c>
      <c r="M317" s="223"/>
      <c r="N317" s="27" t="s">
        <v>111</v>
      </c>
      <c r="O317" s="14" t="s">
        <v>565</v>
      </c>
      <c r="P317" s="14"/>
      <c r="Q317" s="14"/>
      <c r="R317" s="14"/>
      <c r="S317" s="14" t="s">
        <v>1809</v>
      </c>
      <c r="T317" s="14" t="s">
        <v>4197</v>
      </c>
      <c r="U317" s="17">
        <v>45120.0</v>
      </c>
      <c r="V317" s="14"/>
      <c r="W317" s="14"/>
      <c r="X317" s="18"/>
      <c r="Y317" s="18"/>
      <c r="Z317" s="18"/>
      <c r="AA317" s="19">
        <f t="shared" si="1"/>
        <v>7</v>
      </c>
    </row>
    <row r="318" ht="31.5" customHeight="1">
      <c r="A318" s="12">
        <v>45112.0</v>
      </c>
      <c r="B318" s="14" t="s">
        <v>539</v>
      </c>
      <c r="C318" s="14" t="s">
        <v>1818</v>
      </c>
      <c r="D318" s="14"/>
      <c r="E318" s="14"/>
      <c r="F318" s="14"/>
      <c r="G318" s="14"/>
      <c r="H318" s="14"/>
      <c r="I318" s="175">
        <v>3.39583533E8</v>
      </c>
      <c r="J318" s="223"/>
      <c r="K318" s="14"/>
      <c r="L318" s="14" t="s">
        <v>1796</v>
      </c>
      <c r="M318" s="223"/>
      <c r="N318" s="27" t="s">
        <v>48</v>
      </c>
      <c r="O318" s="14" t="s">
        <v>565</v>
      </c>
      <c r="P318" s="14"/>
      <c r="Q318" s="14"/>
      <c r="R318" s="14"/>
      <c r="S318" s="14" t="s">
        <v>1819</v>
      </c>
      <c r="T318" s="14" t="s">
        <v>4378</v>
      </c>
      <c r="U318" s="17">
        <v>45114.0</v>
      </c>
      <c r="V318" s="14"/>
      <c r="W318" s="14"/>
      <c r="X318" s="18"/>
      <c r="Y318" s="18"/>
      <c r="Z318" s="18"/>
      <c r="AA318" s="19">
        <f t="shared" si="1"/>
        <v>7</v>
      </c>
    </row>
    <row r="319" ht="31.5" customHeight="1">
      <c r="A319" s="12">
        <v>45112.0</v>
      </c>
      <c r="B319" s="14" t="s">
        <v>539</v>
      </c>
      <c r="C319" s="14" t="s">
        <v>1820</v>
      </c>
      <c r="D319" s="14"/>
      <c r="E319" s="14"/>
      <c r="F319" s="14"/>
      <c r="G319" s="14"/>
      <c r="H319" s="14"/>
      <c r="I319" s="175">
        <v>9.76875678E8</v>
      </c>
      <c r="J319" s="223"/>
      <c r="K319" s="14"/>
      <c r="L319" s="14" t="s">
        <v>1821</v>
      </c>
      <c r="M319" s="223"/>
      <c r="N319" s="27" t="s">
        <v>48</v>
      </c>
      <c r="O319" s="14" t="s">
        <v>34</v>
      </c>
      <c r="P319" s="14"/>
      <c r="Q319" s="14"/>
      <c r="R319" s="14"/>
      <c r="S319" s="14" t="s">
        <v>1822</v>
      </c>
      <c r="T319" s="14" t="s">
        <v>36</v>
      </c>
      <c r="U319" s="17"/>
      <c r="V319" s="14"/>
      <c r="W319" s="14"/>
      <c r="X319" s="18"/>
      <c r="Y319" s="18"/>
      <c r="Z319" s="18"/>
      <c r="AA319" s="19">
        <f t="shared" si="1"/>
        <v>7</v>
      </c>
    </row>
    <row r="320" ht="31.5" customHeight="1">
      <c r="A320" s="12">
        <v>45112.0</v>
      </c>
      <c r="B320" s="14" t="s">
        <v>539</v>
      </c>
      <c r="C320" s="14" t="s">
        <v>1823</v>
      </c>
      <c r="D320" s="14"/>
      <c r="E320" s="14"/>
      <c r="F320" s="14"/>
      <c r="G320" s="14">
        <v>7.0</v>
      </c>
      <c r="H320" s="14"/>
      <c r="I320" s="175">
        <v>9.82999979E8</v>
      </c>
      <c r="J320" s="223"/>
      <c r="K320" s="14"/>
      <c r="L320" s="224" t="s">
        <v>1824</v>
      </c>
      <c r="M320" s="223"/>
      <c r="N320" s="27" t="s">
        <v>48</v>
      </c>
      <c r="O320" s="14" t="s">
        <v>565</v>
      </c>
      <c r="P320" s="14"/>
      <c r="Q320" s="14"/>
      <c r="R320" s="14"/>
      <c r="S320" s="14" t="s">
        <v>1825</v>
      </c>
      <c r="T320" s="14" t="s">
        <v>4379</v>
      </c>
      <c r="U320" s="17">
        <v>45113.0</v>
      </c>
      <c r="V320" s="14"/>
      <c r="W320" s="14"/>
      <c r="X320" s="18"/>
      <c r="Y320" s="18"/>
      <c r="Z320" s="18"/>
      <c r="AA320" s="19">
        <f t="shared" si="1"/>
        <v>7</v>
      </c>
    </row>
    <row r="321" ht="31.5" customHeight="1">
      <c r="A321" s="12">
        <v>45112.0</v>
      </c>
      <c r="B321" s="14" t="s">
        <v>539</v>
      </c>
      <c r="C321" s="14" t="s">
        <v>1826</v>
      </c>
      <c r="D321" s="14"/>
      <c r="E321" s="14"/>
      <c r="F321" s="14" t="s">
        <v>1244</v>
      </c>
      <c r="G321" s="14">
        <v>5.0</v>
      </c>
      <c r="H321" s="14"/>
      <c r="I321" s="175">
        <v>9.75143942E8</v>
      </c>
      <c r="J321" s="223"/>
      <c r="K321" s="14"/>
      <c r="L321" s="14" t="s">
        <v>1827</v>
      </c>
      <c r="M321" s="223"/>
      <c r="N321" s="27" t="s">
        <v>48</v>
      </c>
      <c r="O321" s="14" t="s">
        <v>565</v>
      </c>
      <c r="P321" s="14"/>
      <c r="Q321" s="14"/>
      <c r="R321" s="14"/>
      <c r="S321" s="14" t="s">
        <v>1828</v>
      </c>
      <c r="T321" s="14" t="s">
        <v>4379</v>
      </c>
      <c r="U321" s="17">
        <v>45113.0</v>
      </c>
      <c r="V321" s="14"/>
      <c r="W321" s="14"/>
      <c r="X321" s="18"/>
      <c r="Y321" s="18"/>
      <c r="Z321" s="18"/>
      <c r="AA321" s="19">
        <f t="shared" si="1"/>
        <v>7</v>
      </c>
    </row>
    <row r="322" ht="31.5" customHeight="1">
      <c r="A322" s="12">
        <v>45112.0</v>
      </c>
      <c r="B322" s="14" t="s">
        <v>539</v>
      </c>
      <c r="C322" s="14" t="s">
        <v>1829</v>
      </c>
      <c r="D322" s="14"/>
      <c r="E322" s="14"/>
      <c r="F322" s="14"/>
      <c r="G322" s="14">
        <v>6.0</v>
      </c>
      <c r="H322" s="14"/>
      <c r="I322" s="175">
        <v>9.78155995E8</v>
      </c>
      <c r="J322" s="223"/>
      <c r="K322" s="14"/>
      <c r="L322" s="14" t="s">
        <v>1796</v>
      </c>
      <c r="M322" s="223"/>
      <c r="N322" s="27" t="s">
        <v>48</v>
      </c>
      <c r="O322" s="14" t="s">
        <v>565</v>
      </c>
      <c r="P322" s="14"/>
      <c r="Q322" s="14"/>
      <c r="R322" s="14"/>
      <c r="S322" s="14" t="s">
        <v>1830</v>
      </c>
      <c r="T322" s="14" t="s">
        <v>4380</v>
      </c>
      <c r="U322" s="17">
        <v>45113.0</v>
      </c>
      <c r="V322" s="14"/>
      <c r="W322" s="14"/>
      <c r="X322" s="18"/>
      <c r="Y322" s="18"/>
      <c r="Z322" s="18"/>
      <c r="AA322" s="19">
        <f t="shared" si="1"/>
        <v>7</v>
      </c>
    </row>
    <row r="323" ht="31.5" customHeight="1">
      <c r="A323" s="12">
        <v>45112.0</v>
      </c>
      <c r="B323" s="14" t="s">
        <v>539</v>
      </c>
      <c r="C323" s="14" t="s">
        <v>1831</v>
      </c>
      <c r="D323" s="14"/>
      <c r="E323" s="14"/>
      <c r="F323" s="14"/>
      <c r="G323" s="14">
        <v>16.0</v>
      </c>
      <c r="H323" s="14"/>
      <c r="I323" s="175">
        <v>3.88595525E8</v>
      </c>
      <c r="J323" s="223"/>
      <c r="K323" s="14"/>
      <c r="L323" s="14" t="s">
        <v>1832</v>
      </c>
      <c r="M323" s="223"/>
      <c r="N323" s="27" t="s">
        <v>48</v>
      </c>
      <c r="O323" s="14" t="s">
        <v>216</v>
      </c>
      <c r="P323" s="14"/>
      <c r="Q323" s="14"/>
      <c r="R323" s="14"/>
      <c r="S323" s="14" t="s">
        <v>1833</v>
      </c>
      <c r="T323" s="14" t="s">
        <v>36</v>
      </c>
      <c r="U323" s="17"/>
      <c r="V323" s="14"/>
      <c r="W323" s="14"/>
      <c r="X323" s="18"/>
      <c r="Y323" s="18"/>
      <c r="Z323" s="18"/>
      <c r="AA323" s="19">
        <f t="shared" si="1"/>
        <v>7</v>
      </c>
    </row>
    <row r="324" ht="31.5" customHeight="1">
      <c r="A324" s="12">
        <v>45112.0</v>
      </c>
      <c r="B324" s="14" t="s">
        <v>539</v>
      </c>
      <c r="C324" s="14" t="s">
        <v>1834</v>
      </c>
      <c r="D324" s="14"/>
      <c r="E324" s="14"/>
      <c r="F324" s="14"/>
      <c r="G324" s="14"/>
      <c r="H324" s="14"/>
      <c r="I324" s="175">
        <v>9.82807252E8</v>
      </c>
      <c r="J324" s="223"/>
      <c r="K324" s="14"/>
      <c r="L324" s="14" t="s">
        <v>1835</v>
      </c>
      <c r="M324" s="223"/>
      <c r="N324" s="27" t="s">
        <v>48</v>
      </c>
      <c r="O324" s="14" t="s">
        <v>565</v>
      </c>
      <c r="P324" s="14"/>
      <c r="Q324" s="14"/>
      <c r="R324" s="14"/>
      <c r="S324" s="14" t="s">
        <v>1836</v>
      </c>
      <c r="T324" s="14" t="s">
        <v>4378</v>
      </c>
      <c r="U324" s="17">
        <v>45113.0</v>
      </c>
      <c r="V324" s="14"/>
      <c r="W324" s="14"/>
      <c r="X324" s="18"/>
      <c r="Y324" s="18"/>
      <c r="Z324" s="18"/>
      <c r="AA324" s="19">
        <f t="shared" si="1"/>
        <v>7</v>
      </c>
    </row>
    <row r="325" ht="31.5" customHeight="1">
      <c r="A325" s="12">
        <v>45112.0</v>
      </c>
      <c r="B325" s="14" t="s">
        <v>539</v>
      </c>
      <c r="C325" s="62" t="s">
        <v>1837</v>
      </c>
      <c r="D325" s="14" t="s">
        <v>1838</v>
      </c>
      <c r="E325" s="14"/>
      <c r="F325" s="14" t="s">
        <v>419</v>
      </c>
      <c r="G325" s="14"/>
      <c r="H325" s="14"/>
      <c r="I325" s="175">
        <v>3.62828124E8</v>
      </c>
      <c r="J325" s="223"/>
      <c r="K325" s="14"/>
      <c r="L325" s="14" t="s">
        <v>1796</v>
      </c>
      <c r="M325" s="223"/>
      <c r="N325" s="27" t="s">
        <v>48</v>
      </c>
      <c r="O325" s="14" t="s">
        <v>158</v>
      </c>
      <c r="P325" s="14" t="s">
        <v>1839</v>
      </c>
      <c r="Q325" s="14"/>
      <c r="R325" s="14"/>
      <c r="S325" s="14" t="s">
        <v>1840</v>
      </c>
      <c r="T325" s="14" t="s">
        <v>4381</v>
      </c>
      <c r="U325" s="17">
        <v>45148.0</v>
      </c>
      <c r="V325" s="14"/>
      <c r="W325" s="14"/>
      <c r="X325" s="18"/>
      <c r="Y325" s="18"/>
      <c r="Z325" s="18"/>
      <c r="AA325" s="19">
        <f t="shared" si="1"/>
        <v>7</v>
      </c>
    </row>
    <row r="326" ht="31.5" customHeight="1">
      <c r="A326" s="12">
        <v>45112.0</v>
      </c>
      <c r="B326" s="14" t="s">
        <v>539</v>
      </c>
      <c r="C326" s="14" t="s">
        <v>1841</v>
      </c>
      <c r="D326" s="14"/>
      <c r="E326" s="14"/>
      <c r="F326" s="14"/>
      <c r="G326" s="14"/>
      <c r="H326" s="14"/>
      <c r="I326" s="175">
        <v>3.86165612E8</v>
      </c>
      <c r="J326" s="223"/>
      <c r="K326" s="14"/>
      <c r="L326" s="14" t="s">
        <v>1842</v>
      </c>
      <c r="M326" s="223"/>
      <c r="N326" s="27" t="s">
        <v>48</v>
      </c>
      <c r="O326" s="14" t="s">
        <v>565</v>
      </c>
      <c r="P326" s="14"/>
      <c r="Q326" s="14"/>
      <c r="R326" s="14"/>
      <c r="S326" s="14" t="s">
        <v>1843</v>
      </c>
      <c r="T326" s="14" t="s">
        <v>4378</v>
      </c>
      <c r="U326" s="17">
        <v>45122.0</v>
      </c>
      <c r="V326" s="14"/>
      <c r="W326" s="14"/>
      <c r="X326" s="18"/>
      <c r="Y326" s="18"/>
      <c r="Z326" s="18"/>
      <c r="AA326" s="19">
        <f t="shared" si="1"/>
        <v>7</v>
      </c>
    </row>
    <row r="327" ht="31.5" customHeight="1">
      <c r="A327" s="12">
        <v>45112.0</v>
      </c>
      <c r="B327" s="14" t="s">
        <v>539</v>
      </c>
      <c r="C327" s="14" t="s">
        <v>1844</v>
      </c>
      <c r="D327" s="14" t="s">
        <v>1845</v>
      </c>
      <c r="E327" s="14"/>
      <c r="F327" s="14" t="s">
        <v>4382</v>
      </c>
      <c r="G327" s="14"/>
      <c r="H327" s="14"/>
      <c r="I327" s="590" t="s">
        <v>1846</v>
      </c>
      <c r="J327" s="223"/>
      <c r="K327" s="14"/>
      <c r="L327" s="14"/>
      <c r="M327" s="223"/>
      <c r="N327" s="27" t="s">
        <v>111</v>
      </c>
      <c r="O327" s="14" t="s">
        <v>34</v>
      </c>
      <c r="P327" s="14"/>
      <c r="Q327" s="14"/>
      <c r="R327" s="14"/>
      <c r="S327" s="14" t="s">
        <v>1847</v>
      </c>
      <c r="T327" s="14" t="s">
        <v>4069</v>
      </c>
      <c r="U327" s="17"/>
      <c r="V327" s="14"/>
      <c r="W327" s="14"/>
      <c r="X327" s="18"/>
      <c r="Y327" s="18"/>
      <c r="Z327" s="18"/>
      <c r="AA327" s="19">
        <f t="shared" si="1"/>
        <v>7</v>
      </c>
    </row>
    <row r="328" ht="31.5" customHeight="1">
      <c r="A328" s="12">
        <v>45112.0</v>
      </c>
      <c r="B328" s="14" t="s">
        <v>539</v>
      </c>
      <c r="C328" s="14" t="s">
        <v>1848</v>
      </c>
      <c r="D328" s="14"/>
      <c r="E328" s="14"/>
      <c r="F328" s="14"/>
      <c r="G328" s="14"/>
      <c r="H328" s="14"/>
      <c r="I328" s="590" t="s">
        <v>1849</v>
      </c>
      <c r="J328" s="223"/>
      <c r="K328" s="14"/>
      <c r="L328" s="14"/>
      <c r="M328" s="223"/>
      <c r="N328" s="27" t="s">
        <v>111</v>
      </c>
      <c r="O328" s="14" t="s">
        <v>34</v>
      </c>
      <c r="P328" s="14"/>
      <c r="Q328" s="14"/>
      <c r="R328" s="14"/>
      <c r="S328" s="14" t="s">
        <v>1850</v>
      </c>
      <c r="T328" s="14"/>
      <c r="U328" s="17"/>
      <c r="V328" s="14"/>
      <c r="W328" s="14"/>
      <c r="X328" s="18"/>
      <c r="Y328" s="18"/>
      <c r="Z328" s="18"/>
      <c r="AA328" s="19">
        <f t="shared" si="1"/>
        <v>7</v>
      </c>
    </row>
    <row r="329" ht="31.5" customHeight="1">
      <c r="A329" s="12">
        <v>45112.0</v>
      </c>
      <c r="B329" s="14" t="s">
        <v>539</v>
      </c>
      <c r="C329" s="14" t="s">
        <v>1851</v>
      </c>
      <c r="D329" s="14" t="s">
        <v>1852</v>
      </c>
      <c r="E329" s="14"/>
      <c r="F329" s="14" t="s">
        <v>4383</v>
      </c>
      <c r="G329" s="14">
        <v>8.0</v>
      </c>
      <c r="H329" s="14"/>
      <c r="I329" s="590" t="s">
        <v>1853</v>
      </c>
      <c r="J329" s="223"/>
      <c r="K329" s="14"/>
      <c r="L329" s="14"/>
      <c r="M329" s="223"/>
      <c r="N329" s="27" t="s">
        <v>111</v>
      </c>
      <c r="O329" s="14" t="s">
        <v>34</v>
      </c>
      <c r="P329" s="14"/>
      <c r="Q329" s="14"/>
      <c r="R329" s="14"/>
      <c r="S329" s="14" t="s">
        <v>1854</v>
      </c>
      <c r="T329" s="14" t="s">
        <v>4069</v>
      </c>
      <c r="U329" s="17"/>
      <c r="V329" s="14"/>
      <c r="W329" s="14"/>
      <c r="X329" s="18"/>
      <c r="Y329" s="18"/>
      <c r="Z329" s="18"/>
      <c r="AA329" s="19">
        <f t="shared" si="1"/>
        <v>7</v>
      </c>
    </row>
    <row r="330" ht="31.5" customHeight="1">
      <c r="A330" s="12">
        <v>45112.0</v>
      </c>
      <c r="B330" s="14" t="s">
        <v>539</v>
      </c>
      <c r="C330" s="14" t="s">
        <v>1855</v>
      </c>
      <c r="D330" s="14"/>
      <c r="E330" s="14"/>
      <c r="F330" s="14"/>
      <c r="G330" s="14"/>
      <c r="H330" s="14"/>
      <c r="I330" s="590" t="s">
        <v>1856</v>
      </c>
      <c r="J330" s="223"/>
      <c r="K330" s="14"/>
      <c r="L330" s="14"/>
      <c r="M330" s="223"/>
      <c r="N330" s="27" t="s">
        <v>111</v>
      </c>
      <c r="O330" s="14" t="s">
        <v>216</v>
      </c>
      <c r="P330" s="14"/>
      <c r="Q330" s="14"/>
      <c r="R330" s="14"/>
      <c r="S330" s="14" t="s">
        <v>1857</v>
      </c>
      <c r="T330" s="14"/>
      <c r="U330" s="17"/>
      <c r="V330" s="14"/>
      <c r="W330" s="14"/>
      <c r="X330" s="18"/>
      <c r="Y330" s="18"/>
      <c r="Z330" s="18"/>
      <c r="AA330" s="19">
        <f t="shared" si="1"/>
        <v>7</v>
      </c>
    </row>
    <row r="331" ht="31.5" customHeight="1">
      <c r="A331" s="12">
        <v>45112.0</v>
      </c>
      <c r="B331" s="14" t="s">
        <v>539</v>
      </c>
      <c r="C331" s="37" t="s">
        <v>1858</v>
      </c>
      <c r="D331" s="14" t="s">
        <v>1859</v>
      </c>
      <c r="E331" s="14"/>
      <c r="F331" s="14"/>
      <c r="G331" s="14">
        <v>3.0</v>
      </c>
      <c r="H331" s="14"/>
      <c r="I331" s="590" t="s">
        <v>1860</v>
      </c>
      <c r="J331" s="223"/>
      <c r="K331" s="14"/>
      <c r="L331" s="14" t="s">
        <v>1861</v>
      </c>
      <c r="M331" s="223"/>
      <c r="N331" s="27" t="s">
        <v>48</v>
      </c>
      <c r="O331" s="14" t="s">
        <v>13</v>
      </c>
      <c r="P331" s="62" t="s">
        <v>1862</v>
      </c>
      <c r="Q331" s="14"/>
      <c r="R331" s="14"/>
      <c r="S331" s="37" t="s">
        <v>1863</v>
      </c>
      <c r="T331" s="14" t="s">
        <v>4384</v>
      </c>
      <c r="U331" s="17"/>
      <c r="V331" s="14"/>
      <c r="W331" s="14"/>
      <c r="X331" s="18"/>
      <c r="Y331" s="18"/>
      <c r="Z331" s="18"/>
      <c r="AA331" s="19">
        <f t="shared" si="1"/>
        <v>7</v>
      </c>
    </row>
    <row r="332" ht="31.5" customHeight="1">
      <c r="A332" s="12">
        <v>45112.0</v>
      </c>
      <c r="B332" s="14" t="s">
        <v>539</v>
      </c>
      <c r="C332" s="37" t="s">
        <v>1858</v>
      </c>
      <c r="D332" s="14" t="s">
        <v>1864</v>
      </c>
      <c r="E332" s="14"/>
      <c r="F332" s="14"/>
      <c r="G332" s="14">
        <v>6.0</v>
      </c>
      <c r="H332" s="14"/>
      <c r="I332" s="590" t="s">
        <v>1860</v>
      </c>
      <c r="J332" s="223"/>
      <c r="K332" s="14"/>
      <c r="L332" s="14" t="s">
        <v>1865</v>
      </c>
      <c r="M332" s="223"/>
      <c r="N332" s="27" t="s">
        <v>48</v>
      </c>
      <c r="O332" s="14" t="s">
        <v>13</v>
      </c>
      <c r="P332" s="14" t="s">
        <v>1866</v>
      </c>
      <c r="Q332" s="14"/>
      <c r="R332" s="14"/>
      <c r="S332" s="37" t="s">
        <v>1867</v>
      </c>
      <c r="T332" s="14" t="s">
        <v>4384</v>
      </c>
      <c r="U332" s="17"/>
      <c r="V332" s="14"/>
      <c r="W332" s="14"/>
      <c r="X332" s="18"/>
      <c r="Y332" s="18"/>
      <c r="Z332" s="18"/>
      <c r="AA332" s="19">
        <f t="shared" si="1"/>
        <v>7</v>
      </c>
    </row>
    <row r="333" ht="31.5" customHeight="1">
      <c r="A333" s="12">
        <v>45112.0</v>
      </c>
      <c r="B333" s="14" t="s">
        <v>539</v>
      </c>
      <c r="C333" s="14" t="s">
        <v>167</v>
      </c>
      <c r="D333" s="14"/>
      <c r="E333" s="14"/>
      <c r="F333" s="14"/>
      <c r="G333" s="14"/>
      <c r="H333" s="14"/>
      <c r="I333" s="590" t="s">
        <v>1868</v>
      </c>
      <c r="J333" s="223"/>
      <c r="K333" s="14"/>
      <c r="L333" s="14"/>
      <c r="M333" s="223"/>
      <c r="N333" s="27" t="s">
        <v>48</v>
      </c>
      <c r="O333" s="14" t="s">
        <v>565</v>
      </c>
      <c r="P333" s="14"/>
      <c r="Q333" s="14"/>
      <c r="R333" s="14"/>
      <c r="S333" s="37" t="s">
        <v>1869</v>
      </c>
      <c r="T333" s="14" t="s">
        <v>4385</v>
      </c>
      <c r="U333" s="17">
        <v>45115.0</v>
      </c>
      <c r="V333" s="14"/>
      <c r="W333" s="14"/>
      <c r="X333" s="18"/>
      <c r="Y333" s="18"/>
      <c r="Z333" s="18"/>
      <c r="AA333" s="19">
        <f t="shared" si="1"/>
        <v>7</v>
      </c>
    </row>
    <row r="334" ht="31.5" customHeight="1">
      <c r="A334" s="12">
        <v>45112.0</v>
      </c>
      <c r="B334" s="14" t="s">
        <v>539</v>
      </c>
      <c r="C334" s="14" t="s">
        <v>1870</v>
      </c>
      <c r="D334" s="14" t="s">
        <v>1871</v>
      </c>
      <c r="E334" s="14"/>
      <c r="F334" s="14" t="s">
        <v>4125</v>
      </c>
      <c r="G334" s="14"/>
      <c r="H334" s="14"/>
      <c r="I334" s="590" t="s">
        <v>1872</v>
      </c>
      <c r="J334" s="223"/>
      <c r="K334" s="14"/>
      <c r="L334" s="14" t="s">
        <v>1873</v>
      </c>
      <c r="M334" s="223"/>
      <c r="N334" s="27" t="s">
        <v>48</v>
      </c>
      <c r="O334" s="14" t="s">
        <v>34</v>
      </c>
      <c r="P334" s="14"/>
      <c r="Q334" s="14"/>
      <c r="R334" s="14"/>
      <c r="S334" s="14" t="s">
        <v>1874</v>
      </c>
      <c r="T334" s="14" t="s">
        <v>36</v>
      </c>
      <c r="U334" s="17"/>
      <c r="V334" s="14"/>
      <c r="W334" s="14"/>
      <c r="X334" s="18"/>
      <c r="Y334" s="18"/>
      <c r="Z334" s="18"/>
      <c r="AA334" s="19">
        <f t="shared" si="1"/>
        <v>7</v>
      </c>
    </row>
    <row r="335" ht="31.5" customHeight="1">
      <c r="A335" s="12">
        <v>45112.0</v>
      </c>
      <c r="B335" s="14" t="s">
        <v>539</v>
      </c>
      <c r="C335" s="14" t="s">
        <v>1875</v>
      </c>
      <c r="D335" s="14"/>
      <c r="E335" s="14"/>
      <c r="F335" s="14"/>
      <c r="G335" s="14"/>
      <c r="H335" s="14"/>
      <c r="I335" s="590" t="s">
        <v>1876</v>
      </c>
      <c r="J335" s="223"/>
      <c r="K335" s="14"/>
      <c r="L335" s="14"/>
      <c r="M335" s="223"/>
      <c r="N335" s="27" t="s">
        <v>48</v>
      </c>
      <c r="O335" s="14" t="s">
        <v>565</v>
      </c>
      <c r="P335" s="14"/>
      <c r="Q335" s="14"/>
      <c r="R335" s="14"/>
      <c r="S335" s="14" t="s">
        <v>1877</v>
      </c>
      <c r="T335" s="14" t="s">
        <v>4386</v>
      </c>
      <c r="U335" s="17">
        <v>45116.0</v>
      </c>
      <c r="V335" s="14"/>
      <c r="W335" s="14"/>
      <c r="X335" s="18"/>
      <c r="Y335" s="18"/>
      <c r="Z335" s="18"/>
      <c r="AA335" s="19">
        <f t="shared" si="1"/>
        <v>7</v>
      </c>
    </row>
    <row r="336" ht="31.5" customHeight="1">
      <c r="A336" s="12">
        <v>45112.0</v>
      </c>
      <c r="B336" s="14" t="s">
        <v>201</v>
      </c>
      <c r="C336" s="14" t="s">
        <v>1878</v>
      </c>
      <c r="D336" s="14" t="s">
        <v>1879</v>
      </c>
      <c r="E336" s="14"/>
      <c r="F336" s="14">
        <v>2012.0</v>
      </c>
      <c r="G336" s="14"/>
      <c r="H336" s="14"/>
      <c r="I336" s="590" t="s">
        <v>1880</v>
      </c>
      <c r="J336" s="223"/>
      <c r="K336" s="14"/>
      <c r="L336" s="14"/>
      <c r="M336" s="223"/>
      <c r="N336" s="27" t="s">
        <v>111</v>
      </c>
      <c r="O336" s="14" t="s">
        <v>13</v>
      </c>
      <c r="P336" s="61" t="s">
        <v>1881</v>
      </c>
      <c r="Q336" s="14"/>
      <c r="R336" s="14"/>
      <c r="S336" s="14" t="s">
        <v>1882</v>
      </c>
      <c r="T336" s="14" t="s">
        <v>4197</v>
      </c>
      <c r="U336" s="17">
        <v>45174.0</v>
      </c>
      <c r="V336" s="14"/>
      <c r="W336" s="14"/>
      <c r="X336" s="18"/>
      <c r="Y336" s="18"/>
      <c r="Z336" s="18"/>
      <c r="AA336" s="19">
        <f t="shared" si="1"/>
        <v>7</v>
      </c>
    </row>
    <row r="337" ht="31.5" customHeight="1">
      <c r="A337" s="12">
        <v>45112.0</v>
      </c>
      <c r="B337" s="14" t="s">
        <v>539</v>
      </c>
      <c r="C337" s="14"/>
      <c r="D337" s="14"/>
      <c r="E337" s="14"/>
      <c r="F337" s="14"/>
      <c r="G337" s="14"/>
      <c r="H337" s="14"/>
      <c r="I337" s="590" t="s">
        <v>1884</v>
      </c>
      <c r="J337" s="223"/>
      <c r="K337" s="14"/>
      <c r="L337" s="14" t="s">
        <v>1885</v>
      </c>
      <c r="M337" s="223"/>
      <c r="N337" s="27" t="s">
        <v>111</v>
      </c>
      <c r="O337" s="14" t="s">
        <v>216</v>
      </c>
      <c r="P337" s="14"/>
      <c r="Q337" s="14"/>
      <c r="R337" s="14"/>
      <c r="S337" s="14" t="s">
        <v>1886</v>
      </c>
      <c r="T337" s="14"/>
      <c r="U337" s="17"/>
      <c r="V337" s="14"/>
      <c r="W337" s="14"/>
      <c r="X337" s="18"/>
      <c r="Y337" s="18"/>
      <c r="Z337" s="18"/>
      <c r="AA337" s="19">
        <f t="shared" si="1"/>
        <v>7</v>
      </c>
    </row>
    <row r="338" ht="31.5" customHeight="1">
      <c r="A338" s="12">
        <v>45112.0</v>
      </c>
      <c r="B338" s="14" t="s">
        <v>539</v>
      </c>
      <c r="C338" s="14" t="s">
        <v>1887</v>
      </c>
      <c r="D338" s="14"/>
      <c r="E338" s="14"/>
      <c r="F338" s="14"/>
      <c r="G338" s="14"/>
      <c r="H338" s="14"/>
      <c r="I338" s="590" t="s">
        <v>1888</v>
      </c>
      <c r="J338" s="223"/>
      <c r="K338" s="14"/>
      <c r="L338" s="14" t="s">
        <v>1889</v>
      </c>
      <c r="M338" s="223"/>
      <c r="N338" s="27" t="s">
        <v>111</v>
      </c>
      <c r="O338" s="14" t="s">
        <v>34</v>
      </c>
      <c r="P338" s="14"/>
      <c r="Q338" s="14"/>
      <c r="R338" s="14"/>
      <c r="S338" s="14" t="s">
        <v>1890</v>
      </c>
      <c r="T338" s="14" t="s">
        <v>4069</v>
      </c>
      <c r="U338" s="17"/>
      <c r="V338" s="14"/>
      <c r="W338" s="14"/>
      <c r="X338" s="18"/>
      <c r="Y338" s="18"/>
      <c r="Z338" s="18"/>
      <c r="AA338" s="19">
        <f t="shared" si="1"/>
        <v>7</v>
      </c>
    </row>
    <row r="339" ht="31.5" customHeight="1">
      <c r="A339" s="12">
        <v>45112.0</v>
      </c>
      <c r="B339" s="14" t="s">
        <v>539</v>
      </c>
      <c r="C339" s="14" t="s">
        <v>1891</v>
      </c>
      <c r="D339" s="14" t="s">
        <v>4387</v>
      </c>
      <c r="E339" s="14"/>
      <c r="F339" s="14" t="s">
        <v>4377</v>
      </c>
      <c r="G339" s="14">
        <v>6.0</v>
      </c>
      <c r="H339" s="14"/>
      <c r="I339" s="590" t="s">
        <v>1893</v>
      </c>
      <c r="J339" s="223"/>
      <c r="K339" s="14"/>
      <c r="L339" s="14" t="s">
        <v>1894</v>
      </c>
      <c r="M339" s="223"/>
      <c r="N339" s="27" t="s">
        <v>111</v>
      </c>
      <c r="O339" s="14" t="s">
        <v>13</v>
      </c>
      <c r="P339" s="14" t="s">
        <v>1895</v>
      </c>
      <c r="Q339" s="14"/>
      <c r="R339" s="14"/>
      <c r="S339" s="14" t="s">
        <v>1896</v>
      </c>
      <c r="T339" s="14" t="s">
        <v>4197</v>
      </c>
      <c r="U339" s="17">
        <v>45119.0</v>
      </c>
      <c r="V339" s="14"/>
      <c r="W339" s="14"/>
      <c r="X339" s="18"/>
      <c r="Y339" s="18"/>
      <c r="Z339" s="18"/>
      <c r="AA339" s="19">
        <f t="shared" si="1"/>
        <v>7</v>
      </c>
    </row>
    <row r="340" ht="31.5" customHeight="1">
      <c r="A340" s="12">
        <v>45112.0</v>
      </c>
      <c r="B340" s="14" t="s">
        <v>539</v>
      </c>
      <c r="C340" s="14"/>
      <c r="D340" s="14"/>
      <c r="E340" s="14"/>
      <c r="F340" s="14"/>
      <c r="G340" s="14"/>
      <c r="H340" s="14"/>
      <c r="I340" s="590" t="s">
        <v>1898</v>
      </c>
      <c r="J340" s="223"/>
      <c r="K340" s="14"/>
      <c r="L340" s="14" t="s">
        <v>1796</v>
      </c>
      <c r="M340" s="223"/>
      <c r="N340" s="27" t="s">
        <v>111</v>
      </c>
      <c r="O340" s="14" t="s">
        <v>216</v>
      </c>
      <c r="P340" s="14"/>
      <c r="Q340" s="14"/>
      <c r="R340" s="14"/>
      <c r="S340" s="14" t="s">
        <v>1899</v>
      </c>
      <c r="T340" s="14"/>
      <c r="U340" s="17"/>
      <c r="V340" s="14"/>
      <c r="W340" s="14"/>
      <c r="X340" s="18"/>
      <c r="Y340" s="18"/>
      <c r="Z340" s="18"/>
      <c r="AA340" s="19">
        <f t="shared" si="1"/>
        <v>7</v>
      </c>
    </row>
    <row r="341" ht="31.5" customHeight="1">
      <c r="A341" s="12">
        <v>45112.0</v>
      </c>
      <c r="B341" s="14" t="s">
        <v>539</v>
      </c>
      <c r="C341" s="14"/>
      <c r="D341" s="14"/>
      <c r="E341" s="14"/>
      <c r="F341" s="14"/>
      <c r="G341" s="14"/>
      <c r="H341" s="14"/>
      <c r="I341" s="590" t="s">
        <v>1901</v>
      </c>
      <c r="J341" s="223"/>
      <c r="K341" s="14"/>
      <c r="L341" s="14" t="s">
        <v>1902</v>
      </c>
      <c r="M341" s="223"/>
      <c r="N341" s="27" t="s">
        <v>111</v>
      </c>
      <c r="O341" s="14" t="s">
        <v>216</v>
      </c>
      <c r="P341" s="14"/>
      <c r="Q341" s="14"/>
      <c r="R341" s="14"/>
      <c r="S341" s="14" t="s">
        <v>1903</v>
      </c>
      <c r="T341" s="14"/>
      <c r="U341" s="17"/>
      <c r="V341" s="14"/>
      <c r="W341" s="14"/>
      <c r="X341" s="18"/>
      <c r="Y341" s="18"/>
      <c r="Z341" s="18"/>
      <c r="AA341" s="19">
        <f t="shared" si="1"/>
        <v>7</v>
      </c>
    </row>
    <row r="342" ht="31.5" customHeight="1">
      <c r="A342" s="12">
        <v>45112.0</v>
      </c>
      <c r="B342" s="14" t="s">
        <v>539</v>
      </c>
      <c r="C342" s="14" t="s">
        <v>1904</v>
      </c>
      <c r="D342" s="14"/>
      <c r="E342" s="14"/>
      <c r="F342" s="14"/>
      <c r="G342" s="14"/>
      <c r="H342" s="14"/>
      <c r="I342" s="590" t="s">
        <v>1905</v>
      </c>
      <c r="J342" s="223"/>
      <c r="K342" s="14"/>
      <c r="L342" s="14" t="s">
        <v>1796</v>
      </c>
      <c r="M342" s="223"/>
      <c r="N342" s="27" t="s">
        <v>48</v>
      </c>
      <c r="O342" s="14" t="s">
        <v>34</v>
      </c>
      <c r="P342" s="14"/>
      <c r="Q342" s="14"/>
      <c r="R342" s="14"/>
      <c r="S342" s="37" t="s">
        <v>1906</v>
      </c>
      <c r="T342" s="14" t="s">
        <v>4388</v>
      </c>
      <c r="U342" s="17"/>
      <c r="V342" s="14"/>
      <c r="W342" s="14"/>
      <c r="X342" s="18"/>
      <c r="Y342" s="18"/>
      <c r="Z342" s="18"/>
      <c r="AA342" s="19">
        <f t="shared" si="1"/>
        <v>7</v>
      </c>
    </row>
    <row r="343" ht="31.5" customHeight="1">
      <c r="A343" s="12">
        <v>45112.0</v>
      </c>
      <c r="B343" s="14" t="s">
        <v>539</v>
      </c>
      <c r="C343" s="14" t="s">
        <v>1907</v>
      </c>
      <c r="D343" s="14" t="s">
        <v>1908</v>
      </c>
      <c r="E343" s="14"/>
      <c r="F343" s="14"/>
      <c r="G343" s="14"/>
      <c r="H343" s="14"/>
      <c r="I343" s="590" t="s">
        <v>1909</v>
      </c>
      <c r="J343" s="223"/>
      <c r="K343" s="14"/>
      <c r="L343" s="14" t="s">
        <v>1910</v>
      </c>
      <c r="M343" s="223"/>
      <c r="N343" s="27" t="s">
        <v>48</v>
      </c>
      <c r="O343" s="14" t="s">
        <v>565</v>
      </c>
      <c r="P343" s="14"/>
      <c r="Q343" s="14"/>
      <c r="R343" s="14"/>
      <c r="S343" s="14" t="s">
        <v>1911</v>
      </c>
      <c r="T343" s="14" t="s">
        <v>4389</v>
      </c>
      <c r="U343" s="17">
        <v>45127.0</v>
      </c>
      <c r="V343" s="14"/>
      <c r="W343" s="14"/>
      <c r="X343" s="18"/>
      <c r="Y343" s="18"/>
      <c r="Z343" s="18"/>
      <c r="AA343" s="19">
        <f t="shared" si="1"/>
        <v>7</v>
      </c>
    </row>
    <row r="344" ht="31.5" customHeight="1">
      <c r="A344" s="12">
        <v>45112.0</v>
      </c>
      <c r="B344" s="14" t="s">
        <v>539</v>
      </c>
      <c r="C344" s="14" t="s">
        <v>1912</v>
      </c>
      <c r="D344" s="14"/>
      <c r="E344" s="14"/>
      <c r="F344" s="14"/>
      <c r="G344" s="14"/>
      <c r="H344" s="14"/>
      <c r="I344" s="590" t="s">
        <v>1913</v>
      </c>
      <c r="J344" s="223"/>
      <c r="K344" s="14"/>
      <c r="L344" s="14" t="s">
        <v>1914</v>
      </c>
      <c r="M344" s="223"/>
      <c r="N344" s="27" t="s">
        <v>48</v>
      </c>
      <c r="O344" s="14" t="s">
        <v>565</v>
      </c>
      <c r="P344" s="14"/>
      <c r="Q344" s="14"/>
      <c r="R344" s="14"/>
      <c r="S344" s="14" t="s">
        <v>1915</v>
      </c>
      <c r="T344" s="14" t="s">
        <v>4345</v>
      </c>
      <c r="U344" s="17">
        <v>45115.0</v>
      </c>
      <c r="V344" s="14"/>
      <c r="W344" s="14"/>
      <c r="X344" s="18"/>
      <c r="Y344" s="18"/>
      <c r="Z344" s="18"/>
      <c r="AA344" s="19">
        <f t="shared" si="1"/>
        <v>7</v>
      </c>
    </row>
    <row r="345" ht="31.5" customHeight="1">
      <c r="A345" s="12">
        <v>45112.0</v>
      </c>
      <c r="B345" s="14" t="s">
        <v>539</v>
      </c>
      <c r="C345" s="37" t="s">
        <v>1916</v>
      </c>
      <c r="D345" s="14" t="s">
        <v>1917</v>
      </c>
      <c r="E345" s="14"/>
      <c r="F345" s="14"/>
      <c r="G345" s="14"/>
      <c r="H345" s="14"/>
      <c r="I345" s="590" t="s">
        <v>1918</v>
      </c>
      <c r="J345" s="223"/>
      <c r="K345" s="14"/>
      <c r="L345" s="14" t="s">
        <v>1796</v>
      </c>
      <c r="M345" s="223"/>
      <c r="N345" s="27" t="s">
        <v>48</v>
      </c>
      <c r="O345" s="14" t="s">
        <v>34</v>
      </c>
      <c r="P345" s="14"/>
      <c r="Q345" s="14"/>
      <c r="R345" s="14"/>
      <c r="S345" s="37" t="s">
        <v>1919</v>
      </c>
      <c r="T345" s="14" t="s">
        <v>36</v>
      </c>
      <c r="U345" s="17"/>
      <c r="V345" s="14"/>
      <c r="W345" s="14"/>
      <c r="X345" s="18"/>
      <c r="Y345" s="18"/>
      <c r="Z345" s="18"/>
      <c r="AA345" s="19">
        <f t="shared" si="1"/>
        <v>7</v>
      </c>
    </row>
    <row r="346" ht="31.5" customHeight="1">
      <c r="A346" s="12">
        <v>45076.0</v>
      </c>
      <c r="B346" s="14" t="s">
        <v>4620</v>
      </c>
      <c r="C346" s="14" t="s">
        <v>1920</v>
      </c>
      <c r="D346" s="14" t="s">
        <v>4390</v>
      </c>
      <c r="E346" s="14"/>
      <c r="F346" s="14">
        <v>2017.0</v>
      </c>
      <c r="G346" s="14"/>
      <c r="H346" s="14"/>
      <c r="I346" s="590" t="s">
        <v>1922</v>
      </c>
      <c r="J346" s="223"/>
      <c r="K346" s="14"/>
      <c r="L346" s="14" t="s">
        <v>4130</v>
      </c>
      <c r="M346" s="591" t="s">
        <v>5944</v>
      </c>
      <c r="N346" s="14" t="s">
        <v>111</v>
      </c>
      <c r="O346" s="14" t="s">
        <v>13</v>
      </c>
      <c r="P346" s="14" t="s">
        <v>1923</v>
      </c>
      <c r="Q346" s="14"/>
      <c r="R346" s="14"/>
      <c r="S346" s="14" t="s">
        <v>1924</v>
      </c>
      <c r="T346" s="14" t="s">
        <v>4197</v>
      </c>
      <c r="U346" s="17">
        <v>45119.0</v>
      </c>
      <c r="V346" s="14"/>
      <c r="W346" s="14"/>
      <c r="X346" s="18"/>
      <c r="Y346" s="18"/>
      <c r="Z346" s="18"/>
      <c r="AA346" s="19">
        <f t="shared" si="1"/>
        <v>5</v>
      </c>
    </row>
    <row r="347" ht="31.5" customHeight="1">
      <c r="A347" s="12">
        <v>45113.0</v>
      </c>
      <c r="B347" s="14" t="s">
        <v>539</v>
      </c>
      <c r="C347" s="14" t="s">
        <v>1925</v>
      </c>
      <c r="D347" s="14"/>
      <c r="E347" s="14"/>
      <c r="F347" s="14"/>
      <c r="G347" s="14"/>
      <c r="H347" s="14"/>
      <c r="I347" s="590" t="s">
        <v>1926</v>
      </c>
      <c r="J347" s="223"/>
      <c r="K347" s="14"/>
      <c r="L347" s="14" t="s">
        <v>1927</v>
      </c>
      <c r="M347" s="223"/>
      <c r="N347" s="27" t="s">
        <v>111</v>
      </c>
      <c r="O347" s="14" t="s">
        <v>34</v>
      </c>
      <c r="P347" s="14"/>
      <c r="Q347" s="14"/>
      <c r="R347" s="14"/>
      <c r="S347" s="14" t="s">
        <v>1928</v>
      </c>
      <c r="T347" s="14" t="s">
        <v>4069</v>
      </c>
      <c r="U347" s="17"/>
      <c r="V347" s="14"/>
      <c r="W347" s="14"/>
      <c r="X347" s="18"/>
      <c r="Y347" s="18"/>
      <c r="Z347" s="18"/>
      <c r="AA347" s="19">
        <f t="shared" si="1"/>
        <v>7</v>
      </c>
    </row>
    <row r="348" ht="31.5" customHeight="1">
      <c r="A348" s="12">
        <v>45113.0</v>
      </c>
      <c r="B348" s="14" t="s">
        <v>539</v>
      </c>
      <c r="C348" s="14"/>
      <c r="D348" s="14"/>
      <c r="E348" s="14"/>
      <c r="F348" s="14"/>
      <c r="G348" s="14"/>
      <c r="H348" s="14"/>
      <c r="I348" s="590" t="s">
        <v>1930</v>
      </c>
      <c r="J348" s="223"/>
      <c r="K348" s="14"/>
      <c r="L348" s="14"/>
      <c r="M348" s="223"/>
      <c r="N348" s="27" t="s">
        <v>111</v>
      </c>
      <c r="O348" s="14" t="s">
        <v>34</v>
      </c>
      <c r="P348" s="14"/>
      <c r="Q348" s="14"/>
      <c r="R348" s="14"/>
      <c r="S348" s="14" t="s">
        <v>1931</v>
      </c>
      <c r="T348" s="14" t="s">
        <v>4069</v>
      </c>
      <c r="U348" s="17"/>
      <c r="V348" s="14"/>
      <c r="W348" s="14"/>
      <c r="X348" s="18"/>
      <c r="Y348" s="18"/>
      <c r="Z348" s="18"/>
      <c r="AA348" s="19">
        <f t="shared" si="1"/>
        <v>7</v>
      </c>
    </row>
    <row r="349" ht="31.5" customHeight="1">
      <c r="A349" s="12">
        <v>45113.0</v>
      </c>
      <c r="B349" s="14" t="s">
        <v>539</v>
      </c>
      <c r="C349" s="14"/>
      <c r="D349" s="14"/>
      <c r="E349" s="14"/>
      <c r="F349" s="14"/>
      <c r="G349" s="14"/>
      <c r="H349" s="14"/>
      <c r="I349" s="590" t="s">
        <v>1933</v>
      </c>
      <c r="J349" s="223"/>
      <c r="K349" s="14"/>
      <c r="L349" s="14" t="s">
        <v>1934</v>
      </c>
      <c r="M349" s="223"/>
      <c r="N349" s="27" t="s">
        <v>111</v>
      </c>
      <c r="O349" s="14" t="s">
        <v>34</v>
      </c>
      <c r="P349" s="14"/>
      <c r="Q349" s="14"/>
      <c r="R349" s="14"/>
      <c r="S349" s="14" t="s">
        <v>1931</v>
      </c>
      <c r="T349" s="14"/>
      <c r="U349" s="17"/>
      <c r="V349" s="14"/>
      <c r="W349" s="14"/>
      <c r="X349" s="18"/>
      <c r="Y349" s="18"/>
      <c r="Z349" s="18"/>
      <c r="AA349" s="19">
        <f t="shared" si="1"/>
        <v>7</v>
      </c>
    </row>
    <row r="350" ht="31.5" customHeight="1">
      <c r="A350" s="12">
        <v>45113.0</v>
      </c>
      <c r="B350" s="14" t="s">
        <v>539</v>
      </c>
      <c r="C350" s="14" t="s">
        <v>1935</v>
      </c>
      <c r="D350" s="14" t="s">
        <v>1936</v>
      </c>
      <c r="E350" s="14"/>
      <c r="F350" s="14" t="s">
        <v>4382</v>
      </c>
      <c r="G350" s="14"/>
      <c r="H350" s="14"/>
      <c r="I350" s="590" t="s">
        <v>1937</v>
      </c>
      <c r="J350" s="223"/>
      <c r="K350" s="14"/>
      <c r="L350" s="14" t="s">
        <v>1796</v>
      </c>
      <c r="M350" s="223"/>
      <c r="N350" s="27" t="s">
        <v>111</v>
      </c>
      <c r="O350" s="14" t="s">
        <v>34</v>
      </c>
      <c r="P350" s="14"/>
      <c r="Q350" s="14"/>
      <c r="R350" s="14"/>
      <c r="S350" s="14" t="s">
        <v>1938</v>
      </c>
      <c r="T350" s="14" t="s">
        <v>4069</v>
      </c>
      <c r="U350" s="17"/>
      <c r="V350" s="14"/>
      <c r="W350" s="14"/>
      <c r="X350" s="18"/>
      <c r="Y350" s="18"/>
      <c r="Z350" s="18"/>
      <c r="AA350" s="19">
        <f t="shared" si="1"/>
        <v>7</v>
      </c>
    </row>
    <row r="351" ht="31.5" customHeight="1">
      <c r="A351" s="12">
        <v>45113.0</v>
      </c>
      <c r="B351" s="14" t="s">
        <v>539</v>
      </c>
      <c r="C351" s="14" t="s">
        <v>1939</v>
      </c>
      <c r="D351" s="14" t="s">
        <v>1940</v>
      </c>
      <c r="E351" s="14"/>
      <c r="F351" s="14" t="s">
        <v>4382</v>
      </c>
      <c r="G351" s="14"/>
      <c r="H351" s="14"/>
      <c r="I351" s="590" t="s">
        <v>1941</v>
      </c>
      <c r="J351" s="223"/>
      <c r="K351" s="14"/>
      <c r="L351" s="14" t="s">
        <v>1796</v>
      </c>
      <c r="M351" s="223"/>
      <c r="N351" s="27" t="s">
        <v>111</v>
      </c>
      <c r="O351" s="14" t="s">
        <v>13</v>
      </c>
      <c r="P351" s="14" t="s">
        <v>1942</v>
      </c>
      <c r="Q351" s="14"/>
      <c r="R351" s="14"/>
      <c r="S351" s="14" t="s">
        <v>1943</v>
      </c>
      <c r="T351" s="14"/>
      <c r="U351" s="17"/>
      <c r="V351" s="14"/>
      <c r="W351" s="14"/>
      <c r="X351" s="18"/>
      <c r="Y351" s="18"/>
      <c r="Z351" s="18"/>
      <c r="AA351" s="19">
        <f t="shared" si="1"/>
        <v>7</v>
      </c>
    </row>
    <row r="352" ht="31.5" customHeight="1">
      <c r="A352" s="12">
        <v>45113.0</v>
      </c>
      <c r="B352" s="14" t="s">
        <v>539</v>
      </c>
      <c r="C352" s="14"/>
      <c r="D352" s="14"/>
      <c r="E352" s="14"/>
      <c r="F352" s="14"/>
      <c r="G352" s="14"/>
      <c r="H352" s="14"/>
      <c r="I352" s="590" t="s">
        <v>1945</v>
      </c>
      <c r="J352" s="223"/>
      <c r="K352" s="14"/>
      <c r="L352" s="14" t="s">
        <v>1796</v>
      </c>
      <c r="M352" s="223"/>
      <c r="N352" s="27" t="s">
        <v>111</v>
      </c>
      <c r="O352" s="14" t="s">
        <v>216</v>
      </c>
      <c r="P352" s="14"/>
      <c r="Q352" s="14"/>
      <c r="R352" s="14"/>
      <c r="S352" s="14" t="s">
        <v>1946</v>
      </c>
      <c r="T352" s="14" t="s">
        <v>4096</v>
      </c>
      <c r="U352" s="17"/>
      <c r="V352" s="14"/>
      <c r="W352" s="14"/>
      <c r="X352" s="18"/>
      <c r="Y352" s="18"/>
      <c r="Z352" s="18"/>
      <c r="AA352" s="19">
        <f t="shared" si="1"/>
        <v>7</v>
      </c>
    </row>
    <row r="353" ht="31.5" customHeight="1">
      <c r="A353" s="12">
        <v>45113.0</v>
      </c>
      <c r="B353" s="14" t="s">
        <v>539</v>
      </c>
      <c r="C353" s="14"/>
      <c r="D353" s="14"/>
      <c r="E353" s="14"/>
      <c r="F353" s="14"/>
      <c r="G353" s="14"/>
      <c r="H353" s="14"/>
      <c r="I353" s="590" t="s">
        <v>1948</v>
      </c>
      <c r="J353" s="223"/>
      <c r="K353" s="14"/>
      <c r="L353" s="14" t="s">
        <v>1796</v>
      </c>
      <c r="M353" s="223"/>
      <c r="N353" s="27" t="s">
        <v>111</v>
      </c>
      <c r="O353" s="14" t="s">
        <v>216</v>
      </c>
      <c r="P353" s="14"/>
      <c r="Q353" s="14"/>
      <c r="R353" s="14"/>
      <c r="S353" s="14" t="s">
        <v>1946</v>
      </c>
      <c r="T353" s="14" t="s">
        <v>4096</v>
      </c>
      <c r="U353" s="17"/>
      <c r="V353" s="14"/>
      <c r="W353" s="14"/>
      <c r="X353" s="18"/>
      <c r="Y353" s="18"/>
      <c r="Z353" s="18"/>
      <c r="AA353" s="19">
        <f t="shared" si="1"/>
        <v>7</v>
      </c>
    </row>
    <row r="354" ht="31.5" customHeight="1">
      <c r="A354" s="12">
        <v>45113.0</v>
      </c>
      <c r="B354" s="14" t="s">
        <v>539</v>
      </c>
      <c r="C354" s="14" t="s">
        <v>1949</v>
      </c>
      <c r="D354" s="14"/>
      <c r="E354" s="14"/>
      <c r="F354" s="14"/>
      <c r="G354" s="14"/>
      <c r="H354" s="14"/>
      <c r="I354" s="590" t="s">
        <v>1950</v>
      </c>
      <c r="J354" s="223"/>
      <c r="K354" s="14"/>
      <c r="L354" s="14" t="s">
        <v>1832</v>
      </c>
      <c r="M354" s="223"/>
      <c r="N354" s="27" t="s">
        <v>48</v>
      </c>
      <c r="O354" s="14" t="s">
        <v>1484</v>
      </c>
      <c r="P354" s="14"/>
      <c r="Q354" s="14"/>
      <c r="R354" s="14"/>
      <c r="S354" s="14" t="s">
        <v>1951</v>
      </c>
      <c r="T354" s="14"/>
      <c r="U354" s="17">
        <v>45115.0</v>
      </c>
      <c r="V354" s="14"/>
      <c r="W354" s="14"/>
      <c r="X354" s="18"/>
      <c r="Y354" s="18"/>
      <c r="Z354" s="18"/>
      <c r="AA354" s="19">
        <f t="shared" si="1"/>
        <v>7</v>
      </c>
    </row>
    <row r="355" ht="31.5" customHeight="1">
      <c r="A355" s="12">
        <v>45113.0</v>
      </c>
      <c r="B355" s="14" t="s">
        <v>539</v>
      </c>
      <c r="C355" s="14" t="s">
        <v>1952</v>
      </c>
      <c r="D355" s="14" t="s">
        <v>1953</v>
      </c>
      <c r="E355" s="14"/>
      <c r="F355" s="14"/>
      <c r="G355" s="14"/>
      <c r="H355" s="14"/>
      <c r="I355" s="590" t="s">
        <v>1954</v>
      </c>
      <c r="J355" s="223"/>
      <c r="K355" s="14"/>
      <c r="L355" s="14"/>
      <c r="M355" s="223"/>
      <c r="N355" s="27" t="s">
        <v>48</v>
      </c>
      <c r="O355" s="14" t="s">
        <v>565</v>
      </c>
      <c r="P355" s="14"/>
      <c r="Q355" s="14"/>
      <c r="R355" s="14"/>
      <c r="S355" s="14" t="s">
        <v>1955</v>
      </c>
      <c r="T355" s="14" t="s">
        <v>4391</v>
      </c>
      <c r="U355" s="17">
        <v>45117.0</v>
      </c>
      <c r="V355" s="14"/>
      <c r="W355" s="14"/>
      <c r="X355" s="18"/>
      <c r="Y355" s="18"/>
      <c r="Z355" s="18"/>
      <c r="AA355" s="19">
        <f t="shared" si="1"/>
        <v>7</v>
      </c>
    </row>
    <row r="356" ht="31.5" customHeight="1">
      <c r="A356" s="12">
        <v>45113.0</v>
      </c>
      <c r="B356" s="14" t="s">
        <v>539</v>
      </c>
      <c r="C356" s="14" t="s">
        <v>1956</v>
      </c>
      <c r="D356" s="14"/>
      <c r="E356" s="14"/>
      <c r="F356" s="14"/>
      <c r="G356" s="14"/>
      <c r="H356" s="14"/>
      <c r="I356" s="590" t="s">
        <v>1957</v>
      </c>
      <c r="J356" s="223"/>
      <c r="K356" s="14"/>
      <c r="L356" s="14" t="s">
        <v>1796</v>
      </c>
      <c r="M356" s="223"/>
      <c r="N356" s="27" t="s">
        <v>48</v>
      </c>
      <c r="O356" s="14" t="s">
        <v>34</v>
      </c>
      <c r="P356" s="14"/>
      <c r="Q356" s="14"/>
      <c r="R356" s="14"/>
      <c r="S356" s="14" t="s">
        <v>1958</v>
      </c>
      <c r="T356" s="14" t="s">
        <v>36</v>
      </c>
      <c r="U356" s="17"/>
      <c r="V356" s="14"/>
      <c r="W356" s="14"/>
      <c r="X356" s="18"/>
      <c r="Y356" s="18"/>
      <c r="Z356" s="18"/>
      <c r="AA356" s="19">
        <f t="shared" si="1"/>
        <v>7</v>
      </c>
    </row>
    <row r="357" ht="31.5" customHeight="1">
      <c r="A357" s="12">
        <v>45113.0</v>
      </c>
      <c r="B357" s="14" t="s">
        <v>539</v>
      </c>
      <c r="C357" s="14" t="s">
        <v>1959</v>
      </c>
      <c r="D357" s="14"/>
      <c r="E357" s="14"/>
      <c r="F357" s="14"/>
      <c r="G357" s="14"/>
      <c r="H357" s="14"/>
      <c r="I357" s="590" t="s">
        <v>1960</v>
      </c>
      <c r="J357" s="223"/>
      <c r="K357" s="14"/>
      <c r="L357" s="14" t="s">
        <v>1796</v>
      </c>
      <c r="M357" s="223"/>
      <c r="N357" s="27" t="s">
        <v>48</v>
      </c>
      <c r="O357" s="14" t="s">
        <v>565</v>
      </c>
      <c r="P357" s="14"/>
      <c r="Q357" s="14"/>
      <c r="R357" s="14"/>
      <c r="S357" s="14" t="s">
        <v>1961</v>
      </c>
      <c r="T357" s="14" t="s">
        <v>36</v>
      </c>
      <c r="U357" s="17"/>
      <c r="V357" s="14"/>
      <c r="W357" s="14"/>
      <c r="X357" s="18"/>
      <c r="Y357" s="18"/>
      <c r="Z357" s="18"/>
      <c r="AA357" s="19">
        <f t="shared" si="1"/>
        <v>7</v>
      </c>
    </row>
    <row r="358" ht="31.5" customHeight="1">
      <c r="A358" s="12">
        <v>45113.0</v>
      </c>
      <c r="B358" s="14" t="s">
        <v>539</v>
      </c>
      <c r="C358" s="14" t="s">
        <v>1962</v>
      </c>
      <c r="D358" s="14" t="s">
        <v>1963</v>
      </c>
      <c r="E358" s="14"/>
      <c r="F358" s="14"/>
      <c r="G358" s="14"/>
      <c r="H358" s="14"/>
      <c r="I358" s="590" t="s">
        <v>1964</v>
      </c>
      <c r="J358" s="223"/>
      <c r="K358" s="14"/>
      <c r="L358" s="14" t="s">
        <v>1796</v>
      </c>
      <c r="M358" s="223"/>
      <c r="N358" s="27" t="s">
        <v>48</v>
      </c>
      <c r="O358" s="14" t="s">
        <v>158</v>
      </c>
      <c r="P358" s="14"/>
      <c r="Q358" s="14"/>
      <c r="R358" s="14"/>
      <c r="S358" s="14" t="s">
        <v>1965</v>
      </c>
      <c r="T358" s="14" t="s">
        <v>4392</v>
      </c>
      <c r="U358" s="17">
        <v>45127.0</v>
      </c>
      <c r="V358" s="14"/>
      <c r="W358" s="14"/>
      <c r="X358" s="18"/>
      <c r="Y358" s="18"/>
      <c r="Z358" s="18"/>
      <c r="AA358" s="19">
        <f t="shared" si="1"/>
        <v>7</v>
      </c>
    </row>
    <row r="359" ht="31.5" customHeight="1">
      <c r="A359" s="12">
        <v>45113.0</v>
      </c>
      <c r="B359" s="14" t="s">
        <v>539</v>
      </c>
      <c r="C359" s="14"/>
      <c r="D359" s="14" t="s">
        <v>1966</v>
      </c>
      <c r="E359" s="14"/>
      <c r="F359" s="14"/>
      <c r="G359" s="14"/>
      <c r="H359" s="14"/>
      <c r="I359" s="590" t="s">
        <v>1967</v>
      </c>
      <c r="J359" s="223"/>
      <c r="K359" s="14"/>
      <c r="L359" s="14" t="s">
        <v>1968</v>
      </c>
      <c r="M359" s="223"/>
      <c r="N359" s="27" t="s">
        <v>48</v>
      </c>
      <c r="O359" s="14" t="s">
        <v>34</v>
      </c>
      <c r="P359" s="14"/>
      <c r="Q359" s="14"/>
      <c r="R359" s="14"/>
      <c r="S359" s="14" t="s">
        <v>1969</v>
      </c>
      <c r="T359" s="14" t="s">
        <v>36</v>
      </c>
      <c r="U359" s="17"/>
      <c r="V359" s="14"/>
      <c r="W359" s="14"/>
      <c r="X359" s="18"/>
      <c r="Y359" s="18"/>
      <c r="Z359" s="18"/>
      <c r="AA359" s="19">
        <f t="shared" si="1"/>
        <v>7</v>
      </c>
    </row>
    <row r="360" ht="31.5" customHeight="1">
      <c r="A360" s="12">
        <v>45113.0</v>
      </c>
      <c r="B360" s="14" t="s">
        <v>539</v>
      </c>
      <c r="C360" s="14" t="s">
        <v>1970</v>
      </c>
      <c r="D360" s="14" t="s">
        <v>1971</v>
      </c>
      <c r="E360" s="14"/>
      <c r="F360" s="14"/>
      <c r="G360" s="14"/>
      <c r="H360" s="14"/>
      <c r="I360" s="590" t="s">
        <v>1972</v>
      </c>
      <c r="J360" s="223"/>
      <c r="K360" s="14"/>
      <c r="L360" s="14" t="s">
        <v>1973</v>
      </c>
      <c r="M360" s="223"/>
      <c r="N360" s="27" t="s">
        <v>48</v>
      </c>
      <c r="O360" s="14" t="s">
        <v>216</v>
      </c>
      <c r="P360" s="14"/>
      <c r="Q360" s="14"/>
      <c r="R360" s="14"/>
      <c r="S360" s="14" t="s">
        <v>1974</v>
      </c>
      <c r="T360" s="14"/>
      <c r="U360" s="17"/>
      <c r="V360" s="14"/>
      <c r="W360" s="14"/>
      <c r="X360" s="18"/>
      <c r="Y360" s="18"/>
      <c r="Z360" s="18"/>
      <c r="AA360" s="19">
        <f t="shared" si="1"/>
        <v>7</v>
      </c>
    </row>
    <row r="361" ht="31.5" customHeight="1">
      <c r="A361" s="12">
        <v>45113.0</v>
      </c>
      <c r="B361" s="115" t="s">
        <v>4620</v>
      </c>
      <c r="C361" s="14" t="s">
        <v>1975</v>
      </c>
      <c r="D361" s="14"/>
      <c r="E361" s="14"/>
      <c r="F361" s="14"/>
      <c r="G361" s="14"/>
      <c r="H361" s="14"/>
      <c r="I361" s="603" t="s">
        <v>1976</v>
      </c>
      <c r="J361" s="223"/>
      <c r="K361" s="14"/>
      <c r="L361" s="14"/>
      <c r="M361" s="297"/>
      <c r="N361" s="14" t="s">
        <v>48</v>
      </c>
      <c r="O361" s="14" t="s">
        <v>565</v>
      </c>
      <c r="P361" s="14"/>
      <c r="Q361" s="14"/>
      <c r="R361" s="14"/>
      <c r="S361" s="250" t="s">
        <v>1955</v>
      </c>
      <c r="T361" s="14"/>
      <c r="U361" s="17"/>
      <c r="V361" s="14"/>
      <c r="W361" s="14"/>
      <c r="X361" s="18"/>
      <c r="Y361" s="18"/>
      <c r="Z361" s="18"/>
      <c r="AA361" s="19">
        <f t="shared" si="1"/>
        <v>7</v>
      </c>
    </row>
    <row r="362" ht="31.5" customHeight="1">
      <c r="A362" s="12">
        <v>45066.0</v>
      </c>
      <c r="B362" s="14" t="s">
        <v>4620</v>
      </c>
      <c r="C362" s="14" t="s">
        <v>1977</v>
      </c>
      <c r="D362" s="14" t="s">
        <v>4393</v>
      </c>
      <c r="E362" s="14" t="s">
        <v>4394</v>
      </c>
      <c r="F362" s="14" t="s">
        <v>1244</v>
      </c>
      <c r="G362" s="14"/>
      <c r="H362" s="14"/>
      <c r="I362" s="603" t="s">
        <v>1978</v>
      </c>
      <c r="J362" s="223"/>
      <c r="K362" s="14"/>
      <c r="L362" s="14" t="s">
        <v>4395</v>
      </c>
      <c r="M362" s="297"/>
      <c r="N362" s="14" t="s">
        <v>111</v>
      </c>
      <c r="O362" s="14" t="s">
        <v>13</v>
      </c>
      <c r="P362" s="14" t="s">
        <v>4396</v>
      </c>
      <c r="Q362" s="14"/>
      <c r="R362" s="14"/>
      <c r="S362" s="297" t="s">
        <v>1981</v>
      </c>
      <c r="T362" s="14" t="s">
        <v>4397</v>
      </c>
      <c r="U362" s="17">
        <v>45124.0</v>
      </c>
      <c r="V362" s="14"/>
      <c r="W362" s="14"/>
      <c r="X362" s="18"/>
      <c r="Y362" s="18"/>
      <c r="Z362" s="18"/>
      <c r="AA362" s="19">
        <f t="shared" si="1"/>
        <v>5</v>
      </c>
    </row>
    <row r="363" ht="31.5" customHeight="1">
      <c r="A363" s="12">
        <v>45093.0</v>
      </c>
      <c r="B363" s="14" t="s">
        <v>84</v>
      </c>
      <c r="C363" s="14" t="s">
        <v>1982</v>
      </c>
      <c r="D363" s="14" t="s">
        <v>1983</v>
      </c>
      <c r="E363" s="14"/>
      <c r="F363" s="14" t="s">
        <v>625</v>
      </c>
      <c r="G363" s="14"/>
      <c r="H363" s="14"/>
      <c r="I363" s="590" t="s">
        <v>1984</v>
      </c>
      <c r="J363" s="223"/>
      <c r="K363" s="14"/>
      <c r="L363" s="14" t="s">
        <v>1985</v>
      </c>
      <c r="M363" s="223"/>
      <c r="N363" s="14" t="s">
        <v>111</v>
      </c>
      <c r="O363" s="14" t="s">
        <v>13</v>
      </c>
      <c r="P363" s="14" t="s">
        <v>4398</v>
      </c>
      <c r="Q363" s="14"/>
      <c r="R363" s="14"/>
      <c r="S363" s="14" t="s">
        <v>1987</v>
      </c>
      <c r="T363" s="14" t="s">
        <v>4399</v>
      </c>
      <c r="U363" s="17">
        <v>45169.0</v>
      </c>
      <c r="V363" s="14"/>
      <c r="W363" s="14"/>
      <c r="X363" s="18"/>
      <c r="Y363" s="18"/>
      <c r="Z363" s="18"/>
      <c r="AA363" s="19">
        <f t="shared" si="1"/>
        <v>6</v>
      </c>
    </row>
    <row r="364" ht="31.5" customHeight="1">
      <c r="A364" s="12">
        <v>45113.0</v>
      </c>
      <c r="B364" s="14" t="s">
        <v>4620</v>
      </c>
      <c r="C364" s="14" t="s">
        <v>1988</v>
      </c>
      <c r="D364" s="14" t="s">
        <v>1989</v>
      </c>
      <c r="E364" s="14"/>
      <c r="F364" s="14" t="s">
        <v>480</v>
      </c>
      <c r="G364" s="14"/>
      <c r="H364" s="14"/>
      <c r="I364" s="639" t="s">
        <v>1990</v>
      </c>
      <c r="J364" s="14"/>
      <c r="K364" s="14"/>
      <c r="L364" s="14" t="s">
        <v>1991</v>
      </c>
      <c r="M364" s="223"/>
      <c r="N364" s="14" t="s">
        <v>111</v>
      </c>
      <c r="O364" s="14" t="s">
        <v>565</v>
      </c>
      <c r="P364" s="14"/>
      <c r="Q364" s="14"/>
      <c r="R364" s="14"/>
      <c r="S364" s="14" t="s">
        <v>1992</v>
      </c>
      <c r="T364" s="14"/>
      <c r="U364" s="17"/>
      <c r="V364" s="14"/>
      <c r="W364" s="14"/>
      <c r="X364" s="18"/>
      <c r="Y364" s="18"/>
      <c r="Z364" s="18"/>
      <c r="AA364" s="19">
        <f t="shared" si="1"/>
        <v>7</v>
      </c>
    </row>
    <row r="365" ht="31.5" customHeight="1">
      <c r="A365" s="12">
        <v>45113.0</v>
      </c>
      <c r="B365" s="14" t="s">
        <v>4620</v>
      </c>
      <c r="C365" s="14" t="s">
        <v>1993</v>
      </c>
      <c r="D365" s="14"/>
      <c r="E365" s="14"/>
      <c r="F365" s="14">
        <v>2014.0</v>
      </c>
      <c r="G365" s="14">
        <v>4.0</v>
      </c>
      <c r="H365" s="14"/>
      <c r="I365" s="590" t="s">
        <v>1994</v>
      </c>
      <c r="J365" s="223"/>
      <c r="K365" s="14"/>
      <c r="L365" s="14" t="s">
        <v>289</v>
      </c>
      <c r="M365" s="223"/>
      <c r="N365" s="14" t="s">
        <v>48</v>
      </c>
      <c r="O365" s="14" t="s">
        <v>565</v>
      </c>
      <c r="P365" s="14"/>
      <c r="Q365" s="14"/>
      <c r="R365" s="14"/>
      <c r="S365" s="14" t="s">
        <v>1995</v>
      </c>
      <c r="T365" s="14"/>
      <c r="U365" s="17">
        <v>45122.0</v>
      </c>
      <c r="V365" s="14"/>
      <c r="W365" s="14"/>
      <c r="X365" s="18"/>
      <c r="Y365" s="18"/>
      <c r="Z365" s="18"/>
      <c r="AA365" s="19">
        <f t="shared" si="1"/>
        <v>7</v>
      </c>
    </row>
    <row r="366" ht="31.5" customHeight="1">
      <c r="A366" s="12">
        <v>45114.0</v>
      </c>
      <c r="B366" s="14" t="s">
        <v>1996</v>
      </c>
      <c r="C366" s="14"/>
      <c r="D366" s="14" t="s">
        <v>1284</v>
      </c>
      <c r="E366" s="14"/>
      <c r="F366" s="14" t="s">
        <v>4125</v>
      </c>
      <c r="G366" s="14"/>
      <c r="H366" s="14"/>
      <c r="I366" s="590" t="s">
        <v>1997</v>
      </c>
      <c r="J366" s="223"/>
      <c r="K366" s="14"/>
      <c r="L366" s="14"/>
      <c r="M366" s="223"/>
      <c r="N366" s="14" t="s">
        <v>48</v>
      </c>
      <c r="O366" s="14" t="s">
        <v>565</v>
      </c>
      <c r="P366" s="14"/>
      <c r="Q366" s="14"/>
      <c r="R366" s="14"/>
      <c r="S366" s="14" t="s">
        <v>1998</v>
      </c>
      <c r="T366" s="14"/>
      <c r="U366" s="17">
        <v>45122.0</v>
      </c>
      <c r="V366" s="14"/>
      <c r="W366" s="14"/>
      <c r="X366" s="18"/>
      <c r="Y366" s="18"/>
      <c r="Z366" s="18"/>
      <c r="AA366" s="19">
        <f t="shared" si="1"/>
        <v>7</v>
      </c>
    </row>
    <row r="367" ht="31.5" customHeight="1">
      <c r="A367" s="12">
        <v>45095.0</v>
      </c>
      <c r="B367" s="14" t="s">
        <v>4620</v>
      </c>
      <c r="C367" s="14" t="s">
        <v>2005</v>
      </c>
      <c r="D367" s="14" t="s">
        <v>2006</v>
      </c>
      <c r="E367" s="14"/>
      <c r="F367" s="14"/>
      <c r="G367" s="14" t="s">
        <v>115</v>
      </c>
      <c r="H367" s="14"/>
      <c r="I367" s="596" t="s">
        <v>2007</v>
      </c>
      <c r="J367" s="223"/>
      <c r="K367" s="14"/>
      <c r="L367" s="14" t="s">
        <v>4402</v>
      </c>
      <c r="M367" s="223"/>
      <c r="N367" s="14" t="s">
        <v>111</v>
      </c>
      <c r="O367" s="14" t="s">
        <v>34</v>
      </c>
      <c r="P367" s="14"/>
      <c r="Q367" s="14"/>
      <c r="R367" s="14"/>
      <c r="S367" s="14" t="s">
        <v>2009</v>
      </c>
      <c r="T367" s="14" t="s">
        <v>4403</v>
      </c>
      <c r="U367" s="17"/>
      <c r="V367" s="14"/>
      <c r="W367" s="14"/>
      <c r="X367" s="18"/>
      <c r="Y367" s="18"/>
      <c r="Z367" s="18"/>
      <c r="AA367" s="19">
        <f t="shared" si="1"/>
        <v>6</v>
      </c>
    </row>
    <row r="368" ht="31.5" customHeight="1">
      <c r="A368" s="12">
        <v>45114.0</v>
      </c>
      <c r="B368" s="14" t="s">
        <v>4620</v>
      </c>
      <c r="C368" s="14" t="s">
        <v>4405</v>
      </c>
      <c r="D368" s="14"/>
      <c r="E368" s="14"/>
      <c r="F368" s="14"/>
      <c r="G368" s="14">
        <v>3.0</v>
      </c>
      <c r="H368" s="14"/>
      <c r="I368" s="590" t="s">
        <v>2016</v>
      </c>
      <c r="J368" s="223"/>
      <c r="K368" s="14"/>
      <c r="L368" s="14"/>
      <c r="M368" s="223"/>
      <c r="N368" s="14" t="s">
        <v>48</v>
      </c>
      <c r="O368" s="14" t="s">
        <v>34</v>
      </c>
      <c r="P368" s="14"/>
      <c r="Q368" s="14"/>
      <c r="R368" s="14"/>
      <c r="S368" s="14" t="s">
        <v>2017</v>
      </c>
      <c r="T368" s="14" t="s">
        <v>36</v>
      </c>
      <c r="U368" s="17"/>
      <c r="V368" s="14"/>
      <c r="W368" s="14"/>
      <c r="X368" s="18"/>
      <c r="Y368" s="18"/>
      <c r="Z368" s="18"/>
      <c r="AA368" s="19">
        <f t="shared" si="1"/>
        <v>7</v>
      </c>
    </row>
    <row r="369" ht="31.5" customHeight="1">
      <c r="A369" s="12">
        <v>45114.0</v>
      </c>
      <c r="B369" s="14" t="s">
        <v>703</v>
      </c>
      <c r="C369" s="14" t="s">
        <v>2018</v>
      </c>
      <c r="D369" s="14"/>
      <c r="E369" s="14"/>
      <c r="F369" s="14"/>
      <c r="G369" s="14"/>
      <c r="H369" s="14"/>
      <c r="I369" s="590" t="s">
        <v>2019</v>
      </c>
      <c r="J369" s="223"/>
      <c r="K369" s="14"/>
      <c r="L369" s="14"/>
      <c r="M369" s="223"/>
      <c r="N369" s="14" t="s">
        <v>111</v>
      </c>
      <c r="O369" s="14" t="s">
        <v>216</v>
      </c>
      <c r="P369" s="14"/>
      <c r="Q369" s="14"/>
      <c r="R369" s="14"/>
      <c r="S369" s="14" t="s">
        <v>2020</v>
      </c>
      <c r="T369" s="14"/>
      <c r="U369" s="17"/>
      <c r="V369" s="14"/>
      <c r="W369" s="14"/>
      <c r="X369" s="18"/>
      <c r="Y369" s="18"/>
      <c r="Z369" s="18"/>
      <c r="AA369" s="19">
        <f t="shared" si="1"/>
        <v>7</v>
      </c>
    </row>
    <row r="370" ht="31.5" customHeight="1">
      <c r="A370" s="12">
        <v>45114.0</v>
      </c>
      <c r="B370" s="14" t="s">
        <v>703</v>
      </c>
      <c r="C370" s="14" t="s">
        <v>2033</v>
      </c>
      <c r="D370" s="14"/>
      <c r="E370" s="14"/>
      <c r="F370" s="14"/>
      <c r="G370" s="14"/>
      <c r="H370" s="14"/>
      <c r="I370" s="590" t="s">
        <v>2034</v>
      </c>
      <c r="J370" s="223"/>
      <c r="K370" s="14"/>
      <c r="L370" s="14" t="s">
        <v>2035</v>
      </c>
      <c r="M370" s="223"/>
      <c r="N370" s="14" t="s">
        <v>48</v>
      </c>
      <c r="O370" s="14" t="s">
        <v>34</v>
      </c>
      <c r="P370" s="14"/>
      <c r="Q370" s="14"/>
      <c r="R370" s="14"/>
      <c r="S370" s="14" t="s">
        <v>2036</v>
      </c>
      <c r="T370" s="14" t="s">
        <v>36</v>
      </c>
      <c r="U370" s="17"/>
      <c r="V370" s="14"/>
      <c r="W370" s="14"/>
      <c r="X370" s="18"/>
      <c r="Y370" s="18"/>
      <c r="Z370" s="18"/>
      <c r="AA370" s="19">
        <f t="shared" si="1"/>
        <v>7</v>
      </c>
    </row>
    <row r="371" ht="31.5" customHeight="1">
      <c r="A371" s="12">
        <v>45114.0</v>
      </c>
      <c r="B371" s="14" t="s">
        <v>703</v>
      </c>
      <c r="C371" s="14" t="s">
        <v>2037</v>
      </c>
      <c r="D371" s="14"/>
      <c r="E371" s="14"/>
      <c r="F371" s="14"/>
      <c r="G371" s="14"/>
      <c r="H371" s="14"/>
      <c r="I371" s="590" t="s">
        <v>2038</v>
      </c>
      <c r="J371" s="223"/>
      <c r="K371" s="14"/>
      <c r="L371" s="14"/>
      <c r="M371" s="223"/>
      <c r="N371" s="14" t="s">
        <v>111</v>
      </c>
      <c r="O371" s="14" t="s">
        <v>565</v>
      </c>
      <c r="P371" s="14"/>
      <c r="Q371" s="14"/>
      <c r="R371" s="14"/>
      <c r="S371" s="14" t="s">
        <v>2039</v>
      </c>
      <c r="T371" s="14" t="s">
        <v>4096</v>
      </c>
      <c r="U371" s="17">
        <v>45119.0</v>
      </c>
      <c r="V371" s="14"/>
      <c r="W371" s="14"/>
      <c r="X371" s="18"/>
      <c r="Y371" s="18"/>
      <c r="Z371" s="18"/>
      <c r="AA371" s="19">
        <f t="shared" si="1"/>
        <v>7</v>
      </c>
    </row>
    <row r="372" ht="31.5" customHeight="1">
      <c r="A372" s="12">
        <v>45114.0</v>
      </c>
      <c r="B372" s="14" t="s">
        <v>703</v>
      </c>
      <c r="C372" s="14" t="s">
        <v>2040</v>
      </c>
      <c r="D372" s="14"/>
      <c r="E372" s="14"/>
      <c r="F372" s="14"/>
      <c r="G372" s="14"/>
      <c r="H372" s="14"/>
      <c r="I372" s="590" t="s">
        <v>2041</v>
      </c>
      <c r="J372" s="223"/>
      <c r="K372" s="14"/>
      <c r="L372" s="14"/>
      <c r="M372" s="223"/>
      <c r="N372" s="14" t="s">
        <v>111</v>
      </c>
      <c r="O372" s="14" t="s">
        <v>216</v>
      </c>
      <c r="P372" s="14"/>
      <c r="Q372" s="14"/>
      <c r="R372" s="14"/>
      <c r="S372" s="14" t="s">
        <v>2042</v>
      </c>
      <c r="T372" s="14" t="s">
        <v>4096</v>
      </c>
      <c r="U372" s="17"/>
      <c r="V372" s="14"/>
      <c r="W372" s="14"/>
      <c r="X372" s="18"/>
      <c r="Y372" s="18"/>
      <c r="Z372" s="18"/>
      <c r="AA372" s="19">
        <f t="shared" si="1"/>
        <v>7</v>
      </c>
    </row>
    <row r="373" ht="31.5" customHeight="1">
      <c r="A373" s="12">
        <v>45115.0</v>
      </c>
      <c r="B373" s="14" t="s">
        <v>4620</v>
      </c>
      <c r="C373" s="37" t="s">
        <v>2043</v>
      </c>
      <c r="D373" s="37" t="s">
        <v>2044</v>
      </c>
      <c r="E373" s="14"/>
      <c r="F373" s="14" t="s">
        <v>419</v>
      </c>
      <c r="G373" s="14">
        <v>1.0</v>
      </c>
      <c r="H373" s="14"/>
      <c r="I373" s="590" t="s">
        <v>2045</v>
      </c>
      <c r="J373" s="223"/>
      <c r="K373" s="14"/>
      <c r="L373" s="14"/>
      <c r="M373" s="223"/>
      <c r="N373" s="14" t="s">
        <v>48</v>
      </c>
      <c r="O373" s="14" t="s">
        <v>34</v>
      </c>
      <c r="P373" s="14" t="s">
        <v>2046</v>
      </c>
      <c r="Q373" s="14"/>
      <c r="R373" s="14"/>
      <c r="S373" s="37" t="s">
        <v>2047</v>
      </c>
      <c r="T373" s="14" t="s">
        <v>36</v>
      </c>
      <c r="U373" s="17"/>
      <c r="V373" s="14"/>
      <c r="W373" s="14"/>
      <c r="X373" s="18"/>
      <c r="Y373" s="18"/>
      <c r="Z373" s="18"/>
      <c r="AA373" s="19">
        <f t="shared" si="1"/>
        <v>7</v>
      </c>
    </row>
    <row r="374" ht="31.5" customHeight="1">
      <c r="A374" s="12">
        <v>45116.0</v>
      </c>
      <c r="B374" s="14" t="s">
        <v>4620</v>
      </c>
      <c r="C374" s="14" t="s">
        <v>2048</v>
      </c>
      <c r="D374" s="232" t="s">
        <v>2049</v>
      </c>
      <c r="E374" s="14"/>
      <c r="F374" s="14"/>
      <c r="G374" s="14"/>
      <c r="H374" s="14"/>
      <c r="I374" s="590" t="s">
        <v>2050</v>
      </c>
      <c r="J374" s="223"/>
      <c r="K374" s="14"/>
      <c r="L374" s="14"/>
      <c r="M374" s="223"/>
      <c r="N374" s="14" t="s">
        <v>111</v>
      </c>
      <c r="O374" s="14" t="s">
        <v>565</v>
      </c>
      <c r="P374" s="14"/>
      <c r="Q374" s="14"/>
      <c r="R374" s="14"/>
      <c r="S374" s="15" t="s">
        <v>2051</v>
      </c>
      <c r="T374" s="14"/>
      <c r="U374" s="17"/>
      <c r="V374" s="14"/>
      <c r="W374" s="14"/>
      <c r="X374" s="18"/>
      <c r="Y374" s="18"/>
      <c r="Z374" s="18"/>
      <c r="AA374" s="19">
        <f t="shared" si="1"/>
        <v>7</v>
      </c>
    </row>
    <row r="375" ht="31.5" customHeight="1">
      <c r="A375" s="12">
        <v>45116.0</v>
      </c>
      <c r="B375" s="14" t="s">
        <v>4620</v>
      </c>
      <c r="C375" s="14" t="s">
        <v>2052</v>
      </c>
      <c r="D375" s="14" t="s">
        <v>2053</v>
      </c>
      <c r="E375" s="14"/>
      <c r="F375" s="14"/>
      <c r="G375" s="14">
        <v>4.0</v>
      </c>
      <c r="H375" s="14"/>
      <c r="I375" s="640" t="s">
        <v>2054</v>
      </c>
      <c r="J375" s="223"/>
      <c r="K375" s="14"/>
      <c r="L375" s="14"/>
      <c r="M375" s="223"/>
      <c r="N375" s="14" t="s">
        <v>48</v>
      </c>
      <c r="O375" s="14" t="s">
        <v>13</v>
      </c>
      <c r="P375" s="14" t="s">
        <v>2055</v>
      </c>
      <c r="Q375" s="14"/>
      <c r="R375" s="14"/>
      <c r="S375" s="37" t="s">
        <v>2056</v>
      </c>
      <c r="T375" s="14" t="s">
        <v>36</v>
      </c>
      <c r="U375" s="41"/>
      <c r="V375" s="14"/>
      <c r="W375" s="14"/>
      <c r="X375" s="18"/>
      <c r="Y375" s="18"/>
      <c r="Z375" s="18"/>
      <c r="AA375" s="19">
        <f t="shared" si="1"/>
        <v>7</v>
      </c>
    </row>
    <row r="376" ht="31.5" customHeight="1">
      <c r="A376" s="12">
        <v>45116.0</v>
      </c>
      <c r="B376" s="14" t="s">
        <v>4620</v>
      </c>
      <c r="C376" s="14" t="s">
        <v>2057</v>
      </c>
      <c r="D376" s="14"/>
      <c r="E376" s="14"/>
      <c r="F376" s="14"/>
      <c r="G376" s="14"/>
      <c r="H376" s="14"/>
      <c r="I376" s="175">
        <v>3.88992212E8</v>
      </c>
      <c r="J376" s="223"/>
      <c r="K376" s="14"/>
      <c r="L376" s="14"/>
      <c r="M376" s="223"/>
      <c r="N376" s="14" t="s">
        <v>48</v>
      </c>
      <c r="O376" s="14" t="s">
        <v>565</v>
      </c>
      <c r="P376" s="14"/>
      <c r="Q376" s="14"/>
      <c r="R376" s="14"/>
      <c r="S376" s="14" t="s">
        <v>2058</v>
      </c>
      <c r="T376" s="14" t="s">
        <v>4411</v>
      </c>
      <c r="U376" s="17">
        <v>45122.0</v>
      </c>
      <c r="V376" s="14"/>
      <c r="W376" s="14"/>
      <c r="X376" s="18"/>
      <c r="Y376" s="18"/>
      <c r="Z376" s="18"/>
      <c r="AA376" s="19">
        <f t="shared" si="1"/>
        <v>7</v>
      </c>
    </row>
    <row r="377" ht="31.5" customHeight="1">
      <c r="A377" s="12">
        <v>45117.0</v>
      </c>
      <c r="B377" s="14" t="s">
        <v>539</v>
      </c>
      <c r="C377" s="14" t="s">
        <v>2059</v>
      </c>
      <c r="D377" s="14"/>
      <c r="E377" s="14"/>
      <c r="F377" s="14"/>
      <c r="G377" s="14">
        <v>12.0</v>
      </c>
      <c r="H377" s="14"/>
      <c r="I377" s="590" t="s">
        <v>2060</v>
      </c>
      <c r="J377" s="223"/>
      <c r="K377" s="14"/>
      <c r="L377" s="14" t="s">
        <v>2061</v>
      </c>
      <c r="M377" s="223"/>
      <c r="N377" s="14" t="s">
        <v>48</v>
      </c>
      <c r="O377" s="14" t="s">
        <v>565</v>
      </c>
      <c r="P377" s="14"/>
      <c r="Q377" s="14"/>
      <c r="R377" s="14"/>
      <c r="S377" s="14" t="s">
        <v>2062</v>
      </c>
      <c r="T377" s="14" t="s">
        <v>36</v>
      </c>
      <c r="U377" s="17"/>
      <c r="V377" s="14"/>
      <c r="W377" s="14"/>
      <c r="X377" s="18"/>
      <c r="Y377" s="18"/>
      <c r="Z377" s="18"/>
      <c r="AA377" s="19">
        <f t="shared" si="1"/>
        <v>7</v>
      </c>
    </row>
    <row r="378" ht="31.5" customHeight="1">
      <c r="A378" s="12">
        <v>45117.0</v>
      </c>
      <c r="B378" s="14" t="s">
        <v>539</v>
      </c>
      <c r="C378" s="37" t="s">
        <v>2063</v>
      </c>
      <c r="D378" s="37" t="s">
        <v>2064</v>
      </c>
      <c r="E378" s="14"/>
      <c r="F378" s="14"/>
      <c r="G378" s="14">
        <v>5.0</v>
      </c>
      <c r="H378" s="14"/>
      <c r="I378" s="590" t="s">
        <v>2065</v>
      </c>
      <c r="J378" s="223"/>
      <c r="K378" s="14"/>
      <c r="L378" s="14" t="s">
        <v>2066</v>
      </c>
      <c r="M378" s="223"/>
      <c r="N378" s="14" t="s">
        <v>48</v>
      </c>
      <c r="O378" s="14" t="s">
        <v>34</v>
      </c>
      <c r="P378" s="258" t="s">
        <v>2067</v>
      </c>
      <c r="Q378" s="14"/>
      <c r="R378" s="14"/>
      <c r="S378" s="37" t="s">
        <v>2068</v>
      </c>
      <c r="T378" s="14" t="s">
        <v>36</v>
      </c>
      <c r="U378" s="17"/>
      <c r="V378" s="14"/>
      <c r="W378" s="14"/>
      <c r="X378" s="18"/>
      <c r="Y378" s="18"/>
      <c r="Z378" s="18"/>
      <c r="AA378" s="19">
        <f t="shared" si="1"/>
        <v>7</v>
      </c>
    </row>
    <row r="379" ht="31.5" customHeight="1">
      <c r="A379" s="12">
        <v>45117.0</v>
      </c>
      <c r="B379" s="14" t="s">
        <v>539</v>
      </c>
      <c r="C379" s="37" t="s">
        <v>2063</v>
      </c>
      <c r="D379" s="37" t="s">
        <v>2069</v>
      </c>
      <c r="E379" s="14"/>
      <c r="F379" s="14"/>
      <c r="G379" s="14">
        <v>7.0</v>
      </c>
      <c r="H379" s="14"/>
      <c r="I379" s="590" t="s">
        <v>2070</v>
      </c>
      <c r="J379" s="223"/>
      <c r="K379" s="14"/>
      <c r="L379" s="14" t="s">
        <v>2071</v>
      </c>
      <c r="M379" s="223"/>
      <c r="N379" s="14" t="s">
        <v>48</v>
      </c>
      <c r="O379" s="14" t="s">
        <v>34</v>
      </c>
      <c r="P379" s="14" t="s">
        <v>2072</v>
      </c>
      <c r="Q379" s="14"/>
      <c r="R379" s="14"/>
      <c r="S379" s="37" t="s">
        <v>2073</v>
      </c>
      <c r="T379" s="14" t="s">
        <v>36</v>
      </c>
      <c r="U379" s="17"/>
      <c r="V379" s="14"/>
      <c r="W379" s="14"/>
      <c r="X379" s="18"/>
      <c r="Y379" s="18"/>
      <c r="Z379" s="18"/>
      <c r="AA379" s="19">
        <f t="shared" si="1"/>
        <v>7</v>
      </c>
    </row>
    <row r="380" ht="31.5" customHeight="1">
      <c r="A380" s="12">
        <v>45117.0</v>
      </c>
      <c r="B380" s="14" t="s">
        <v>539</v>
      </c>
      <c r="C380" s="14" t="s">
        <v>2074</v>
      </c>
      <c r="D380" s="14"/>
      <c r="E380" s="14"/>
      <c r="F380" s="14"/>
      <c r="G380" s="14"/>
      <c r="H380" s="14"/>
      <c r="I380" s="590" t="s">
        <v>2075</v>
      </c>
      <c r="J380" s="223"/>
      <c r="K380" s="14"/>
      <c r="L380" s="14" t="s">
        <v>2076</v>
      </c>
      <c r="M380" s="223"/>
      <c r="N380" s="14" t="s">
        <v>48</v>
      </c>
      <c r="O380" s="14" t="s">
        <v>216</v>
      </c>
      <c r="P380" s="14"/>
      <c r="Q380" s="14"/>
      <c r="R380" s="14"/>
      <c r="S380" s="14" t="s">
        <v>2077</v>
      </c>
      <c r="T380" s="14"/>
      <c r="U380" s="17"/>
      <c r="V380" s="14"/>
      <c r="W380" s="14"/>
      <c r="X380" s="18"/>
      <c r="Y380" s="18"/>
      <c r="Z380" s="18"/>
      <c r="AA380" s="19">
        <f t="shared" si="1"/>
        <v>7</v>
      </c>
    </row>
    <row r="381" ht="31.5" customHeight="1">
      <c r="A381" s="12">
        <v>45117.0</v>
      </c>
      <c r="B381" s="14" t="s">
        <v>539</v>
      </c>
      <c r="C381" s="14" t="s">
        <v>2083</v>
      </c>
      <c r="D381" s="14"/>
      <c r="E381" s="14"/>
      <c r="F381" s="14"/>
      <c r="G381" s="14"/>
      <c r="H381" s="14"/>
      <c r="I381" s="590" t="s">
        <v>2084</v>
      </c>
      <c r="J381" s="223"/>
      <c r="K381" s="14"/>
      <c r="L381" s="14"/>
      <c r="M381" s="223"/>
      <c r="N381" s="14" t="s">
        <v>48</v>
      </c>
      <c r="O381" s="14" t="s">
        <v>216</v>
      </c>
      <c r="P381" s="14"/>
      <c r="Q381" s="14"/>
      <c r="R381" s="14"/>
      <c r="S381" s="14" t="s">
        <v>2077</v>
      </c>
      <c r="T381" s="14"/>
      <c r="U381" s="17"/>
      <c r="V381" s="14"/>
      <c r="W381" s="14"/>
      <c r="X381" s="18"/>
      <c r="Y381" s="18"/>
      <c r="Z381" s="18"/>
      <c r="AA381" s="19">
        <f t="shared" si="1"/>
        <v>7</v>
      </c>
    </row>
    <row r="382" ht="31.5" customHeight="1">
      <c r="A382" s="12">
        <v>45117.0</v>
      </c>
      <c r="B382" s="14" t="s">
        <v>539</v>
      </c>
      <c r="C382" s="37" t="s">
        <v>2085</v>
      </c>
      <c r="D382" s="14"/>
      <c r="E382" s="14"/>
      <c r="F382" s="14"/>
      <c r="G382" s="14">
        <v>5.0</v>
      </c>
      <c r="H382" s="14"/>
      <c r="I382" s="590" t="s">
        <v>2086</v>
      </c>
      <c r="J382" s="223"/>
      <c r="K382" s="14"/>
      <c r="L382" s="14" t="s">
        <v>2087</v>
      </c>
      <c r="M382" s="223"/>
      <c r="N382" s="14" t="s">
        <v>48</v>
      </c>
      <c r="O382" s="14" t="s">
        <v>565</v>
      </c>
      <c r="P382" s="14"/>
      <c r="Q382" s="14"/>
      <c r="R382" s="14"/>
      <c r="S382" s="14" t="s">
        <v>2088</v>
      </c>
      <c r="T382" s="14"/>
      <c r="U382" s="17"/>
      <c r="V382" s="14"/>
      <c r="W382" s="14"/>
      <c r="X382" s="18"/>
      <c r="Y382" s="18"/>
      <c r="Z382" s="18"/>
      <c r="AA382" s="19">
        <f t="shared" si="1"/>
        <v>7</v>
      </c>
    </row>
    <row r="383" ht="31.5" customHeight="1">
      <c r="A383" s="12">
        <v>45117.0</v>
      </c>
      <c r="B383" s="14" t="s">
        <v>539</v>
      </c>
      <c r="C383" s="14" t="s">
        <v>2089</v>
      </c>
      <c r="D383" s="14"/>
      <c r="E383" s="14"/>
      <c r="F383" s="14"/>
      <c r="G383" s="14"/>
      <c r="H383" s="14"/>
      <c r="I383" s="590" t="s">
        <v>2090</v>
      </c>
      <c r="J383" s="223"/>
      <c r="K383" s="14"/>
      <c r="L383" s="14" t="s">
        <v>2091</v>
      </c>
      <c r="M383" s="223"/>
      <c r="N383" s="14" t="s">
        <v>48</v>
      </c>
      <c r="O383" s="14" t="s">
        <v>565</v>
      </c>
      <c r="P383" s="14"/>
      <c r="Q383" s="14"/>
      <c r="R383" s="14"/>
      <c r="S383" s="37" t="s">
        <v>2092</v>
      </c>
      <c r="T383" s="14"/>
      <c r="U383" s="17"/>
      <c r="V383" s="14"/>
      <c r="W383" s="14"/>
      <c r="X383" s="18"/>
      <c r="Y383" s="18"/>
      <c r="Z383" s="18"/>
      <c r="AA383" s="19">
        <f t="shared" si="1"/>
        <v>7</v>
      </c>
    </row>
    <row r="384" ht="31.5" customHeight="1">
      <c r="A384" s="12">
        <v>45117.0</v>
      </c>
      <c r="B384" s="14" t="s">
        <v>539</v>
      </c>
      <c r="C384" s="14" t="s">
        <v>2093</v>
      </c>
      <c r="D384" s="14"/>
      <c r="E384" s="14"/>
      <c r="F384" s="14"/>
      <c r="G384" s="14"/>
      <c r="H384" s="14"/>
      <c r="I384" s="590" t="s">
        <v>2094</v>
      </c>
      <c r="J384" s="223"/>
      <c r="K384" s="14"/>
      <c r="L384" s="14" t="s">
        <v>2095</v>
      </c>
      <c r="M384" s="223"/>
      <c r="N384" s="14" t="s">
        <v>48</v>
      </c>
      <c r="O384" s="14" t="s">
        <v>565</v>
      </c>
      <c r="P384" s="14"/>
      <c r="Q384" s="14"/>
      <c r="R384" s="14"/>
      <c r="S384" s="14" t="s">
        <v>2096</v>
      </c>
      <c r="T384" s="14"/>
      <c r="U384" s="17"/>
      <c r="V384" s="14"/>
      <c r="W384" s="14"/>
      <c r="X384" s="18"/>
      <c r="Y384" s="18"/>
      <c r="Z384" s="18"/>
      <c r="AA384" s="19">
        <f t="shared" si="1"/>
        <v>7</v>
      </c>
    </row>
    <row r="385" ht="31.5" customHeight="1">
      <c r="A385" s="12">
        <v>45117.0</v>
      </c>
      <c r="B385" s="14" t="s">
        <v>539</v>
      </c>
      <c r="C385" s="14" t="s">
        <v>2097</v>
      </c>
      <c r="D385" s="14"/>
      <c r="E385" s="14"/>
      <c r="F385" s="14"/>
      <c r="G385" s="14"/>
      <c r="H385" s="14"/>
      <c r="I385" s="590" t="s">
        <v>2098</v>
      </c>
      <c r="J385" s="223"/>
      <c r="K385" s="14"/>
      <c r="L385" s="14" t="s">
        <v>425</v>
      </c>
      <c r="M385" s="223"/>
      <c r="N385" s="14" t="s">
        <v>48</v>
      </c>
      <c r="O385" s="14" t="s">
        <v>34</v>
      </c>
      <c r="P385" s="14"/>
      <c r="Q385" s="14"/>
      <c r="R385" s="14"/>
      <c r="S385" s="14" t="s">
        <v>2099</v>
      </c>
      <c r="T385" s="14" t="s">
        <v>36</v>
      </c>
      <c r="U385" s="17"/>
      <c r="V385" s="14"/>
      <c r="W385" s="14"/>
      <c r="X385" s="18"/>
      <c r="Y385" s="18"/>
      <c r="Z385" s="18"/>
      <c r="AA385" s="19">
        <f t="shared" si="1"/>
        <v>7</v>
      </c>
    </row>
    <row r="386" ht="31.5" customHeight="1">
      <c r="A386" s="12">
        <v>45117.0</v>
      </c>
      <c r="B386" s="14" t="s">
        <v>539</v>
      </c>
      <c r="C386" s="14" t="s">
        <v>2100</v>
      </c>
      <c r="D386" s="14"/>
      <c r="E386" s="14"/>
      <c r="F386" s="14"/>
      <c r="G386" s="14"/>
      <c r="H386" s="14"/>
      <c r="I386" s="590" t="s">
        <v>2101</v>
      </c>
      <c r="J386" s="223"/>
      <c r="K386" s="14"/>
      <c r="L386" s="14" t="s">
        <v>2102</v>
      </c>
      <c r="M386" s="223"/>
      <c r="N386" s="14" t="s">
        <v>48</v>
      </c>
      <c r="O386" s="14" t="s">
        <v>565</v>
      </c>
      <c r="P386" s="14"/>
      <c r="Q386" s="14"/>
      <c r="R386" s="14"/>
      <c r="S386" s="37" t="s">
        <v>2103</v>
      </c>
      <c r="T386" s="14"/>
      <c r="U386" s="17"/>
      <c r="V386" s="14"/>
      <c r="W386" s="14"/>
      <c r="X386" s="18"/>
      <c r="Y386" s="18"/>
      <c r="Z386" s="18"/>
      <c r="AA386" s="19">
        <f t="shared" si="1"/>
        <v>7</v>
      </c>
    </row>
    <row r="387" ht="31.5" customHeight="1">
      <c r="A387" s="12">
        <v>45117.0</v>
      </c>
      <c r="B387" s="14" t="s">
        <v>539</v>
      </c>
      <c r="C387" s="14" t="s">
        <v>2104</v>
      </c>
      <c r="D387" s="14"/>
      <c r="E387" s="14"/>
      <c r="F387" s="14"/>
      <c r="G387" s="14"/>
      <c r="H387" s="14"/>
      <c r="I387" s="590" t="s">
        <v>2105</v>
      </c>
      <c r="J387" s="223"/>
      <c r="K387" s="14"/>
      <c r="L387" s="14" t="s">
        <v>2106</v>
      </c>
      <c r="M387" s="223"/>
      <c r="N387" s="14" t="s">
        <v>48</v>
      </c>
      <c r="O387" s="14" t="s">
        <v>565</v>
      </c>
      <c r="P387" s="14"/>
      <c r="Q387" s="14"/>
      <c r="R387" s="14"/>
      <c r="S387" s="37" t="s">
        <v>2107</v>
      </c>
      <c r="T387" s="14"/>
      <c r="U387" s="17"/>
      <c r="V387" s="14"/>
      <c r="W387" s="14"/>
      <c r="X387" s="18"/>
      <c r="Y387" s="18"/>
      <c r="Z387" s="18"/>
      <c r="AA387" s="19">
        <f t="shared" si="1"/>
        <v>7</v>
      </c>
    </row>
    <row r="388" ht="31.5" customHeight="1">
      <c r="A388" s="12">
        <v>45117.0</v>
      </c>
      <c r="B388" s="14" t="s">
        <v>539</v>
      </c>
      <c r="C388" s="14" t="s">
        <v>2108</v>
      </c>
      <c r="D388" s="14"/>
      <c r="E388" s="14"/>
      <c r="F388" s="14"/>
      <c r="G388" s="14"/>
      <c r="H388" s="14"/>
      <c r="I388" s="590" t="s">
        <v>2109</v>
      </c>
      <c r="J388" s="223"/>
      <c r="K388" s="14"/>
      <c r="L388" s="14" t="s">
        <v>1796</v>
      </c>
      <c r="M388" s="223"/>
      <c r="N388" s="14" t="s">
        <v>48</v>
      </c>
      <c r="O388" s="14" t="s">
        <v>216</v>
      </c>
      <c r="P388" s="14"/>
      <c r="Q388" s="14"/>
      <c r="R388" s="14"/>
      <c r="S388" s="14" t="s">
        <v>2077</v>
      </c>
      <c r="T388" s="14"/>
      <c r="U388" s="17"/>
      <c r="V388" s="14"/>
      <c r="W388" s="14"/>
      <c r="X388" s="18"/>
      <c r="Y388" s="18"/>
      <c r="Z388" s="18"/>
      <c r="AA388" s="19">
        <f t="shared" si="1"/>
        <v>7</v>
      </c>
    </row>
    <row r="389" ht="31.5" customHeight="1">
      <c r="A389" s="12">
        <v>45117.0</v>
      </c>
      <c r="B389" s="14" t="s">
        <v>539</v>
      </c>
      <c r="C389" s="14"/>
      <c r="D389" s="14"/>
      <c r="E389" s="14"/>
      <c r="F389" s="14"/>
      <c r="G389" s="14"/>
      <c r="H389" s="14"/>
      <c r="I389" s="590" t="s">
        <v>2111</v>
      </c>
      <c r="J389" s="223"/>
      <c r="K389" s="14"/>
      <c r="L389" s="14" t="s">
        <v>1796</v>
      </c>
      <c r="M389" s="223"/>
      <c r="N389" s="14" t="s">
        <v>48</v>
      </c>
      <c r="O389" s="14" t="s">
        <v>216</v>
      </c>
      <c r="P389" s="14"/>
      <c r="Q389" s="14"/>
      <c r="R389" s="14"/>
      <c r="S389" s="14" t="s">
        <v>2077</v>
      </c>
      <c r="T389" s="14"/>
      <c r="U389" s="17"/>
      <c r="V389" s="14"/>
      <c r="W389" s="14"/>
      <c r="X389" s="18"/>
      <c r="Y389" s="18"/>
      <c r="Z389" s="18"/>
      <c r="AA389" s="19">
        <f t="shared" si="1"/>
        <v>7</v>
      </c>
    </row>
    <row r="390" ht="31.5" customHeight="1">
      <c r="A390" s="12">
        <v>45117.0</v>
      </c>
      <c r="B390" s="14" t="s">
        <v>539</v>
      </c>
      <c r="C390" s="14"/>
      <c r="D390" s="300"/>
      <c r="E390" s="14"/>
      <c r="F390" s="14"/>
      <c r="G390" s="14"/>
      <c r="H390" s="14"/>
      <c r="I390" s="590" t="s">
        <v>2113</v>
      </c>
      <c r="J390" s="223"/>
      <c r="K390" s="14"/>
      <c r="L390" s="14" t="s">
        <v>1796</v>
      </c>
      <c r="M390" s="223"/>
      <c r="N390" s="14" t="s">
        <v>111</v>
      </c>
      <c r="O390" s="14" t="s">
        <v>216</v>
      </c>
      <c r="P390" s="14"/>
      <c r="Q390" s="14"/>
      <c r="R390" s="14"/>
      <c r="S390" s="14" t="s">
        <v>2114</v>
      </c>
      <c r="T390" s="14"/>
      <c r="U390" s="17"/>
      <c r="V390" s="14"/>
      <c r="W390" s="14"/>
      <c r="X390" s="18"/>
      <c r="Y390" s="18"/>
      <c r="Z390" s="18"/>
      <c r="AA390" s="19">
        <f t="shared" si="1"/>
        <v>7</v>
      </c>
    </row>
    <row r="391" ht="31.5" customHeight="1">
      <c r="A391" s="12">
        <v>45117.0</v>
      </c>
      <c r="B391" s="14" t="s">
        <v>539</v>
      </c>
      <c r="C391" s="14"/>
      <c r="D391" s="301"/>
      <c r="E391" s="14"/>
      <c r="F391" s="14"/>
      <c r="G391" s="14"/>
      <c r="H391" s="14"/>
      <c r="I391" s="590" t="s">
        <v>2116</v>
      </c>
      <c r="J391" s="223"/>
      <c r="K391" s="14"/>
      <c r="L391" s="14" t="s">
        <v>1796</v>
      </c>
      <c r="M391" s="223"/>
      <c r="N391" s="14" t="s">
        <v>111</v>
      </c>
      <c r="O391" s="14" t="s">
        <v>34</v>
      </c>
      <c r="P391" s="14"/>
      <c r="Q391" s="14"/>
      <c r="R391" s="14"/>
      <c r="S391" s="14" t="s">
        <v>2117</v>
      </c>
      <c r="T391" s="14"/>
      <c r="U391" s="17"/>
      <c r="V391" s="14"/>
      <c r="W391" s="14"/>
      <c r="X391" s="18"/>
      <c r="Y391" s="18"/>
      <c r="Z391" s="18"/>
      <c r="AA391" s="19">
        <f t="shared" si="1"/>
        <v>7</v>
      </c>
    </row>
    <row r="392" ht="31.5" customHeight="1">
      <c r="A392" s="12">
        <v>45117.0</v>
      </c>
      <c r="B392" s="14" t="s">
        <v>539</v>
      </c>
      <c r="C392" s="14"/>
      <c r="D392" s="14"/>
      <c r="E392" s="14"/>
      <c r="F392" s="14"/>
      <c r="G392" s="14"/>
      <c r="H392" s="14"/>
      <c r="I392" s="590" t="s">
        <v>2118</v>
      </c>
      <c r="J392" s="223"/>
      <c r="K392" s="14"/>
      <c r="L392" s="14" t="s">
        <v>1796</v>
      </c>
      <c r="M392" s="223"/>
      <c r="N392" s="14" t="s">
        <v>111</v>
      </c>
      <c r="O392" s="14" t="s">
        <v>34</v>
      </c>
      <c r="P392" s="14"/>
      <c r="Q392" s="14"/>
      <c r="R392" s="14"/>
      <c r="S392" s="14" t="s">
        <v>2119</v>
      </c>
      <c r="T392" s="14"/>
      <c r="U392" s="17"/>
      <c r="V392" s="14"/>
      <c r="W392" s="14"/>
      <c r="X392" s="18"/>
      <c r="Y392" s="18"/>
      <c r="Z392" s="18"/>
      <c r="AA392" s="19">
        <f t="shared" si="1"/>
        <v>7</v>
      </c>
    </row>
    <row r="393" ht="31.5" customHeight="1">
      <c r="A393" s="12">
        <v>45117.0</v>
      </c>
      <c r="B393" s="14" t="s">
        <v>539</v>
      </c>
      <c r="C393" s="14"/>
      <c r="D393" s="14"/>
      <c r="E393" s="14"/>
      <c r="F393" s="14"/>
      <c r="G393" s="14"/>
      <c r="H393" s="14"/>
      <c r="I393" s="590" t="s">
        <v>2121</v>
      </c>
      <c r="J393" s="223"/>
      <c r="K393" s="14"/>
      <c r="L393" s="14" t="s">
        <v>1796</v>
      </c>
      <c r="M393" s="223"/>
      <c r="N393" s="14" t="s">
        <v>111</v>
      </c>
      <c r="O393" s="14" t="s">
        <v>216</v>
      </c>
      <c r="P393" s="14"/>
      <c r="Q393" s="14"/>
      <c r="R393" s="14"/>
      <c r="S393" s="14" t="s">
        <v>2122</v>
      </c>
      <c r="T393" s="14"/>
      <c r="U393" s="17"/>
      <c r="V393" s="14"/>
      <c r="W393" s="14"/>
      <c r="X393" s="18"/>
      <c r="Y393" s="18"/>
      <c r="Z393" s="18"/>
      <c r="AA393" s="19">
        <f t="shared" si="1"/>
        <v>7</v>
      </c>
    </row>
    <row r="394" ht="31.5" customHeight="1">
      <c r="A394" s="12">
        <v>45117.0</v>
      </c>
      <c r="B394" s="14" t="s">
        <v>539</v>
      </c>
      <c r="C394" s="14" t="s">
        <v>4413</v>
      </c>
      <c r="D394" s="14"/>
      <c r="E394" s="14"/>
      <c r="F394" s="14"/>
      <c r="G394" s="14"/>
      <c r="H394" s="14"/>
      <c r="I394" s="590" t="s">
        <v>2124</v>
      </c>
      <c r="J394" s="223"/>
      <c r="K394" s="14"/>
      <c r="L394" s="14" t="s">
        <v>1796</v>
      </c>
      <c r="M394" s="223"/>
      <c r="N394" s="14" t="s">
        <v>111</v>
      </c>
      <c r="O394" s="14" t="s">
        <v>216</v>
      </c>
      <c r="P394" s="14"/>
      <c r="Q394" s="14"/>
      <c r="R394" s="14"/>
      <c r="S394" s="14" t="s">
        <v>2125</v>
      </c>
      <c r="T394" s="14"/>
      <c r="U394" s="17"/>
      <c r="V394" s="14"/>
      <c r="W394" s="14"/>
      <c r="X394" s="18"/>
      <c r="Y394" s="18"/>
      <c r="Z394" s="18"/>
      <c r="AA394" s="19">
        <f t="shared" si="1"/>
        <v>7</v>
      </c>
    </row>
    <row r="395" ht="31.5" customHeight="1">
      <c r="A395" s="12">
        <v>45117.0</v>
      </c>
      <c r="B395" s="14" t="s">
        <v>539</v>
      </c>
      <c r="C395" s="14" t="s">
        <v>2126</v>
      </c>
      <c r="D395" s="14"/>
      <c r="E395" s="14"/>
      <c r="F395" s="14"/>
      <c r="G395" s="14"/>
      <c r="H395" s="14"/>
      <c r="I395" s="590" t="s">
        <v>2127</v>
      </c>
      <c r="J395" s="223"/>
      <c r="K395" s="14"/>
      <c r="L395" s="14" t="s">
        <v>1796</v>
      </c>
      <c r="M395" s="223"/>
      <c r="N395" s="14" t="s">
        <v>111</v>
      </c>
      <c r="O395" s="14" t="s">
        <v>216</v>
      </c>
      <c r="P395" s="14"/>
      <c r="Q395" s="14"/>
      <c r="R395" s="14"/>
      <c r="S395" s="14" t="s">
        <v>2128</v>
      </c>
      <c r="T395" s="14"/>
      <c r="U395" s="17"/>
      <c r="V395" s="14"/>
      <c r="W395" s="14"/>
      <c r="X395" s="18"/>
      <c r="Y395" s="18"/>
      <c r="Z395" s="18"/>
      <c r="AA395" s="19">
        <f t="shared" si="1"/>
        <v>7</v>
      </c>
    </row>
    <row r="396" ht="31.5" customHeight="1">
      <c r="A396" s="12">
        <v>45117.0</v>
      </c>
      <c r="B396" s="14" t="s">
        <v>539</v>
      </c>
      <c r="C396" s="14"/>
      <c r="D396" s="14"/>
      <c r="E396" s="14"/>
      <c r="F396" s="14"/>
      <c r="G396" s="14"/>
      <c r="H396" s="14"/>
      <c r="I396" s="590" t="s">
        <v>2130</v>
      </c>
      <c r="J396" s="223"/>
      <c r="K396" s="14"/>
      <c r="L396" s="14" t="s">
        <v>1968</v>
      </c>
      <c r="M396" s="223"/>
      <c r="N396" s="14" t="s">
        <v>111</v>
      </c>
      <c r="O396" s="14" t="s">
        <v>216</v>
      </c>
      <c r="P396" s="14"/>
      <c r="Q396" s="14"/>
      <c r="R396" s="14"/>
      <c r="S396" s="14" t="s">
        <v>2131</v>
      </c>
      <c r="T396" s="14"/>
      <c r="U396" s="17"/>
      <c r="V396" s="14"/>
      <c r="W396" s="14"/>
      <c r="X396" s="18"/>
      <c r="Y396" s="18"/>
      <c r="Z396" s="18"/>
      <c r="AA396" s="19">
        <f t="shared" si="1"/>
        <v>7</v>
      </c>
    </row>
    <row r="397" ht="31.5" customHeight="1">
      <c r="A397" s="12">
        <v>45117.0</v>
      </c>
      <c r="B397" s="14" t="s">
        <v>539</v>
      </c>
      <c r="C397" s="14"/>
      <c r="D397" s="14"/>
      <c r="E397" s="14"/>
      <c r="F397" s="14"/>
      <c r="G397" s="14"/>
      <c r="H397" s="14"/>
      <c r="I397" s="590" t="s">
        <v>2133</v>
      </c>
      <c r="J397" s="223"/>
      <c r="K397" s="14"/>
      <c r="L397" s="14" t="s">
        <v>1796</v>
      </c>
      <c r="M397" s="223"/>
      <c r="N397" s="14" t="s">
        <v>111</v>
      </c>
      <c r="O397" s="14" t="s">
        <v>34</v>
      </c>
      <c r="P397" s="14"/>
      <c r="Q397" s="14"/>
      <c r="R397" s="14"/>
      <c r="S397" s="14" t="s">
        <v>2134</v>
      </c>
      <c r="T397" s="14"/>
      <c r="U397" s="17"/>
      <c r="V397" s="14"/>
      <c r="W397" s="14"/>
      <c r="X397" s="18"/>
      <c r="Y397" s="18"/>
      <c r="Z397" s="18"/>
      <c r="AA397" s="19">
        <f t="shared" si="1"/>
        <v>7</v>
      </c>
    </row>
    <row r="398" ht="31.5" customHeight="1">
      <c r="A398" s="12">
        <v>45117.0</v>
      </c>
      <c r="B398" s="14" t="s">
        <v>539</v>
      </c>
      <c r="C398" s="14"/>
      <c r="D398" s="14"/>
      <c r="E398" s="14"/>
      <c r="F398" s="14"/>
      <c r="G398" s="14"/>
      <c r="H398" s="14"/>
      <c r="I398" s="590" t="s">
        <v>2136</v>
      </c>
      <c r="J398" s="223"/>
      <c r="K398" s="14"/>
      <c r="L398" s="14" t="s">
        <v>1796</v>
      </c>
      <c r="M398" s="223"/>
      <c r="N398" s="14" t="s">
        <v>111</v>
      </c>
      <c r="O398" s="14" t="s">
        <v>34</v>
      </c>
      <c r="P398" s="14"/>
      <c r="Q398" s="14"/>
      <c r="R398" s="14"/>
      <c r="S398" s="14" t="s">
        <v>2137</v>
      </c>
      <c r="T398" s="14"/>
      <c r="U398" s="17"/>
      <c r="V398" s="14"/>
      <c r="W398" s="14"/>
      <c r="X398" s="18"/>
      <c r="Y398" s="18"/>
      <c r="Z398" s="18"/>
      <c r="AA398" s="19">
        <f t="shared" si="1"/>
        <v>7</v>
      </c>
    </row>
    <row r="399" ht="31.5" customHeight="1">
      <c r="A399" s="12">
        <v>45117.0</v>
      </c>
      <c r="B399" s="14" t="s">
        <v>539</v>
      </c>
      <c r="C399" s="14"/>
      <c r="D399" s="14"/>
      <c r="E399" s="14"/>
      <c r="F399" s="14"/>
      <c r="G399" s="14"/>
      <c r="H399" s="14"/>
      <c r="I399" s="590" t="s">
        <v>2139</v>
      </c>
      <c r="J399" s="223"/>
      <c r="K399" s="14"/>
      <c r="L399" s="14" t="s">
        <v>1796</v>
      </c>
      <c r="M399" s="223"/>
      <c r="N399" s="14" t="s">
        <v>111</v>
      </c>
      <c r="O399" s="14" t="s">
        <v>34</v>
      </c>
      <c r="P399" s="14"/>
      <c r="Q399" s="14"/>
      <c r="R399" s="14"/>
      <c r="S399" s="14" t="s">
        <v>2140</v>
      </c>
      <c r="T399" s="14"/>
      <c r="U399" s="17"/>
      <c r="V399" s="14"/>
      <c r="W399" s="14"/>
      <c r="X399" s="18"/>
      <c r="Y399" s="18"/>
      <c r="Z399" s="18"/>
      <c r="AA399" s="19">
        <f t="shared" si="1"/>
        <v>7</v>
      </c>
    </row>
    <row r="400" ht="31.5" customHeight="1">
      <c r="A400" s="12">
        <v>45117.0</v>
      </c>
      <c r="B400" s="14" t="s">
        <v>539</v>
      </c>
      <c r="C400" s="14"/>
      <c r="D400" s="14"/>
      <c r="E400" s="14"/>
      <c r="F400" s="14"/>
      <c r="G400" s="14"/>
      <c r="H400" s="14"/>
      <c r="I400" s="590" t="s">
        <v>2142</v>
      </c>
      <c r="J400" s="223"/>
      <c r="K400" s="14"/>
      <c r="L400" s="14" t="s">
        <v>1968</v>
      </c>
      <c r="M400" s="223"/>
      <c r="N400" s="14" t="s">
        <v>111</v>
      </c>
      <c r="O400" s="14" t="s">
        <v>216</v>
      </c>
      <c r="P400" s="14"/>
      <c r="Q400" s="14"/>
      <c r="R400" s="14"/>
      <c r="S400" s="14" t="s">
        <v>2143</v>
      </c>
      <c r="T400" s="14"/>
      <c r="U400" s="17"/>
      <c r="V400" s="14"/>
      <c r="W400" s="14"/>
      <c r="X400" s="18"/>
      <c r="Y400" s="18"/>
      <c r="Z400" s="18"/>
      <c r="AA400" s="19">
        <f t="shared" si="1"/>
        <v>7</v>
      </c>
    </row>
    <row r="401" ht="31.5" customHeight="1">
      <c r="A401" s="12">
        <v>45117.0</v>
      </c>
      <c r="B401" s="14" t="s">
        <v>539</v>
      </c>
      <c r="C401" s="14"/>
      <c r="D401" s="14"/>
      <c r="E401" s="14"/>
      <c r="F401" s="14"/>
      <c r="G401" s="14"/>
      <c r="H401" s="14"/>
      <c r="I401" s="590" t="s">
        <v>2145</v>
      </c>
      <c r="J401" s="223"/>
      <c r="K401" s="14"/>
      <c r="L401" s="14" t="s">
        <v>1796</v>
      </c>
      <c r="M401" s="223"/>
      <c r="N401" s="14" t="s">
        <v>111</v>
      </c>
      <c r="O401" s="14" t="s">
        <v>34</v>
      </c>
      <c r="P401" s="14"/>
      <c r="Q401" s="14"/>
      <c r="R401" s="14"/>
      <c r="S401" s="14" t="s">
        <v>2146</v>
      </c>
      <c r="T401" s="14"/>
      <c r="U401" s="17"/>
      <c r="V401" s="14"/>
      <c r="W401" s="14"/>
      <c r="X401" s="18"/>
      <c r="Y401" s="18"/>
      <c r="Z401" s="18"/>
      <c r="AA401" s="19">
        <f t="shared" si="1"/>
        <v>7</v>
      </c>
    </row>
    <row r="402" ht="31.5" customHeight="1">
      <c r="A402" s="12">
        <v>45117.0</v>
      </c>
      <c r="B402" s="14" t="s">
        <v>539</v>
      </c>
      <c r="C402" s="14" t="s">
        <v>2147</v>
      </c>
      <c r="D402" s="14"/>
      <c r="E402" s="14"/>
      <c r="F402" s="14"/>
      <c r="G402" s="14"/>
      <c r="H402" s="14"/>
      <c r="I402" s="590" t="s">
        <v>2148</v>
      </c>
      <c r="J402" s="223"/>
      <c r="K402" s="14"/>
      <c r="L402" s="14" t="s">
        <v>2149</v>
      </c>
      <c r="M402" s="223"/>
      <c r="N402" s="14" t="s">
        <v>111</v>
      </c>
      <c r="O402" s="14" t="s">
        <v>34</v>
      </c>
      <c r="P402" s="14"/>
      <c r="Q402" s="14"/>
      <c r="R402" s="14"/>
      <c r="S402" s="14" t="s">
        <v>2150</v>
      </c>
      <c r="T402" s="14"/>
      <c r="U402" s="17"/>
      <c r="V402" s="14"/>
      <c r="W402" s="14"/>
      <c r="X402" s="18"/>
      <c r="Y402" s="18"/>
      <c r="Z402" s="18"/>
      <c r="AA402" s="19">
        <f t="shared" si="1"/>
        <v>7</v>
      </c>
    </row>
    <row r="403" ht="31.5" customHeight="1">
      <c r="A403" s="12">
        <v>45117.0</v>
      </c>
      <c r="B403" s="14" t="s">
        <v>4620</v>
      </c>
      <c r="C403" s="14" t="s">
        <v>2151</v>
      </c>
      <c r="D403" s="14" t="s">
        <v>2152</v>
      </c>
      <c r="E403" s="14"/>
      <c r="F403" s="14"/>
      <c r="G403" s="14"/>
      <c r="H403" s="14"/>
      <c r="I403" s="590" t="s">
        <v>2153</v>
      </c>
      <c r="J403" s="223"/>
      <c r="K403" s="14"/>
      <c r="L403" s="14" t="s">
        <v>2154</v>
      </c>
      <c r="M403" s="223"/>
      <c r="N403" s="14" t="s">
        <v>111</v>
      </c>
      <c r="O403" s="14" t="s">
        <v>34</v>
      </c>
      <c r="P403" s="14"/>
      <c r="Q403" s="14"/>
      <c r="R403" s="14"/>
      <c r="S403" s="14" t="s">
        <v>2155</v>
      </c>
      <c r="T403" s="14"/>
      <c r="U403" s="17"/>
      <c r="V403" s="14"/>
      <c r="W403" s="14"/>
      <c r="X403" s="18"/>
      <c r="Y403" s="18"/>
      <c r="Z403" s="18"/>
      <c r="AA403" s="19">
        <f t="shared" si="1"/>
        <v>7</v>
      </c>
    </row>
    <row r="404" ht="31.5" customHeight="1">
      <c r="A404" s="12">
        <v>45117.0</v>
      </c>
      <c r="B404" s="14" t="s">
        <v>539</v>
      </c>
      <c r="C404" s="14" t="s">
        <v>2156</v>
      </c>
      <c r="D404" s="14" t="s">
        <v>2157</v>
      </c>
      <c r="E404" s="14"/>
      <c r="F404" s="14" t="s">
        <v>4414</v>
      </c>
      <c r="G404" s="14"/>
      <c r="H404" s="14"/>
      <c r="I404" s="590" t="s">
        <v>2158</v>
      </c>
      <c r="J404" s="223"/>
      <c r="K404" s="14"/>
      <c r="L404" s="14"/>
      <c r="M404" s="223"/>
      <c r="N404" s="14" t="s">
        <v>111</v>
      </c>
      <c r="O404" s="14" t="s">
        <v>13</v>
      </c>
      <c r="P404" s="14" t="s">
        <v>2159</v>
      </c>
      <c r="Q404" s="14"/>
      <c r="R404" s="14"/>
      <c r="S404" s="14" t="s">
        <v>2160</v>
      </c>
      <c r="T404" s="14"/>
      <c r="U404" s="17"/>
      <c r="V404" s="14"/>
      <c r="W404" s="14"/>
      <c r="X404" s="18"/>
      <c r="Y404" s="18"/>
      <c r="Z404" s="18"/>
      <c r="AA404" s="19">
        <f t="shared" si="1"/>
        <v>7</v>
      </c>
    </row>
    <row r="405" ht="31.5" customHeight="1">
      <c r="A405" s="12">
        <v>45117.0</v>
      </c>
      <c r="B405" s="14" t="s">
        <v>539</v>
      </c>
      <c r="C405" s="14" t="s">
        <v>2161</v>
      </c>
      <c r="D405" s="14"/>
      <c r="E405" s="14"/>
      <c r="F405" s="14"/>
      <c r="G405" s="14"/>
      <c r="H405" s="14"/>
      <c r="I405" s="590" t="s">
        <v>2162</v>
      </c>
      <c r="J405" s="223"/>
      <c r="K405" s="14"/>
      <c r="L405" s="14" t="s">
        <v>2163</v>
      </c>
      <c r="M405" s="223"/>
      <c r="N405" s="14" t="s">
        <v>111</v>
      </c>
      <c r="O405" s="14" t="s">
        <v>216</v>
      </c>
      <c r="P405" s="14"/>
      <c r="Q405" s="14"/>
      <c r="R405" s="14"/>
      <c r="S405" s="14" t="s">
        <v>2164</v>
      </c>
      <c r="T405" s="14"/>
      <c r="U405" s="17"/>
      <c r="V405" s="14"/>
      <c r="W405" s="14"/>
      <c r="X405" s="18"/>
      <c r="Y405" s="18"/>
      <c r="Z405" s="18"/>
      <c r="AA405" s="19">
        <f t="shared" si="1"/>
        <v>7</v>
      </c>
    </row>
    <row r="406" ht="31.5" customHeight="1">
      <c r="A406" s="12">
        <v>45117.0</v>
      </c>
      <c r="B406" s="14" t="s">
        <v>539</v>
      </c>
      <c r="C406" s="14"/>
      <c r="D406" s="14"/>
      <c r="E406" s="14"/>
      <c r="F406" s="14"/>
      <c r="G406" s="14"/>
      <c r="H406" s="14"/>
      <c r="I406" s="590" t="s">
        <v>2166</v>
      </c>
      <c r="J406" s="223"/>
      <c r="K406" s="14"/>
      <c r="L406" s="14" t="s">
        <v>1968</v>
      </c>
      <c r="M406" s="223"/>
      <c r="N406" s="14" t="s">
        <v>111</v>
      </c>
      <c r="O406" s="14" t="s">
        <v>216</v>
      </c>
      <c r="P406" s="14"/>
      <c r="Q406" s="14"/>
      <c r="R406" s="14"/>
      <c r="S406" s="14" t="s">
        <v>2167</v>
      </c>
      <c r="T406" s="14"/>
      <c r="U406" s="17"/>
      <c r="V406" s="14"/>
      <c r="W406" s="14"/>
      <c r="X406" s="18"/>
      <c r="Y406" s="18"/>
      <c r="Z406" s="18"/>
      <c r="AA406" s="19">
        <f t="shared" si="1"/>
        <v>7</v>
      </c>
    </row>
    <row r="407" ht="31.5" customHeight="1">
      <c r="A407" s="12">
        <v>45117.0</v>
      </c>
      <c r="B407" s="14" t="s">
        <v>539</v>
      </c>
      <c r="C407" s="14" t="s">
        <v>2168</v>
      </c>
      <c r="D407" s="14" t="s">
        <v>2169</v>
      </c>
      <c r="E407" s="14"/>
      <c r="F407" s="14" t="s">
        <v>4415</v>
      </c>
      <c r="G407" s="14"/>
      <c r="H407" s="14"/>
      <c r="I407" s="590" t="s">
        <v>2170</v>
      </c>
      <c r="J407" s="223"/>
      <c r="K407" s="14"/>
      <c r="L407" s="14" t="s">
        <v>2171</v>
      </c>
      <c r="M407" s="223"/>
      <c r="N407" s="14" t="s">
        <v>111</v>
      </c>
      <c r="O407" s="14" t="s">
        <v>13</v>
      </c>
      <c r="P407" s="14" t="s">
        <v>2172</v>
      </c>
      <c r="Q407" s="14"/>
      <c r="R407" s="14"/>
      <c r="S407" s="14" t="s">
        <v>2173</v>
      </c>
      <c r="T407" s="14"/>
      <c r="U407" s="17"/>
      <c r="V407" s="14"/>
      <c r="W407" s="14"/>
      <c r="X407" s="18"/>
      <c r="Y407" s="18"/>
      <c r="Z407" s="18"/>
      <c r="AA407" s="19">
        <f t="shared" si="1"/>
        <v>7</v>
      </c>
    </row>
    <row r="408" ht="31.5" customHeight="1">
      <c r="A408" s="12">
        <v>45117.0</v>
      </c>
      <c r="B408" s="14" t="s">
        <v>703</v>
      </c>
      <c r="C408" s="14" t="s">
        <v>2174</v>
      </c>
      <c r="D408" s="14"/>
      <c r="E408" s="14"/>
      <c r="F408" s="14"/>
      <c r="G408" s="14"/>
      <c r="H408" s="14"/>
      <c r="I408" s="590" t="s">
        <v>2175</v>
      </c>
      <c r="J408" s="223"/>
      <c r="K408" s="14"/>
      <c r="L408" s="14"/>
      <c r="M408" s="223"/>
      <c r="N408" s="14" t="s">
        <v>48</v>
      </c>
      <c r="O408" s="14" t="s">
        <v>216</v>
      </c>
      <c r="P408" s="14"/>
      <c r="Q408" s="14"/>
      <c r="R408" s="14"/>
      <c r="S408" s="14" t="s">
        <v>2176</v>
      </c>
      <c r="T408" s="14"/>
      <c r="U408" s="17"/>
      <c r="V408" s="14"/>
      <c r="W408" s="14"/>
      <c r="X408" s="18"/>
      <c r="Y408" s="18"/>
      <c r="Z408" s="18"/>
      <c r="AA408" s="19">
        <f t="shared" si="1"/>
        <v>7</v>
      </c>
    </row>
    <row r="409" ht="31.5" customHeight="1">
      <c r="A409" s="12">
        <v>45117.0</v>
      </c>
      <c r="B409" s="14" t="s">
        <v>539</v>
      </c>
      <c r="C409" s="14" t="s">
        <v>2177</v>
      </c>
      <c r="D409" s="14" t="s">
        <v>2178</v>
      </c>
      <c r="E409" s="14"/>
      <c r="F409" s="14"/>
      <c r="G409" s="14"/>
      <c r="H409" s="14"/>
      <c r="I409" s="590" t="s">
        <v>2179</v>
      </c>
      <c r="J409" s="223"/>
      <c r="K409" s="14"/>
      <c r="L409" s="14"/>
      <c r="M409" s="223"/>
      <c r="N409" s="14" t="s">
        <v>48</v>
      </c>
      <c r="O409" s="14" t="s">
        <v>565</v>
      </c>
      <c r="P409" s="14"/>
      <c r="Q409" s="14"/>
      <c r="R409" s="14"/>
      <c r="S409" s="14" t="s">
        <v>2180</v>
      </c>
      <c r="T409" s="14"/>
      <c r="U409" s="17"/>
      <c r="V409" s="14"/>
      <c r="W409" s="14"/>
      <c r="X409" s="18"/>
      <c r="Y409" s="18"/>
      <c r="Z409" s="18"/>
      <c r="AA409" s="19">
        <f t="shared" si="1"/>
        <v>7</v>
      </c>
    </row>
    <row r="410" ht="31.5" customHeight="1">
      <c r="A410" s="12">
        <v>45117.0</v>
      </c>
      <c r="B410" s="14" t="s">
        <v>539</v>
      </c>
      <c r="C410" s="14"/>
      <c r="D410" s="14"/>
      <c r="E410" s="14"/>
      <c r="F410" s="14"/>
      <c r="G410" s="14"/>
      <c r="H410" s="14"/>
      <c r="I410" s="590" t="s">
        <v>2181</v>
      </c>
      <c r="J410" s="223"/>
      <c r="K410" s="14"/>
      <c r="L410" s="14" t="s">
        <v>2182</v>
      </c>
      <c r="M410" s="223"/>
      <c r="N410" s="14" t="s">
        <v>48</v>
      </c>
      <c r="O410" s="14" t="s">
        <v>216</v>
      </c>
      <c r="P410" s="14"/>
      <c r="Q410" s="14"/>
      <c r="R410" s="14"/>
      <c r="S410" s="14" t="s">
        <v>2183</v>
      </c>
      <c r="T410" s="14"/>
      <c r="U410" s="17"/>
      <c r="V410" s="14"/>
      <c r="W410" s="14"/>
      <c r="X410" s="18"/>
      <c r="Y410" s="18"/>
      <c r="Z410" s="18"/>
      <c r="AA410" s="19">
        <f t="shared" si="1"/>
        <v>7</v>
      </c>
    </row>
    <row r="411" ht="31.5" customHeight="1">
      <c r="A411" s="12">
        <v>45117.0</v>
      </c>
      <c r="B411" s="14" t="s">
        <v>539</v>
      </c>
      <c r="C411" s="14" t="s">
        <v>2184</v>
      </c>
      <c r="D411" s="14" t="s">
        <v>2185</v>
      </c>
      <c r="E411" s="14"/>
      <c r="F411" s="14">
        <v>2016.0</v>
      </c>
      <c r="G411" s="14">
        <v>2.0</v>
      </c>
      <c r="H411" s="14"/>
      <c r="I411" s="590" t="s">
        <v>2186</v>
      </c>
      <c r="J411" s="223"/>
      <c r="K411" s="14"/>
      <c r="L411" s="14" t="s">
        <v>2187</v>
      </c>
      <c r="M411" s="223"/>
      <c r="N411" s="14" t="s">
        <v>48</v>
      </c>
      <c r="O411" s="14" t="s">
        <v>565</v>
      </c>
      <c r="P411" s="14"/>
      <c r="Q411" s="14"/>
      <c r="R411" s="14"/>
      <c r="S411" s="14" t="s">
        <v>2188</v>
      </c>
      <c r="T411" s="14"/>
      <c r="U411" s="17"/>
      <c r="V411" s="14"/>
      <c r="W411" s="14"/>
      <c r="X411" s="18"/>
      <c r="Y411" s="18"/>
      <c r="Z411" s="18"/>
      <c r="AA411" s="19">
        <f t="shared" si="1"/>
        <v>7</v>
      </c>
    </row>
    <row r="412" ht="31.5" customHeight="1">
      <c r="A412" s="12">
        <v>45117.0</v>
      </c>
      <c r="B412" s="14" t="s">
        <v>539</v>
      </c>
      <c r="C412" s="14" t="s">
        <v>4416</v>
      </c>
      <c r="D412" s="14" t="s">
        <v>2189</v>
      </c>
      <c r="E412" s="14"/>
      <c r="F412" s="14"/>
      <c r="G412" s="14"/>
      <c r="H412" s="14"/>
      <c r="I412" s="590" t="s">
        <v>2190</v>
      </c>
      <c r="J412" s="223"/>
      <c r="K412" s="14"/>
      <c r="L412" s="14"/>
      <c r="M412" s="223"/>
      <c r="N412" s="14" t="s">
        <v>48</v>
      </c>
      <c r="O412" s="14" t="s">
        <v>216</v>
      </c>
      <c r="P412" s="14"/>
      <c r="Q412" s="14"/>
      <c r="R412" s="14"/>
      <c r="S412" s="14" t="s">
        <v>2191</v>
      </c>
      <c r="T412" s="14"/>
      <c r="U412" s="17"/>
      <c r="V412" s="14"/>
      <c r="W412" s="14"/>
      <c r="X412" s="18"/>
      <c r="Y412" s="18"/>
      <c r="Z412" s="18"/>
      <c r="AA412" s="19">
        <f t="shared" si="1"/>
        <v>7</v>
      </c>
    </row>
    <row r="413" ht="31.5" customHeight="1">
      <c r="A413" s="12">
        <v>45118.0</v>
      </c>
      <c r="B413" s="14" t="s">
        <v>4621</v>
      </c>
      <c r="C413" s="14" t="s">
        <v>2198</v>
      </c>
      <c r="D413" s="14"/>
      <c r="E413" s="14"/>
      <c r="F413" s="14"/>
      <c r="G413" s="14"/>
      <c r="H413" s="14"/>
      <c r="I413" s="590" t="s">
        <v>2199</v>
      </c>
      <c r="J413" s="223"/>
      <c r="K413" s="14"/>
      <c r="L413" s="14" t="s">
        <v>2200</v>
      </c>
      <c r="M413" s="223"/>
      <c r="N413" s="14" t="s">
        <v>48</v>
      </c>
      <c r="O413" s="14" t="s">
        <v>565</v>
      </c>
      <c r="P413" s="14"/>
      <c r="Q413" s="14"/>
      <c r="R413" s="14"/>
      <c r="S413" s="14" t="s">
        <v>2201</v>
      </c>
      <c r="T413" s="14"/>
      <c r="U413" s="17"/>
      <c r="V413" s="14"/>
      <c r="W413" s="14"/>
      <c r="X413" s="18"/>
      <c r="Y413" s="18"/>
      <c r="Z413" s="18"/>
      <c r="AA413" s="19">
        <f t="shared" si="1"/>
        <v>7</v>
      </c>
    </row>
    <row r="414" ht="31.5" customHeight="1">
      <c r="A414" s="12">
        <v>45118.0</v>
      </c>
      <c r="B414" s="14" t="s">
        <v>4621</v>
      </c>
      <c r="C414" s="14" t="s">
        <v>2202</v>
      </c>
      <c r="D414" s="14"/>
      <c r="E414" s="14"/>
      <c r="F414" s="14"/>
      <c r="G414" s="14"/>
      <c r="H414" s="14"/>
      <c r="I414" s="590" t="s">
        <v>2203</v>
      </c>
      <c r="J414" s="223"/>
      <c r="K414" s="14"/>
      <c r="L414" s="14" t="s">
        <v>2204</v>
      </c>
      <c r="M414" s="223"/>
      <c r="N414" s="14" t="s">
        <v>48</v>
      </c>
      <c r="O414" s="14" t="s">
        <v>565</v>
      </c>
      <c r="P414" s="14"/>
      <c r="Q414" s="14"/>
      <c r="R414" s="14"/>
      <c r="S414" s="14" t="s">
        <v>2205</v>
      </c>
      <c r="T414" s="14"/>
      <c r="U414" s="17"/>
      <c r="V414" s="14"/>
      <c r="W414" s="14"/>
      <c r="X414" s="18"/>
      <c r="Y414" s="18"/>
      <c r="Z414" s="18"/>
      <c r="AA414" s="19">
        <f t="shared" si="1"/>
        <v>7</v>
      </c>
    </row>
    <row r="415" ht="31.5" customHeight="1">
      <c r="A415" s="12">
        <v>45118.0</v>
      </c>
      <c r="B415" s="14" t="s">
        <v>4620</v>
      </c>
      <c r="C415" s="14" t="s">
        <v>2206</v>
      </c>
      <c r="D415" s="14" t="s">
        <v>2207</v>
      </c>
      <c r="E415" s="14"/>
      <c r="F415" s="14" t="s">
        <v>4420</v>
      </c>
      <c r="G415" s="14"/>
      <c r="H415" s="14"/>
      <c r="I415" s="641" t="s">
        <v>2208</v>
      </c>
      <c r="J415" s="223"/>
      <c r="K415" s="14"/>
      <c r="L415" s="14" t="s">
        <v>2209</v>
      </c>
      <c r="M415" s="223"/>
      <c r="N415" s="14" t="s">
        <v>111</v>
      </c>
      <c r="O415" s="14" t="s">
        <v>13</v>
      </c>
      <c r="P415" s="15" t="s">
        <v>4421</v>
      </c>
      <c r="Q415" s="14"/>
      <c r="R415" s="14"/>
      <c r="S415" s="14" t="s">
        <v>2211</v>
      </c>
      <c r="T415" s="14" t="s">
        <v>4069</v>
      </c>
      <c r="U415" s="17"/>
      <c r="V415" s="14"/>
      <c r="W415" s="14"/>
      <c r="X415" s="18"/>
      <c r="Y415" s="18"/>
      <c r="Z415" s="18"/>
      <c r="AA415" s="19">
        <f t="shared" si="1"/>
        <v>7</v>
      </c>
    </row>
    <row r="416" ht="31.5" customHeight="1">
      <c r="A416" s="12">
        <v>45118.0</v>
      </c>
      <c r="B416" s="14" t="s">
        <v>201</v>
      </c>
      <c r="C416" s="14" t="s">
        <v>4429</v>
      </c>
      <c r="D416" s="14" t="s">
        <v>2225</v>
      </c>
      <c r="E416" s="14"/>
      <c r="F416" s="14">
        <v>2008.0</v>
      </c>
      <c r="G416" s="14">
        <v>10.0</v>
      </c>
      <c r="H416" s="14"/>
      <c r="I416" s="590" t="s">
        <v>2221</v>
      </c>
      <c r="J416" s="223"/>
      <c r="K416" s="14"/>
      <c r="L416" s="14" t="s">
        <v>2226</v>
      </c>
      <c r="M416" s="223"/>
      <c r="N416" s="14" t="s">
        <v>111</v>
      </c>
      <c r="O416" s="14" t="s">
        <v>13</v>
      </c>
      <c r="P416" s="14" t="s">
        <v>2227</v>
      </c>
      <c r="Q416" s="14"/>
      <c r="R416" s="14"/>
      <c r="S416" s="14" t="s">
        <v>2224</v>
      </c>
      <c r="T416" s="14"/>
      <c r="U416" s="17"/>
      <c r="V416" s="14"/>
      <c r="W416" s="14"/>
      <c r="X416" s="18"/>
      <c r="Y416" s="18"/>
      <c r="Z416" s="18"/>
      <c r="AA416" s="19">
        <f t="shared" si="1"/>
        <v>7</v>
      </c>
    </row>
    <row r="417" ht="31.5" customHeight="1">
      <c r="A417" s="12">
        <v>45118.0</v>
      </c>
      <c r="B417" s="14" t="s">
        <v>4620</v>
      </c>
      <c r="C417" s="37" t="s">
        <v>2228</v>
      </c>
      <c r="D417" s="14"/>
      <c r="E417" s="14"/>
      <c r="F417" s="14"/>
      <c r="G417" s="14">
        <v>4.0</v>
      </c>
      <c r="H417" s="14"/>
      <c r="I417" s="639" t="s">
        <v>2229</v>
      </c>
      <c r="J417" s="223"/>
      <c r="K417" s="14"/>
      <c r="L417" s="14"/>
      <c r="M417" s="223"/>
      <c r="N417" s="14" t="s">
        <v>48</v>
      </c>
      <c r="O417" s="14" t="s">
        <v>565</v>
      </c>
      <c r="P417" s="14"/>
      <c r="Q417" s="14"/>
      <c r="R417" s="14"/>
      <c r="S417" s="14" t="s">
        <v>2230</v>
      </c>
      <c r="T417" s="14" t="s">
        <v>4433</v>
      </c>
      <c r="U417" s="17">
        <v>45122.0</v>
      </c>
      <c r="V417" s="14"/>
      <c r="W417" s="14"/>
      <c r="X417" s="18"/>
      <c r="Y417" s="18"/>
      <c r="Z417" s="18"/>
      <c r="AA417" s="19">
        <f t="shared" si="1"/>
        <v>7</v>
      </c>
    </row>
    <row r="418" ht="31.5" customHeight="1">
      <c r="A418" s="12">
        <v>45118.0</v>
      </c>
      <c r="B418" s="115" t="s">
        <v>4620</v>
      </c>
      <c r="C418" s="14" t="s">
        <v>2231</v>
      </c>
      <c r="D418" s="14"/>
      <c r="E418" s="14"/>
      <c r="F418" s="14"/>
      <c r="G418" s="14"/>
      <c r="H418" s="14"/>
      <c r="I418" s="590" t="s">
        <v>2232</v>
      </c>
      <c r="J418" s="223"/>
      <c r="K418" s="14"/>
      <c r="L418" s="14" t="s">
        <v>2233</v>
      </c>
      <c r="M418" s="223"/>
      <c r="N418" s="14" t="s">
        <v>111</v>
      </c>
      <c r="O418" s="14" t="s">
        <v>34</v>
      </c>
      <c r="P418" s="14"/>
      <c r="Q418" s="14"/>
      <c r="R418" s="14"/>
      <c r="S418" s="14" t="s">
        <v>2234</v>
      </c>
      <c r="T418" s="14" t="s">
        <v>4069</v>
      </c>
      <c r="U418" s="17"/>
      <c r="V418" s="14"/>
      <c r="W418" s="14"/>
      <c r="X418" s="18"/>
      <c r="Y418" s="18"/>
      <c r="Z418" s="18"/>
      <c r="AA418" s="19">
        <f t="shared" si="1"/>
        <v>7</v>
      </c>
    </row>
    <row r="419" ht="31.5" customHeight="1">
      <c r="A419" s="12">
        <v>45119.0</v>
      </c>
      <c r="B419" s="14" t="s">
        <v>201</v>
      </c>
      <c r="C419" s="14" t="s">
        <v>4434</v>
      </c>
      <c r="D419" s="14" t="s">
        <v>2236</v>
      </c>
      <c r="E419" s="14"/>
      <c r="F419" s="14"/>
      <c r="G419" s="14"/>
      <c r="H419" s="14"/>
      <c r="I419" s="590" t="s">
        <v>2237</v>
      </c>
      <c r="J419" s="223"/>
      <c r="K419" s="14"/>
      <c r="L419" s="14" t="s">
        <v>2238</v>
      </c>
      <c r="M419" s="223"/>
      <c r="N419" s="14" t="s">
        <v>111</v>
      </c>
      <c r="O419" s="14" t="s">
        <v>565</v>
      </c>
      <c r="P419" s="14"/>
      <c r="Q419" s="14"/>
      <c r="R419" s="14"/>
      <c r="S419" s="14" t="s">
        <v>2239</v>
      </c>
      <c r="T419" s="14" t="s">
        <v>4197</v>
      </c>
      <c r="U419" s="17">
        <v>45170.0</v>
      </c>
      <c r="V419" s="14"/>
      <c r="W419" s="14"/>
      <c r="X419" s="18"/>
      <c r="Y419" s="18"/>
      <c r="Z419" s="18"/>
      <c r="AA419" s="19">
        <f t="shared" si="1"/>
        <v>7</v>
      </c>
    </row>
    <row r="420" ht="31.5" customHeight="1">
      <c r="A420" s="12">
        <v>45119.0</v>
      </c>
      <c r="B420" s="14" t="s">
        <v>703</v>
      </c>
      <c r="C420" s="14" t="s">
        <v>2252</v>
      </c>
      <c r="D420" s="14"/>
      <c r="E420" s="14"/>
      <c r="F420" s="14"/>
      <c r="G420" s="14"/>
      <c r="H420" s="14"/>
      <c r="I420" s="590" t="s">
        <v>2253</v>
      </c>
      <c r="J420" s="223"/>
      <c r="K420" s="14"/>
      <c r="L420" s="14"/>
      <c r="M420" s="223"/>
      <c r="N420" s="14" t="s">
        <v>48</v>
      </c>
      <c r="O420" s="14" t="s">
        <v>565</v>
      </c>
      <c r="P420" s="14"/>
      <c r="Q420" s="14"/>
      <c r="R420" s="14"/>
      <c r="S420" s="14" t="s">
        <v>2254</v>
      </c>
      <c r="T420" s="14"/>
      <c r="U420" s="17"/>
      <c r="V420" s="14"/>
      <c r="W420" s="14"/>
      <c r="X420" s="18"/>
      <c r="Y420" s="18"/>
      <c r="Z420" s="18"/>
      <c r="AA420" s="19">
        <f t="shared" si="1"/>
        <v>7</v>
      </c>
    </row>
    <row r="421" ht="31.5" customHeight="1">
      <c r="A421" s="12">
        <v>45119.0</v>
      </c>
      <c r="B421" s="14" t="s">
        <v>201</v>
      </c>
      <c r="C421" s="14" t="s">
        <v>4439</v>
      </c>
      <c r="D421" s="14"/>
      <c r="E421" s="14"/>
      <c r="F421" s="14" t="s">
        <v>457</v>
      </c>
      <c r="G421" s="14"/>
      <c r="H421" s="14"/>
      <c r="I421" s="590" t="s">
        <v>2256</v>
      </c>
      <c r="J421" s="223"/>
      <c r="K421" s="14"/>
      <c r="L421" s="14" t="s">
        <v>2257</v>
      </c>
      <c r="M421" s="223"/>
      <c r="N421" s="14" t="s">
        <v>48</v>
      </c>
      <c r="O421" s="14" t="s">
        <v>565</v>
      </c>
      <c r="P421" s="14" t="s">
        <v>2258</v>
      </c>
      <c r="Q421" s="14"/>
      <c r="R421" s="14"/>
      <c r="S421" s="14" t="s">
        <v>2259</v>
      </c>
      <c r="T421" s="14" t="s">
        <v>4440</v>
      </c>
      <c r="U421" s="17">
        <v>45122.0</v>
      </c>
      <c r="V421" s="14"/>
      <c r="W421" s="14"/>
      <c r="X421" s="18"/>
      <c r="Y421" s="18"/>
      <c r="Z421" s="18"/>
      <c r="AA421" s="19">
        <f t="shared" si="1"/>
        <v>7</v>
      </c>
    </row>
    <row r="422" ht="31.5" customHeight="1">
      <c r="A422" s="12">
        <v>45119.0</v>
      </c>
      <c r="B422" s="14" t="s">
        <v>703</v>
      </c>
      <c r="C422" s="14" t="s">
        <v>2260</v>
      </c>
      <c r="D422" s="14"/>
      <c r="E422" s="14"/>
      <c r="F422" s="14"/>
      <c r="G422" s="14"/>
      <c r="H422" s="14"/>
      <c r="I422" s="642" t="s">
        <v>2261</v>
      </c>
      <c r="J422" s="223"/>
      <c r="K422" s="14"/>
      <c r="L422" s="14"/>
      <c r="M422" s="223"/>
      <c r="N422" s="14" t="s">
        <v>48</v>
      </c>
      <c r="O422" s="14" t="s">
        <v>216</v>
      </c>
      <c r="P422" s="14"/>
      <c r="Q422" s="14"/>
      <c r="R422" s="14"/>
      <c r="S422" s="14" t="s">
        <v>2262</v>
      </c>
      <c r="T422" s="14"/>
      <c r="U422" s="17"/>
      <c r="V422" s="14"/>
      <c r="W422" s="14"/>
      <c r="X422" s="18"/>
      <c r="Y422" s="18"/>
      <c r="Z422" s="18"/>
      <c r="AA422" s="19">
        <f t="shared" si="1"/>
        <v>7</v>
      </c>
    </row>
    <row r="423" ht="31.5" customHeight="1">
      <c r="A423" s="12">
        <v>45119.0</v>
      </c>
      <c r="B423" s="14" t="s">
        <v>703</v>
      </c>
      <c r="C423" s="14" t="s">
        <v>2040</v>
      </c>
      <c r="D423" s="14"/>
      <c r="E423" s="14"/>
      <c r="F423" s="14"/>
      <c r="G423" s="14"/>
      <c r="H423" s="14"/>
      <c r="I423" s="590" t="s">
        <v>2263</v>
      </c>
      <c r="J423" s="223"/>
      <c r="K423" s="14"/>
      <c r="L423" s="14"/>
      <c r="M423" s="223"/>
      <c r="N423" s="14" t="s">
        <v>48</v>
      </c>
      <c r="O423" s="14" t="s">
        <v>216</v>
      </c>
      <c r="P423" s="14"/>
      <c r="Q423" s="14"/>
      <c r="R423" s="14"/>
      <c r="S423" s="14" t="s">
        <v>2264</v>
      </c>
      <c r="T423" s="14"/>
      <c r="U423" s="17"/>
      <c r="V423" s="14"/>
      <c r="W423" s="14"/>
      <c r="X423" s="18"/>
      <c r="Y423" s="18"/>
      <c r="Z423" s="18"/>
      <c r="AA423" s="19">
        <f t="shared" si="1"/>
        <v>7</v>
      </c>
    </row>
    <row r="424" ht="31.5" customHeight="1">
      <c r="A424" s="12">
        <v>45105.0</v>
      </c>
      <c r="B424" s="115" t="s">
        <v>4620</v>
      </c>
      <c r="C424" s="14" t="s">
        <v>2272</v>
      </c>
      <c r="D424" s="14"/>
      <c r="E424" s="14"/>
      <c r="F424" s="14"/>
      <c r="G424" s="14"/>
      <c r="H424" s="14"/>
      <c r="I424" s="590" t="s">
        <v>2273</v>
      </c>
      <c r="J424" s="223"/>
      <c r="K424" s="14"/>
      <c r="L424" s="14"/>
      <c r="M424" s="223"/>
      <c r="N424" s="27" t="s">
        <v>111</v>
      </c>
      <c r="O424" s="14" t="s">
        <v>565</v>
      </c>
      <c r="P424" s="14"/>
      <c r="Q424" s="14"/>
      <c r="R424" s="14"/>
      <c r="S424" s="14" t="s">
        <v>2274</v>
      </c>
      <c r="T424" s="14"/>
      <c r="U424" s="17"/>
      <c r="V424" s="14"/>
      <c r="W424" s="14"/>
      <c r="X424" s="18"/>
      <c r="Y424" s="18"/>
      <c r="Z424" s="18"/>
      <c r="AA424" s="19">
        <f t="shared" si="1"/>
        <v>6</v>
      </c>
    </row>
    <row r="425" ht="31.5" customHeight="1">
      <c r="A425" s="12">
        <v>45119.0</v>
      </c>
      <c r="B425" s="14" t="s">
        <v>703</v>
      </c>
      <c r="C425" s="14" t="s">
        <v>2275</v>
      </c>
      <c r="D425" s="14"/>
      <c r="E425" s="14"/>
      <c r="F425" s="14"/>
      <c r="G425" s="14"/>
      <c r="H425" s="14"/>
      <c r="I425" s="590" t="s">
        <v>2276</v>
      </c>
      <c r="J425" s="223"/>
      <c r="K425" s="14"/>
      <c r="L425" s="14"/>
      <c r="M425" s="223"/>
      <c r="N425" s="14" t="s">
        <v>111</v>
      </c>
      <c r="O425" s="14" t="s">
        <v>34</v>
      </c>
      <c r="P425" s="14"/>
      <c r="Q425" s="14"/>
      <c r="R425" s="14"/>
      <c r="S425" s="14" t="s">
        <v>2277</v>
      </c>
      <c r="T425" s="14" t="s">
        <v>4069</v>
      </c>
      <c r="U425" s="17"/>
      <c r="V425" s="14"/>
      <c r="W425" s="14"/>
      <c r="X425" s="18"/>
      <c r="Y425" s="18"/>
      <c r="Z425" s="18"/>
      <c r="AA425" s="19">
        <f t="shared" si="1"/>
        <v>7</v>
      </c>
    </row>
    <row r="426" ht="31.5" customHeight="1">
      <c r="A426" s="12">
        <v>45119.0</v>
      </c>
      <c r="B426" s="14" t="s">
        <v>703</v>
      </c>
      <c r="C426" s="14" t="s">
        <v>2278</v>
      </c>
      <c r="D426" s="14"/>
      <c r="E426" s="14"/>
      <c r="F426" s="14"/>
      <c r="G426" s="14"/>
      <c r="H426" s="14"/>
      <c r="I426" s="590" t="s">
        <v>2279</v>
      </c>
      <c r="J426" s="223"/>
      <c r="K426" s="14"/>
      <c r="L426" s="14"/>
      <c r="M426" s="223"/>
      <c r="N426" s="14" t="s">
        <v>48</v>
      </c>
      <c r="O426" s="14" t="s">
        <v>216</v>
      </c>
      <c r="P426" s="14"/>
      <c r="Q426" s="14"/>
      <c r="R426" s="14"/>
      <c r="S426" s="14" t="s">
        <v>2280</v>
      </c>
      <c r="T426" s="14"/>
      <c r="U426" s="17"/>
      <c r="V426" s="14"/>
      <c r="W426" s="14"/>
      <c r="X426" s="18"/>
      <c r="Y426" s="18"/>
      <c r="Z426" s="18"/>
      <c r="AA426" s="19">
        <f t="shared" si="1"/>
        <v>7</v>
      </c>
    </row>
    <row r="427" ht="31.5" customHeight="1">
      <c r="A427" s="12">
        <v>45119.0</v>
      </c>
      <c r="B427" s="14" t="s">
        <v>703</v>
      </c>
      <c r="C427" s="14" t="s">
        <v>2281</v>
      </c>
      <c r="D427" s="14"/>
      <c r="E427" s="14"/>
      <c r="F427" s="14"/>
      <c r="G427" s="14"/>
      <c r="H427" s="14"/>
      <c r="I427" s="590" t="s">
        <v>2282</v>
      </c>
      <c r="J427" s="223"/>
      <c r="K427" s="14"/>
      <c r="L427" s="14"/>
      <c r="M427" s="223"/>
      <c r="N427" s="14" t="s">
        <v>48</v>
      </c>
      <c r="O427" s="14" t="s">
        <v>216</v>
      </c>
      <c r="P427" s="14"/>
      <c r="Q427" s="14"/>
      <c r="R427" s="14"/>
      <c r="S427" s="14" t="s">
        <v>2280</v>
      </c>
      <c r="T427" s="14"/>
      <c r="U427" s="17"/>
      <c r="V427" s="14"/>
      <c r="W427" s="14"/>
      <c r="X427" s="18"/>
      <c r="Y427" s="18"/>
      <c r="Z427" s="18"/>
      <c r="AA427" s="19">
        <f t="shared" si="1"/>
        <v>7</v>
      </c>
    </row>
    <row r="428" ht="31.5" customHeight="1">
      <c r="A428" s="12">
        <v>45119.0</v>
      </c>
      <c r="B428" s="14" t="s">
        <v>703</v>
      </c>
      <c r="C428" s="14" t="s">
        <v>4443</v>
      </c>
      <c r="D428" s="14"/>
      <c r="E428" s="14"/>
      <c r="F428" s="14"/>
      <c r="G428" s="14"/>
      <c r="H428" s="14"/>
      <c r="I428" s="590" t="s">
        <v>2284</v>
      </c>
      <c r="J428" s="223"/>
      <c r="K428" s="14"/>
      <c r="L428" s="14"/>
      <c r="M428" s="223"/>
      <c r="N428" s="14" t="s">
        <v>111</v>
      </c>
      <c r="O428" s="14" t="s">
        <v>34</v>
      </c>
      <c r="P428" s="14"/>
      <c r="Q428" s="14"/>
      <c r="R428" s="14"/>
      <c r="S428" s="14" t="s">
        <v>2285</v>
      </c>
      <c r="T428" s="14" t="s">
        <v>4069</v>
      </c>
      <c r="U428" s="17"/>
      <c r="V428" s="14"/>
      <c r="W428" s="14"/>
      <c r="X428" s="18"/>
      <c r="Y428" s="18"/>
      <c r="Z428" s="18"/>
      <c r="AA428" s="19">
        <f t="shared" si="1"/>
        <v>7</v>
      </c>
    </row>
    <row r="429" ht="31.5" customHeight="1">
      <c r="A429" s="12">
        <v>45119.0</v>
      </c>
      <c r="B429" s="14" t="s">
        <v>703</v>
      </c>
      <c r="C429" s="14" t="s">
        <v>2286</v>
      </c>
      <c r="D429" s="14"/>
      <c r="E429" s="14"/>
      <c r="F429" s="14"/>
      <c r="G429" s="14"/>
      <c r="H429" s="14"/>
      <c r="I429" s="590" t="s">
        <v>2287</v>
      </c>
      <c r="J429" s="223"/>
      <c r="K429" s="14"/>
      <c r="L429" s="14"/>
      <c r="M429" s="223"/>
      <c r="N429" s="14" t="s">
        <v>111</v>
      </c>
      <c r="O429" s="14" t="s">
        <v>34</v>
      </c>
      <c r="P429" s="14"/>
      <c r="Q429" s="14"/>
      <c r="R429" s="14"/>
      <c r="S429" s="14" t="s">
        <v>2288</v>
      </c>
      <c r="T429" s="14" t="s">
        <v>4069</v>
      </c>
      <c r="U429" s="17"/>
      <c r="V429" s="14"/>
      <c r="W429" s="14"/>
      <c r="X429" s="18"/>
      <c r="Y429" s="18"/>
      <c r="Z429" s="18"/>
      <c r="AA429" s="19">
        <f t="shared" si="1"/>
        <v>7</v>
      </c>
    </row>
    <row r="430" ht="31.5" customHeight="1">
      <c r="A430" s="12">
        <v>45120.0</v>
      </c>
      <c r="B430" s="14" t="s">
        <v>201</v>
      </c>
      <c r="C430" s="14" t="s">
        <v>4444</v>
      </c>
      <c r="D430" s="14" t="s">
        <v>2290</v>
      </c>
      <c r="E430" s="14"/>
      <c r="F430" s="14" t="s">
        <v>505</v>
      </c>
      <c r="G430" s="14"/>
      <c r="H430" s="14"/>
      <c r="I430" s="590" t="s">
        <v>2291</v>
      </c>
      <c r="J430" s="223"/>
      <c r="K430" s="14"/>
      <c r="L430" s="14"/>
      <c r="M430" s="223"/>
      <c r="N430" s="14" t="s">
        <v>48</v>
      </c>
      <c r="O430" s="14" t="s">
        <v>34</v>
      </c>
      <c r="P430" s="14" t="s">
        <v>2293</v>
      </c>
      <c r="Q430" s="14"/>
      <c r="R430" s="14"/>
      <c r="S430" s="14" t="s">
        <v>2294</v>
      </c>
      <c r="T430" s="14" t="s">
        <v>36</v>
      </c>
      <c r="U430" s="17"/>
      <c r="V430" s="14"/>
      <c r="W430" s="14"/>
      <c r="X430" s="18"/>
      <c r="Y430" s="18"/>
      <c r="Z430" s="18"/>
      <c r="AA430" s="19">
        <f t="shared" si="1"/>
        <v>7</v>
      </c>
    </row>
    <row r="431" ht="31.5" customHeight="1">
      <c r="A431" s="12">
        <v>45120.0</v>
      </c>
      <c r="B431" s="14" t="s">
        <v>703</v>
      </c>
      <c r="C431" s="14" t="s">
        <v>2295</v>
      </c>
      <c r="D431" s="14"/>
      <c r="E431" s="14"/>
      <c r="F431" s="14"/>
      <c r="G431" s="14"/>
      <c r="H431" s="14"/>
      <c r="I431" s="643" t="s">
        <v>2296</v>
      </c>
      <c r="J431" s="223"/>
      <c r="K431" s="14"/>
      <c r="L431" s="14"/>
      <c r="M431" s="223"/>
      <c r="N431" s="14" t="s">
        <v>111</v>
      </c>
      <c r="O431" s="14" t="s">
        <v>565</v>
      </c>
      <c r="P431" s="14"/>
      <c r="Q431" s="14"/>
      <c r="R431" s="14"/>
      <c r="S431" s="14" t="s">
        <v>2297</v>
      </c>
      <c r="T431" s="14"/>
      <c r="U431" s="17"/>
      <c r="V431" s="14"/>
      <c r="W431" s="14"/>
      <c r="X431" s="18"/>
      <c r="Y431" s="18"/>
      <c r="Z431" s="18"/>
      <c r="AA431" s="19">
        <f t="shared" si="1"/>
        <v>7</v>
      </c>
    </row>
    <row r="432" ht="31.5" customHeight="1">
      <c r="A432" s="12">
        <v>45120.0</v>
      </c>
      <c r="B432" s="14" t="s">
        <v>60</v>
      </c>
      <c r="C432" s="644" t="s">
        <v>2304</v>
      </c>
      <c r="D432" s="644" t="s">
        <v>2305</v>
      </c>
      <c r="E432" s="14"/>
      <c r="F432" s="14"/>
      <c r="G432" s="14"/>
      <c r="H432" s="14"/>
      <c r="I432" s="645">
        <v>9.45255559E8</v>
      </c>
      <c r="J432" s="223"/>
      <c r="K432" s="14"/>
      <c r="L432" s="14"/>
      <c r="M432" s="223"/>
      <c r="N432" s="14" t="s">
        <v>111</v>
      </c>
      <c r="O432" s="14" t="s">
        <v>333</v>
      </c>
      <c r="P432" s="14"/>
      <c r="Q432" s="14"/>
      <c r="R432" s="14"/>
      <c r="S432" s="14" t="s">
        <v>2306</v>
      </c>
      <c r="T432" s="14"/>
      <c r="U432" s="17">
        <v>45158.0</v>
      </c>
      <c r="V432" s="14"/>
      <c r="W432" s="14"/>
      <c r="X432" s="18"/>
      <c r="Y432" s="18"/>
      <c r="Z432" s="18"/>
      <c r="AA432" s="19">
        <f t="shared" si="1"/>
        <v>7</v>
      </c>
    </row>
    <row r="433" ht="31.5" customHeight="1">
      <c r="A433" s="12">
        <v>45121.0</v>
      </c>
      <c r="B433" s="14" t="s">
        <v>84</v>
      </c>
      <c r="C433" s="14" t="s">
        <v>2307</v>
      </c>
      <c r="D433" s="14" t="s">
        <v>2308</v>
      </c>
      <c r="E433" s="14"/>
      <c r="F433" s="14" t="s">
        <v>4446</v>
      </c>
      <c r="G433" s="14"/>
      <c r="H433" s="14"/>
      <c r="I433" s="590" t="s">
        <v>2309</v>
      </c>
      <c r="J433" s="223"/>
      <c r="K433" s="14"/>
      <c r="L433" s="14"/>
      <c r="M433" s="223"/>
      <c r="N433" s="14" t="s">
        <v>111</v>
      </c>
      <c r="O433" s="14" t="s">
        <v>34</v>
      </c>
      <c r="P433" s="14" t="s">
        <v>2310</v>
      </c>
      <c r="Q433" s="14"/>
      <c r="R433" s="14"/>
      <c r="S433" s="14" t="s">
        <v>2311</v>
      </c>
      <c r="T433" s="14"/>
      <c r="U433" s="17"/>
      <c r="V433" s="14"/>
      <c r="W433" s="14"/>
      <c r="X433" s="18"/>
      <c r="Y433" s="18"/>
      <c r="Z433" s="18"/>
      <c r="AA433" s="19">
        <f t="shared" si="1"/>
        <v>7</v>
      </c>
    </row>
    <row r="434" ht="31.5" customHeight="1">
      <c r="A434" s="12">
        <v>45122.0</v>
      </c>
      <c r="B434" s="14" t="s">
        <v>60</v>
      </c>
      <c r="C434" s="14" t="s">
        <v>2312</v>
      </c>
      <c r="D434" s="14" t="s">
        <v>2313</v>
      </c>
      <c r="E434" s="14"/>
      <c r="F434" s="14"/>
      <c r="G434" s="14">
        <v>7.0</v>
      </c>
      <c r="H434" s="14"/>
      <c r="I434" s="590" t="s">
        <v>2314</v>
      </c>
      <c r="J434" s="223"/>
      <c r="K434" s="14"/>
      <c r="L434" s="14" t="s">
        <v>2315</v>
      </c>
      <c r="M434" s="223"/>
      <c r="N434" s="14" t="s">
        <v>48</v>
      </c>
      <c r="O434" s="14" t="s">
        <v>34</v>
      </c>
      <c r="P434" s="15" t="s">
        <v>2316</v>
      </c>
      <c r="Q434" s="14"/>
      <c r="R434" s="14"/>
      <c r="S434" s="14" t="s">
        <v>2317</v>
      </c>
      <c r="T434" s="14" t="s">
        <v>36</v>
      </c>
      <c r="U434" s="17"/>
      <c r="V434" s="14"/>
      <c r="W434" s="14"/>
      <c r="X434" s="18"/>
      <c r="Y434" s="18"/>
      <c r="Z434" s="18"/>
      <c r="AA434" s="19">
        <f t="shared" si="1"/>
        <v>7</v>
      </c>
    </row>
    <row r="435" ht="31.5" customHeight="1">
      <c r="A435" s="12">
        <v>45122.0</v>
      </c>
      <c r="B435" s="14" t="s">
        <v>703</v>
      </c>
      <c r="C435" s="14" t="s">
        <v>2318</v>
      </c>
      <c r="D435" s="14"/>
      <c r="E435" s="14"/>
      <c r="F435" s="14"/>
      <c r="G435" s="14"/>
      <c r="H435" s="14"/>
      <c r="I435" s="590" t="s">
        <v>2319</v>
      </c>
      <c r="J435" s="223"/>
      <c r="K435" s="14"/>
      <c r="L435" s="14"/>
      <c r="M435" s="223"/>
      <c r="N435" s="14" t="s">
        <v>48</v>
      </c>
      <c r="O435" s="14" t="s">
        <v>216</v>
      </c>
      <c r="P435" s="14"/>
      <c r="Q435" s="14"/>
      <c r="R435" s="14"/>
      <c r="S435" s="14" t="s">
        <v>2320</v>
      </c>
      <c r="T435" s="14"/>
      <c r="U435" s="17"/>
      <c r="V435" s="14"/>
      <c r="W435" s="14"/>
      <c r="X435" s="18"/>
      <c r="Y435" s="18"/>
      <c r="Z435" s="18"/>
      <c r="AA435" s="19">
        <f t="shared" si="1"/>
        <v>7</v>
      </c>
    </row>
    <row r="436" ht="31.5" customHeight="1">
      <c r="A436" s="12">
        <v>45121.0</v>
      </c>
      <c r="B436" s="14" t="s">
        <v>4620</v>
      </c>
      <c r="C436" s="14" t="s">
        <v>2321</v>
      </c>
      <c r="D436" s="14"/>
      <c r="E436" s="14"/>
      <c r="F436" s="14"/>
      <c r="G436" s="14"/>
      <c r="H436" s="14"/>
      <c r="I436" s="590" t="s">
        <v>2322</v>
      </c>
      <c r="J436" s="223"/>
      <c r="K436" s="14"/>
      <c r="L436" s="14" t="s">
        <v>2323</v>
      </c>
      <c r="M436" s="223"/>
      <c r="N436" s="14" t="s">
        <v>111</v>
      </c>
      <c r="O436" s="14" t="s">
        <v>34</v>
      </c>
      <c r="P436" s="14"/>
      <c r="Q436" s="14"/>
      <c r="R436" s="14"/>
      <c r="S436" s="14" t="s">
        <v>2324</v>
      </c>
      <c r="T436" s="14"/>
      <c r="U436" s="17"/>
      <c r="V436" s="14"/>
      <c r="W436" s="14"/>
      <c r="X436" s="18"/>
      <c r="Y436" s="18"/>
      <c r="Z436" s="18"/>
      <c r="AA436" s="19">
        <f t="shared" si="1"/>
        <v>7</v>
      </c>
    </row>
    <row r="437" ht="31.5" customHeight="1">
      <c r="A437" s="12">
        <v>45122.0</v>
      </c>
      <c r="B437" s="14" t="s">
        <v>703</v>
      </c>
      <c r="C437" s="14" t="s">
        <v>2325</v>
      </c>
      <c r="D437" s="14"/>
      <c r="E437" s="14"/>
      <c r="F437" s="14"/>
      <c r="G437" s="14"/>
      <c r="H437" s="14"/>
      <c r="I437" s="590" t="s">
        <v>2326</v>
      </c>
      <c r="J437" s="223"/>
      <c r="K437" s="14"/>
      <c r="L437" s="14" t="s">
        <v>2327</v>
      </c>
      <c r="M437" s="223"/>
      <c r="N437" s="14" t="s">
        <v>111</v>
      </c>
      <c r="O437" s="14" t="s">
        <v>565</v>
      </c>
      <c r="P437" s="14"/>
      <c r="Q437" s="14"/>
      <c r="R437" s="14"/>
      <c r="S437" s="14" t="s">
        <v>2328</v>
      </c>
      <c r="T437" s="14"/>
      <c r="U437" s="17"/>
      <c r="V437" s="14"/>
      <c r="W437" s="14"/>
      <c r="X437" s="18"/>
      <c r="Y437" s="18"/>
      <c r="Z437" s="18"/>
      <c r="AA437" s="19">
        <f t="shared" si="1"/>
        <v>7</v>
      </c>
    </row>
    <row r="438" ht="31.5" customHeight="1">
      <c r="A438" s="12">
        <v>45122.0</v>
      </c>
      <c r="B438" s="14" t="s">
        <v>703</v>
      </c>
      <c r="C438" s="14" t="s">
        <v>2329</v>
      </c>
      <c r="D438" s="14"/>
      <c r="E438" s="14"/>
      <c r="F438" s="14"/>
      <c r="G438" s="14"/>
      <c r="H438" s="14"/>
      <c r="I438" s="590" t="s">
        <v>2330</v>
      </c>
      <c r="J438" s="223"/>
      <c r="K438" s="14"/>
      <c r="L438" s="14"/>
      <c r="M438" s="223"/>
      <c r="N438" s="14" t="s">
        <v>48</v>
      </c>
      <c r="O438" s="14" t="s">
        <v>565</v>
      </c>
      <c r="P438" s="14"/>
      <c r="Q438" s="14"/>
      <c r="R438" s="14"/>
      <c r="S438" s="14" t="s">
        <v>2331</v>
      </c>
      <c r="T438" s="14"/>
      <c r="U438" s="17"/>
      <c r="V438" s="14"/>
      <c r="W438" s="14"/>
      <c r="X438" s="18"/>
      <c r="Y438" s="18"/>
      <c r="Z438" s="18"/>
      <c r="AA438" s="19">
        <f t="shared" si="1"/>
        <v>7</v>
      </c>
    </row>
    <row r="439" ht="31.5" customHeight="1">
      <c r="A439" s="12">
        <v>45123.0</v>
      </c>
      <c r="B439" s="14" t="s">
        <v>4620</v>
      </c>
      <c r="C439" s="14" t="s">
        <v>4447</v>
      </c>
      <c r="D439" s="14"/>
      <c r="E439" s="14"/>
      <c r="F439" s="14" t="s">
        <v>419</v>
      </c>
      <c r="G439" s="14"/>
      <c r="H439" s="14"/>
      <c r="I439" s="590" t="s">
        <v>2333</v>
      </c>
      <c r="J439" s="223"/>
      <c r="K439" s="14"/>
      <c r="L439" s="14" t="s">
        <v>2334</v>
      </c>
      <c r="M439" s="223"/>
      <c r="N439" s="14" t="s">
        <v>48</v>
      </c>
      <c r="O439" s="14" t="s">
        <v>34</v>
      </c>
      <c r="P439" s="14"/>
      <c r="Q439" s="14"/>
      <c r="R439" s="14"/>
      <c r="S439" s="14" t="s">
        <v>2335</v>
      </c>
      <c r="T439" s="14"/>
      <c r="U439" s="17"/>
      <c r="V439" s="14"/>
      <c r="W439" s="14"/>
      <c r="X439" s="18"/>
      <c r="Y439" s="18"/>
      <c r="Z439" s="18"/>
      <c r="AA439" s="19">
        <f t="shared" si="1"/>
        <v>7</v>
      </c>
    </row>
    <row r="440" ht="31.5" customHeight="1">
      <c r="A440" s="12">
        <v>45123.0</v>
      </c>
      <c r="B440" s="14" t="s">
        <v>4620</v>
      </c>
      <c r="C440" s="14" t="s">
        <v>1632</v>
      </c>
      <c r="D440" s="14"/>
      <c r="E440" s="14"/>
      <c r="F440" s="14"/>
      <c r="G440" s="14"/>
      <c r="H440" s="14"/>
      <c r="I440" s="590" t="s">
        <v>2336</v>
      </c>
      <c r="J440" s="223"/>
      <c r="K440" s="14"/>
      <c r="L440" s="14"/>
      <c r="M440" s="223"/>
      <c r="N440" s="14" t="s">
        <v>48</v>
      </c>
      <c r="O440" s="14" t="s">
        <v>565</v>
      </c>
      <c r="P440" s="14"/>
      <c r="Q440" s="14"/>
      <c r="R440" s="14"/>
      <c r="S440" s="14" t="s">
        <v>2337</v>
      </c>
      <c r="T440" s="14"/>
      <c r="U440" s="17"/>
      <c r="V440" s="14"/>
      <c r="W440" s="14"/>
      <c r="X440" s="18"/>
      <c r="Y440" s="18"/>
      <c r="Z440" s="18"/>
      <c r="AA440" s="19">
        <f t="shared" si="1"/>
        <v>7</v>
      </c>
    </row>
    <row r="441" ht="31.5" customHeight="1">
      <c r="A441" s="12">
        <v>45124.0</v>
      </c>
      <c r="B441" s="14" t="s">
        <v>4620</v>
      </c>
      <c r="C441" s="14" t="s">
        <v>2338</v>
      </c>
      <c r="D441" s="14" t="s">
        <v>2339</v>
      </c>
      <c r="E441" s="14"/>
      <c r="F441" s="14"/>
      <c r="G441" s="14" t="s">
        <v>2340</v>
      </c>
      <c r="H441" s="14"/>
      <c r="I441" s="646" t="s">
        <v>2341</v>
      </c>
      <c r="J441" s="223"/>
      <c r="K441" s="14"/>
      <c r="L441" s="14" t="s">
        <v>2342</v>
      </c>
      <c r="M441" s="223"/>
      <c r="N441" s="14" t="s">
        <v>48</v>
      </c>
      <c r="O441" s="14" t="s">
        <v>565</v>
      </c>
      <c r="P441" s="14"/>
      <c r="Q441" s="14"/>
      <c r="R441" s="14"/>
      <c r="S441" s="14" t="s">
        <v>2343</v>
      </c>
      <c r="T441" s="14"/>
      <c r="U441" s="17"/>
      <c r="V441" s="14"/>
      <c r="W441" s="14"/>
      <c r="X441" s="18"/>
      <c r="Y441" s="18"/>
      <c r="Z441" s="18"/>
      <c r="AA441" s="19">
        <f t="shared" si="1"/>
        <v>7</v>
      </c>
    </row>
    <row r="442" ht="31.5" customHeight="1">
      <c r="A442" s="12">
        <v>45124.0</v>
      </c>
      <c r="B442" s="14" t="s">
        <v>60</v>
      </c>
      <c r="C442" s="647" t="s">
        <v>2351</v>
      </c>
      <c r="D442" s="648" t="s">
        <v>2352</v>
      </c>
      <c r="E442" s="649">
        <v>2016.0</v>
      </c>
      <c r="F442" s="224"/>
      <c r="G442" s="649"/>
      <c r="H442" s="650"/>
      <c r="I442" s="651">
        <v>9.6380948E8</v>
      </c>
      <c r="J442" s="223"/>
      <c r="K442" s="14"/>
      <c r="L442" s="14" t="s">
        <v>4450</v>
      </c>
      <c r="M442" s="223"/>
      <c r="N442" s="14" t="s">
        <v>111</v>
      </c>
      <c r="O442" s="14" t="s">
        <v>13</v>
      </c>
      <c r="P442" s="14" t="s">
        <v>2353</v>
      </c>
      <c r="Q442" s="14"/>
      <c r="R442" s="14"/>
      <c r="S442" s="14" t="s">
        <v>4452</v>
      </c>
      <c r="T442" s="14"/>
      <c r="U442" s="17"/>
      <c r="V442" s="14"/>
      <c r="W442" s="14"/>
      <c r="X442" s="18"/>
      <c r="Y442" s="18"/>
      <c r="Z442" s="18"/>
      <c r="AA442" s="19">
        <f t="shared" si="1"/>
        <v>7</v>
      </c>
    </row>
    <row r="443" ht="31.5" customHeight="1">
      <c r="A443" s="12">
        <v>45124.0</v>
      </c>
      <c r="B443" s="14" t="s">
        <v>340</v>
      </c>
      <c r="C443" s="647"/>
      <c r="D443" s="652" t="s">
        <v>2361</v>
      </c>
      <c r="E443" s="14"/>
      <c r="F443" s="14"/>
      <c r="G443" s="14"/>
      <c r="H443" s="14"/>
      <c r="I443" s="590"/>
      <c r="J443" s="223"/>
      <c r="K443" s="14"/>
      <c r="L443" s="14" t="s">
        <v>2362</v>
      </c>
      <c r="M443" s="223"/>
      <c r="N443" s="14" t="s">
        <v>48</v>
      </c>
      <c r="O443" s="14" t="s">
        <v>34</v>
      </c>
      <c r="P443" s="14"/>
      <c r="Q443" s="14"/>
      <c r="R443" s="14"/>
      <c r="S443" s="14" t="s">
        <v>2363</v>
      </c>
      <c r="T443" s="14" t="s">
        <v>36</v>
      </c>
      <c r="U443" s="17"/>
      <c r="V443" s="14"/>
      <c r="W443" s="14"/>
      <c r="X443" s="18"/>
      <c r="Y443" s="18"/>
      <c r="Z443" s="18"/>
      <c r="AA443" s="19">
        <f t="shared" si="1"/>
        <v>7</v>
      </c>
    </row>
    <row r="444" ht="31.5" customHeight="1">
      <c r="A444" s="12">
        <v>45124.0</v>
      </c>
      <c r="B444" s="14" t="s">
        <v>703</v>
      </c>
      <c r="C444" s="652" t="s">
        <v>2364</v>
      </c>
      <c r="D444" s="14"/>
      <c r="E444" s="14"/>
      <c r="F444" s="14"/>
      <c r="G444" s="14"/>
      <c r="H444" s="14"/>
      <c r="I444" s="590" t="s">
        <v>2365</v>
      </c>
      <c r="J444" s="223"/>
      <c r="K444" s="14"/>
      <c r="L444" s="14"/>
      <c r="M444" s="223"/>
      <c r="N444" s="14" t="s">
        <v>48</v>
      </c>
      <c r="O444" s="14" t="s">
        <v>1484</v>
      </c>
      <c r="P444" s="14"/>
      <c r="Q444" s="14"/>
      <c r="R444" s="14"/>
      <c r="S444" s="14" t="s">
        <v>2366</v>
      </c>
      <c r="T444" s="14"/>
      <c r="U444" s="17"/>
      <c r="V444" s="14"/>
      <c r="W444" s="14"/>
      <c r="X444" s="18"/>
      <c r="Y444" s="18"/>
      <c r="Z444" s="18"/>
      <c r="AA444" s="19">
        <f t="shared" si="1"/>
        <v>7</v>
      </c>
    </row>
    <row r="445" ht="31.5" customHeight="1">
      <c r="A445" s="12">
        <v>45124.0</v>
      </c>
      <c r="B445" s="14" t="s">
        <v>703</v>
      </c>
      <c r="C445" s="43" t="s">
        <v>2367</v>
      </c>
      <c r="D445" s="14"/>
      <c r="E445" s="14"/>
      <c r="F445" s="14"/>
      <c r="G445" s="14"/>
      <c r="H445" s="14"/>
      <c r="I445" s="590" t="s">
        <v>2368</v>
      </c>
      <c r="J445" s="223"/>
      <c r="K445" s="14"/>
      <c r="L445" s="14"/>
      <c r="M445" s="223"/>
      <c r="N445" s="14" t="s">
        <v>48</v>
      </c>
      <c r="O445" s="14" t="s">
        <v>1484</v>
      </c>
      <c r="P445" s="14"/>
      <c r="Q445" s="14"/>
      <c r="R445" s="14"/>
      <c r="S445" s="14" t="s">
        <v>2366</v>
      </c>
      <c r="T445" s="14"/>
      <c r="U445" s="17"/>
      <c r="V445" s="14"/>
      <c r="W445" s="14"/>
      <c r="X445" s="18"/>
      <c r="Y445" s="18"/>
      <c r="Z445" s="18"/>
      <c r="AA445" s="19">
        <f t="shared" si="1"/>
        <v>7</v>
      </c>
    </row>
    <row r="446" ht="31.5" customHeight="1">
      <c r="A446" s="12">
        <v>45124.0</v>
      </c>
      <c r="B446" s="14" t="s">
        <v>703</v>
      </c>
      <c r="C446" s="14" t="s">
        <v>2369</v>
      </c>
      <c r="D446" s="14"/>
      <c r="E446" s="14"/>
      <c r="F446" s="14" t="s">
        <v>4455</v>
      </c>
      <c r="G446" s="14"/>
      <c r="H446" s="14"/>
      <c r="I446" s="590" t="s">
        <v>2370</v>
      </c>
      <c r="J446" s="223"/>
      <c r="K446" s="14"/>
      <c r="L446" s="14" t="s">
        <v>2371</v>
      </c>
      <c r="M446" s="223"/>
      <c r="N446" s="14" t="s">
        <v>48</v>
      </c>
      <c r="O446" s="14" t="s">
        <v>34</v>
      </c>
      <c r="P446" s="14"/>
      <c r="Q446" s="14"/>
      <c r="R446" s="14"/>
      <c r="S446" s="14" t="s">
        <v>2372</v>
      </c>
      <c r="T446" s="14" t="s">
        <v>36</v>
      </c>
      <c r="U446" s="17"/>
      <c r="V446" s="14"/>
      <c r="W446" s="14"/>
      <c r="X446" s="18"/>
      <c r="Y446" s="18"/>
      <c r="Z446" s="18"/>
      <c r="AA446" s="19">
        <f t="shared" si="1"/>
        <v>7</v>
      </c>
    </row>
    <row r="447" ht="31.5" customHeight="1">
      <c r="A447" s="12">
        <v>45124.0</v>
      </c>
      <c r="B447" s="14" t="s">
        <v>703</v>
      </c>
      <c r="C447" s="14" t="s">
        <v>2373</v>
      </c>
      <c r="D447" s="14" t="s">
        <v>2374</v>
      </c>
      <c r="E447" s="14"/>
      <c r="F447" s="14">
        <v>2016.0</v>
      </c>
      <c r="G447" s="14"/>
      <c r="H447" s="14"/>
      <c r="I447" s="590" t="s">
        <v>2375</v>
      </c>
      <c r="J447" s="223"/>
      <c r="K447" s="14"/>
      <c r="L447" s="14"/>
      <c r="M447" s="223"/>
      <c r="N447" s="14" t="s">
        <v>48</v>
      </c>
      <c r="O447" s="14" t="s">
        <v>565</v>
      </c>
      <c r="P447" s="14" t="s">
        <v>640</v>
      </c>
      <c r="Q447" s="14"/>
      <c r="R447" s="14"/>
      <c r="S447" s="14" t="s">
        <v>2376</v>
      </c>
      <c r="T447" s="14" t="s">
        <v>4384</v>
      </c>
      <c r="U447" s="17"/>
      <c r="V447" s="14"/>
      <c r="W447" s="14"/>
      <c r="X447" s="18"/>
      <c r="Y447" s="18"/>
      <c r="Z447" s="18"/>
      <c r="AA447" s="19">
        <f t="shared" si="1"/>
        <v>7</v>
      </c>
    </row>
    <row r="448" ht="31.5" customHeight="1">
      <c r="A448" s="12">
        <v>45125.0</v>
      </c>
      <c r="B448" s="14" t="s">
        <v>703</v>
      </c>
      <c r="C448" s="14" t="s">
        <v>2383</v>
      </c>
      <c r="D448" s="14"/>
      <c r="E448" s="14"/>
      <c r="F448" s="14"/>
      <c r="G448" s="14"/>
      <c r="H448" s="14"/>
      <c r="I448" s="590" t="s">
        <v>2384</v>
      </c>
      <c r="J448" s="223"/>
      <c r="K448" s="14"/>
      <c r="L448" s="14"/>
      <c r="M448" s="223"/>
      <c r="N448" s="14" t="s">
        <v>48</v>
      </c>
      <c r="O448" s="14" t="s">
        <v>216</v>
      </c>
      <c r="P448" s="14"/>
      <c r="Q448" s="14"/>
      <c r="R448" s="14"/>
      <c r="S448" s="14" t="s">
        <v>2385</v>
      </c>
      <c r="T448" s="14"/>
      <c r="U448" s="17"/>
      <c r="V448" s="14"/>
      <c r="W448" s="14"/>
      <c r="X448" s="18"/>
      <c r="Y448" s="18"/>
      <c r="Z448" s="18"/>
      <c r="AA448" s="19">
        <f t="shared" si="1"/>
        <v>7</v>
      </c>
    </row>
    <row r="449" ht="31.5" customHeight="1">
      <c r="A449" s="12">
        <v>45125.0</v>
      </c>
      <c r="B449" s="14" t="s">
        <v>703</v>
      </c>
      <c r="C449" s="14" t="s">
        <v>2386</v>
      </c>
      <c r="D449" s="14"/>
      <c r="E449" s="14"/>
      <c r="F449" s="14"/>
      <c r="G449" s="14"/>
      <c r="H449" s="14"/>
      <c r="I449" s="590" t="s">
        <v>2387</v>
      </c>
      <c r="J449" s="223"/>
      <c r="K449" s="14"/>
      <c r="L449" s="14"/>
      <c r="M449" s="223"/>
      <c r="N449" s="14" t="s">
        <v>48</v>
      </c>
      <c r="O449" s="14" t="s">
        <v>216</v>
      </c>
      <c r="P449" s="14"/>
      <c r="Q449" s="14"/>
      <c r="R449" s="14"/>
      <c r="S449" s="14" t="s">
        <v>2388</v>
      </c>
      <c r="T449" s="14" t="s">
        <v>36</v>
      </c>
      <c r="U449" s="17"/>
      <c r="V449" s="14"/>
      <c r="W449" s="14"/>
      <c r="X449" s="18"/>
      <c r="Y449" s="18"/>
      <c r="Z449" s="18"/>
      <c r="AA449" s="19">
        <f t="shared" si="1"/>
        <v>7</v>
      </c>
    </row>
    <row r="450" ht="31.5" customHeight="1">
      <c r="A450" s="12">
        <v>45125.0</v>
      </c>
      <c r="B450" s="14" t="s">
        <v>703</v>
      </c>
      <c r="C450" s="14" t="s">
        <v>2389</v>
      </c>
      <c r="D450" s="14"/>
      <c r="E450" s="14"/>
      <c r="F450" s="14"/>
      <c r="G450" s="14"/>
      <c r="H450" s="14"/>
      <c r="I450" s="590" t="s">
        <v>2390</v>
      </c>
      <c r="J450" s="223"/>
      <c r="K450" s="14"/>
      <c r="L450" s="14"/>
      <c r="M450" s="223"/>
      <c r="N450" s="14" t="s">
        <v>48</v>
      </c>
      <c r="O450" s="14" t="s">
        <v>34</v>
      </c>
      <c r="P450" s="14"/>
      <c r="Q450" s="14"/>
      <c r="R450" s="14"/>
      <c r="S450" s="14" t="s">
        <v>2391</v>
      </c>
      <c r="T450" s="14" t="s">
        <v>36</v>
      </c>
      <c r="U450" s="17"/>
      <c r="V450" s="14"/>
      <c r="W450" s="14"/>
      <c r="X450" s="18"/>
      <c r="Y450" s="18"/>
      <c r="Z450" s="18"/>
      <c r="AA450" s="19">
        <f t="shared" si="1"/>
        <v>7</v>
      </c>
    </row>
    <row r="451" ht="31.5" customHeight="1">
      <c r="A451" s="12">
        <v>45125.0</v>
      </c>
      <c r="B451" s="14" t="s">
        <v>703</v>
      </c>
      <c r="C451" s="14" t="s">
        <v>2392</v>
      </c>
      <c r="D451" s="14"/>
      <c r="E451" s="14"/>
      <c r="F451" s="14"/>
      <c r="G451" s="14"/>
      <c r="H451" s="14"/>
      <c r="I451" s="590" t="s">
        <v>2393</v>
      </c>
      <c r="J451" s="223"/>
      <c r="K451" s="14"/>
      <c r="L451" s="14"/>
      <c r="M451" s="223"/>
      <c r="N451" s="14" t="s">
        <v>111</v>
      </c>
      <c r="O451" s="14" t="s">
        <v>34</v>
      </c>
      <c r="P451" s="14"/>
      <c r="Q451" s="14"/>
      <c r="R451" s="14"/>
      <c r="S451" s="14" t="s">
        <v>2394</v>
      </c>
      <c r="T451" s="14"/>
      <c r="U451" s="17"/>
      <c r="V451" s="14"/>
      <c r="W451" s="14"/>
      <c r="X451" s="18"/>
      <c r="Y451" s="18"/>
      <c r="Z451" s="18"/>
      <c r="AA451" s="19">
        <f t="shared" si="1"/>
        <v>7</v>
      </c>
    </row>
    <row r="452" ht="31.5" customHeight="1">
      <c r="A452" s="12">
        <v>45125.0</v>
      </c>
      <c r="B452" s="14" t="s">
        <v>703</v>
      </c>
      <c r="C452" s="14" t="s">
        <v>2395</v>
      </c>
      <c r="D452" s="14"/>
      <c r="E452" s="14"/>
      <c r="F452" s="14"/>
      <c r="G452" s="14"/>
      <c r="H452" s="14"/>
      <c r="I452" s="590" t="s">
        <v>2396</v>
      </c>
      <c r="J452" s="223"/>
      <c r="K452" s="14"/>
      <c r="L452" s="14"/>
      <c r="M452" s="223"/>
      <c r="N452" s="14" t="s">
        <v>111</v>
      </c>
      <c r="O452" s="14" t="s">
        <v>216</v>
      </c>
      <c r="P452" s="14"/>
      <c r="Q452" s="14"/>
      <c r="R452" s="14"/>
      <c r="S452" s="14" t="s">
        <v>2397</v>
      </c>
      <c r="T452" s="14"/>
      <c r="U452" s="17"/>
      <c r="V452" s="14"/>
      <c r="W452" s="14"/>
      <c r="X452" s="18"/>
      <c r="Y452" s="18"/>
      <c r="Z452" s="18"/>
      <c r="AA452" s="19">
        <f t="shared" si="1"/>
        <v>7</v>
      </c>
    </row>
    <row r="453" ht="31.5" customHeight="1">
      <c r="A453" s="12">
        <v>45125.0</v>
      </c>
      <c r="B453" s="14" t="s">
        <v>703</v>
      </c>
      <c r="C453" s="14" t="s">
        <v>2398</v>
      </c>
      <c r="D453" s="14"/>
      <c r="E453" s="14"/>
      <c r="F453" s="14"/>
      <c r="G453" s="14"/>
      <c r="H453" s="14"/>
      <c r="I453" s="590" t="s">
        <v>2399</v>
      </c>
      <c r="J453" s="223"/>
      <c r="K453" s="14"/>
      <c r="L453" s="14"/>
      <c r="M453" s="223"/>
      <c r="N453" s="14" t="s">
        <v>111</v>
      </c>
      <c r="O453" s="14" t="s">
        <v>565</v>
      </c>
      <c r="P453" s="14"/>
      <c r="Q453" s="14"/>
      <c r="R453" s="14"/>
      <c r="S453" s="14" t="s">
        <v>2400</v>
      </c>
      <c r="T453" s="14"/>
      <c r="U453" s="17"/>
      <c r="V453" s="14"/>
      <c r="W453" s="14"/>
      <c r="X453" s="18"/>
      <c r="Y453" s="18"/>
      <c r="Z453" s="18"/>
      <c r="AA453" s="19">
        <f t="shared" si="1"/>
        <v>7</v>
      </c>
    </row>
    <row r="454" ht="31.5" customHeight="1">
      <c r="A454" s="12">
        <v>45127.0</v>
      </c>
      <c r="B454" s="115" t="s">
        <v>4620</v>
      </c>
      <c r="C454" s="14" t="s">
        <v>2412</v>
      </c>
      <c r="D454" s="14"/>
      <c r="E454" s="14"/>
      <c r="F454" s="14" t="s">
        <v>419</v>
      </c>
      <c r="G454" s="14"/>
      <c r="H454" s="14"/>
      <c r="I454" s="590" t="s">
        <v>2413</v>
      </c>
      <c r="J454" s="223"/>
      <c r="K454" s="14" t="s">
        <v>2414</v>
      </c>
      <c r="L454" s="14" t="s">
        <v>5945</v>
      </c>
      <c r="M454" s="223"/>
      <c r="N454" s="14" t="s">
        <v>48</v>
      </c>
      <c r="O454" s="14" t="s">
        <v>34</v>
      </c>
      <c r="P454" s="14"/>
      <c r="Q454" s="14"/>
      <c r="R454" s="14"/>
      <c r="S454" s="14" t="s">
        <v>2416</v>
      </c>
      <c r="T454" s="14" t="s">
        <v>36</v>
      </c>
      <c r="U454" s="17"/>
      <c r="V454" s="14"/>
      <c r="W454" s="14"/>
      <c r="X454" s="18"/>
      <c r="Y454" s="18"/>
      <c r="Z454" s="18"/>
      <c r="AA454" s="19">
        <f t="shared" si="1"/>
        <v>7</v>
      </c>
    </row>
    <row r="455" ht="31.5" customHeight="1">
      <c r="A455" s="12">
        <v>45127.0</v>
      </c>
      <c r="B455" s="14" t="s">
        <v>4620</v>
      </c>
      <c r="C455" s="14" t="s">
        <v>2417</v>
      </c>
      <c r="D455" s="14" t="s">
        <v>2418</v>
      </c>
      <c r="E455" s="14"/>
      <c r="F455" s="14"/>
      <c r="G455" s="14"/>
      <c r="H455" s="14"/>
      <c r="I455" s="646" t="s">
        <v>2419</v>
      </c>
      <c r="J455" s="14"/>
      <c r="K455" s="14"/>
      <c r="L455" s="14" t="s">
        <v>2420</v>
      </c>
      <c r="M455" s="223"/>
      <c r="N455" s="14" t="s">
        <v>111</v>
      </c>
      <c r="O455" s="14" t="s">
        <v>565</v>
      </c>
      <c r="P455" s="14"/>
      <c r="Q455" s="14"/>
      <c r="R455" s="14"/>
      <c r="S455" s="14" t="s">
        <v>2421</v>
      </c>
      <c r="T455" s="14" t="s">
        <v>4096</v>
      </c>
      <c r="U455" s="17"/>
      <c r="V455" s="14"/>
      <c r="W455" s="14"/>
      <c r="X455" s="18"/>
      <c r="Y455" s="18"/>
      <c r="Z455" s="18"/>
      <c r="AA455" s="19">
        <f t="shared" si="1"/>
        <v>7</v>
      </c>
    </row>
    <row r="456" ht="31.5" customHeight="1">
      <c r="A456" s="12">
        <v>45070.0</v>
      </c>
      <c r="B456" s="14" t="s">
        <v>4620</v>
      </c>
      <c r="C456" s="14" t="s">
        <v>949</v>
      </c>
      <c r="D456" s="14"/>
      <c r="E456" s="14"/>
      <c r="F456" s="14"/>
      <c r="G456" s="14" t="s">
        <v>349</v>
      </c>
      <c r="H456" s="14"/>
      <c r="I456" s="590" t="s">
        <v>2428</v>
      </c>
      <c r="J456" s="223"/>
      <c r="K456" s="14"/>
      <c r="L456" s="253" t="s">
        <v>355</v>
      </c>
      <c r="M456" s="223"/>
      <c r="N456" s="14" t="s">
        <v>111</v>
      </c>
      <c r="O456" s="14" t="s">
        <v>34</v>
      </c>
      <c r="P456" s="14"/>
      <c r="Q456" s="14"/>
      <c r="R456" s="14"/>
      <c r="S456" s="14" t="s">
        <v>2429</v>
      </c>
      <c r="T456" s="14" t="s">
        <v>4069</v>
      </c>
      <c r="U456" s="17"/>
      <c r="V456" s="14"/>
      <c r="W456" s="14"/>
      <c r="X456" s="18"/>
      <c r="Y456" s="18"/>
      <c r="Z456" s="18"/>
      <c r="AA456" s="19">
        <f t="shared" si="1"/>
        <v>5</v>
      </c>
    </row>
    <row r="457" ht="31.5" customHeight="1">
      <c r="A457" s="12">
        <v>45082.0</v>
      </c>
      <c r="B457" s="14" t="s">
        <v>4620</v>
      </c>
      <c r="C457" s="14" t="s">
        <v>2430</v>
      </c>
      <c r="D457" s="14" t="s">
        <v>2431</v>
      </c>
      <c r="E457" s="14"/>
      <c r="F457" s="14">
        <v>2018.0</v>
      </c>
      <c r="G457" s="14"/>
      <c r="H457" s="14"/>
      <c r="I457" s="590" t="s">
        <v>2432</v>
      </c>
      <c r="J457" s="223"/>
      <c r="K457" s="14"/>
      <c r="L457" s="14" t="s">
        <v>2433</v>
      </c>
      <c r="M457" s="223"/>
      <c r="N457" s="14" t="s">
        <v>48</v>
      </c>
      <c r="O457" s="14" t="s">
        <v>34</v>
      </c>
      <c r="P457" s="14" t="s">
        <v>2434</v>
      </c>
      <c r="Q457" s="14"/>
      <c r="R457" s="14"/>
      <c r="S457" s="14" t="s">
        <v>2435</v>
      </c>
      <c r="T457" s="14" t="s">
        <v>4164</v>
      </c>
      <c r="U457" s="61"/>
      <c r="V457" s="14"/>
      <c r="W457" s="14"/>
      <c r="X457" s="18"/>
      <c r="Y457" s="18"/>
      <c r="Z457" s="18"/>
      <c r="AA457" s="19">
        <f t="shared" si="1"/>
        <v>6</v>
      </c>
    </row>
    <row r="458" ht="31.5" customHeight="1">
      <c r="A458" s="12">
        <v>45092.0</v>
      </c>
      <c r="B458" s="14" t="s">
        <v>4620</v>
      </c>
      <c r="C458" s="14" t="s">
        <v>2436</v>
      </c>
      <c r="D458" s="14" t="s">
        <v>2437</v>
      </c>
      <c r="E458" s="14"/>
      <c r="F458" s="14" t="s">
        <v>4463</v>
      </c>
      <c r="G458" s="14">
        <v>7.0</v>
      </c>
      <c r="H458" s="14"/>
      <c r="I458" s="590" t="s">
        <v>2438</v>
      </c>
      <c r="J458" s="223"/>
      <c r="K458" s="14"/>
      <c r="L458" s="14" t="s">
        <v>2439</v>
      </c>
      <c r="M458" s="591" t="s">
        <v>5946</v>
      </c>
      <c r="N458" s="14" t="s">
        <v>111</v>
      </c>
      <c r="O458" s="14" t="s">
        <v>13</v>
      </c>
      <c r="P458" s="14" t="s">
        <v>4464</v>
      </c>
      <c r="Q458" s="14"/>
      <c r="R458" s="14"/>
      <c r="S458" s="14" t="s">
        <v>2441</v>
      </c>
      <c r="T458" s="14" t="s">
        <v>4197</v>
      </c>
      <c r="U458" s="17"/>
      <c r="V458" s="14"/>
      <c r="W458" s="14"/>
      <c r="X458" s="18"/>
      <c r="Y458" s="18"/>
      <c r="Z458" s="18"/>
      <c r="AA458" s="19">
        <f t="shared" si="1"/>
        <v>6</v>
      </c>
    </row>
    <row r="459" ht="31.5" customHeight="1">
      <c r="A459" s="12">
        <v>45127.0</v>
      </c>
      <c r="B459" s="14" t="s">
        <v>703</v>
      </c>
      <c r="C459" s="14" t="s">
        <v>2442</v>
      </c>
      <c r="D459" s="14"/>
      <c r="E459" s="14"/>
      <c r="F459" s="14"/>
      <c r="G459" s="14"/>
      <c r="H459" s="14"/>
      <c r="I459" s="590" t="s">
        <v>2443</v>
      </c>
      <c r="J459" s="223"/>
      <c r="K459" s="14"/>
      <c r="L459" s="14"/>
      <c r="M459" s="223"/>
      <c r="N459" s="14" t="s">
        <v>111</v>
      </c>
      <c r="O459" s="14" t="s">
        <v>34</v>
      </c>
      <c r="P459" s="14"/>
      <c r="Q459" s="14"/>
      <c r="R459" s="14"/>
      <c r="S459" s="14" t="s">
        <v>2444</v>
      </c>
      <c r="T459" s="14" t="s">
        <v>4069</v>
      </c>
      <c r="U459" s="17"/>
      <c r="V459" s="14"/>
      <c r="W459" s="14"/>
      <c r="X459" s="18"/>
      <c r="Y459" s="18"/>
      <c r="Z459" s="18"/>
      <c r="AA459" s="19">
        <f t="shared" si="1"/>
        <v>7</v>
      </c>
    </row>
    <row r="460" ht="31.5" customHeight="1">
      <c r="A460" s="12">
        <v>45128.0</v>
      </c>
      <c r="B460" s="14" t="s">
        <v>201</v>
      </c>
      <c r="C460" s="167"/>
      <c r="D460" s="167" t="s">
        <v>2451</v>
      </c>
      <c r="E460" s="14"/>
      <c r="F460" s="14"/>
      <c r="G460" s="14"/>
      <c r="H460" s="14"/>
      <c r="I460" s="590"/>
      <c r="J460" s="223"/>
      <c r="K460" s="14"/>
      <c r="L460" s="115" t="s">
        <v>2452</v>
      </c>
      <c r="M460" s="223"/>
      <c r="N460" s="14" t="s">
        <v>48</v>
      </c>
      <c r="O460" s="14" t="s">
        <v>34</v>
      </c>
      <c r="P460" s="14"/>
      <c r="Q460" s="14"/>
      <c r="R460" s="14"/>
      <c r="S460" s="14" t="s">
        <v>2453</v>
      </c>
      <c r="T460" s="14" t="s">
        <v>4467</v>
      </c>
      <c r="U460" s="17"/>
      <c r="V460" s="14"/>
      <c r="W460" s="14"/>
      <c r="X460" s="18"/>
      <c r="Y460" s="18"/>
      <c r="Z460" s="18"/>
      <c r="AA460" s="19">
        <f t="shared" si="1"/>
        <v>7</v>
      </c>
    </row>
    <row r="461" ht="31.5" customHeight="1">
      <c r="A461" s="12">
        <v>45128.0</v>
      </c>
      <c r="B461" s="14" t="s">
        <v>4620</v>
      </c>
      <c r="C461" s="14" t="s">
        <v>2454</v>
      </c>
      <c r="D461" s="14"/>
      <c r="E461" s="14"/>
      <c r="F461" s="14"/>
      <c r="G461" s="14"/>
      <c r="H461" s="14"/>
      <c r="I461" s="590" t="s">
        <v>2455</v>
      </c>
      <c r="J461" s="223"/>
      <c r="K461" s="14"/>
      <c r="L461" s="14" t="s">
        <v>2456</v>
      </c>
      <c r="M461" s="223"/>
      <c r="N461" s="14" t="s">
        <v>111</v>
      </c>
      <c r="O461" s="14" t="s">
        <v>216</v>
      </c>
      <c r="P461" s="14"/>
      <c r="Q461" s="14"/>
      <c r="R461" s="14"/>
      <c r="S461" s="14" t="s">
        <v>2457</v>
      </c>
      <c r="T461" s="14"/>
      <c r="U461" s="17"/>
      <c r="V461" s="14"/>
      <c r="W461" s="14"/>
      <c r="X461" s="18"/>
      <c r="Y461" s="18"/>
      <c r="Z461" s="18"/>
      <c r="AA461" s="19">
        <f t="shared" si="1"/>
        <v>7</v>
      </c>
    </row>
    <row r="462" ht="31.5" customHeight="1">
      <c r="A462" s="12">
        <v>45128.0</v>
      </c>
      <c r="B462" s="14" t="s">
        <v>4620</v>
      </c>
      <c r="C462" s="14" t="s">
        <v>2458</v>
      </c>
      <c r="D462" s="14" t="s">
        <v>2459</v>
      </c>
      <c r="E462" s="14"/>
      <c r="F462" s="14">
        <v>2012.0</v>
      </c>
      <c r="G462" s="14"/>
      <c r="H462" s="14"/>
      <c r="I462" s="590" t="s">
        <v>2460</v>
      </c>
      <c r="J462" s="223"/>
      <c r="K462" s="14"/>
      <c r="L462" s="14" t="s">
        <v>2461</v>
      </c>
      <c r="M462" s="223"/>
      <c r="N462" s="14" t="s">
        <v>111</v>
      </c>
      <c r="O462" s="14" t="s">
        <v>13</v>
      </c>
      <c r="P462" s="14" t="s">
        <v>2462</v>
      </c>
      <c r="Q462" s="14"/>
      <c r="R462" s="14"/>
      <c r="S462" s="14" t="s">
        <v>2463</v>
      </c>
      <c r="T462" s="14"/>
      <c r="U462" s="17"/>
      <c r="V462" s="14"/>
      <c r="W462" s="14"/>
      <c r="X462" s="18"/>
      <c r="Y462" s="18"/>
      <c r="Z462" s="18"/>
      <c r="AA462" s="19">
        <f t="shared" si="1"/>
        <v>7</v>
      </c>
    </row>
    <row r="463" ht="31.5" customHeight="1">
      <c r="A463" s="12">
        <v>45128.0</v>
      </c>
      <c r="B463" s="14" t="s">
        <v>4620</v>
      </c>
      <c r="C463" s="14" t="s">
        <v>2464</v>
      </c>
      <c r="D463" s="14"/>
      <c r="E463" s="14"/>
      <c r="F463" s="14"/>
      <c r="G463" s="14"/>
      <c r="H463" s="14"/>
      <c r="I463" s="590" t="s">
        <v>2465</v>
      </c>
      <c r="J463" s="223"/>
      <c r="K463" s="14"/>
      <c r="L463" s="14"/>
      <c r="M463" s="223"/>
      <c r="N463" s="14" t="s">
        <v>48</v>
      </c>
      <c r="O463" s="14" t="s">
        <v>216</v>
      </c>
      <c r="P463" s="14"/>
      <c r="Q463" s="14"/>
      <c r="R463" s="14"/>
      <c r="S463" s="14" t="s">
        <v>2466</v>
      </c>
      <c r="T463" s="14" t="s">
        <v>4265</v>
      </c>
      <c r="U463" s="17"/>
      <c r="V463" s="14"/>
      <c r="W463" s="14"/>
      <c r="X463" s="18"/>
      <c r="Y463" s="18"/>
      <c r="Z463" s="18"/>
      <c r="AA463" s="19">
        <f t="shared" si="1"/>
        <v>7</v>
      </c>
    </row>
    <row r="464" ht="31.5" customHeight="1">
      <c r="A464" s="12">
        <v>45128.0</v>
      </c>
      <c r="B464" s="14" t="s">
        <v>4620</v>
      </c>
      <c r="C464" s="14" t="s">
        <v>2467</v>
      </c>
      <c r="D464" s="14"/>
      <c r="E464" s="14"/>
      <c r="F464" s="14"/>
      <c r="G464" s="14"/>
      <c r="H464" s="14"/>
      <c r="I464" s="590" t="s">
        <v>2468</v>
      </c>
      <c r="J464" s="223"/>
      <c r="K464" s="14"/>
      <c r="L464" s="14" t="s">
        <v>2469</v>
      </c>
      <c r="M464" s="223"/>
      <c r="N464" s="14" t="s">
        <v>48</v>
      </c>
      <c r="O464" s="14" t="s">
        <v>565</v>
      </c>
      <c r="P464" s="14"/>
      <c r="Q464" s="14"/>
      <c r="R464" s="14"/>
      <c r="S464" s="14" t="s">
        <v>2470</v>
      </c>
      <c r="T464" s="14" t="s">
        <v>4468</v>
      </c>
      <c r="U464" s="17">
        <v>45158.0</v>
      </c>
      <c r="V464" s="14"/>
      <c r="W464" s="14"/>
      <c r="X464" s="18"/>
      <c r="Y464" s="18"/>
      <c r="Z464" s="18"/>
      <c r="AA464" s="19">
        <f t="shared" si="1"/>
        <v>7</v>
      </c>
    </row>
    <row r="465" ht="31.5" customHeight="1">
      <c r="A465" s="12">
        <v>45128.0</v>
      </c>
      <c r="B465" s="115" t="s">
        <v>4620</v>
      </c>
      <c r="C465" s="14" t="s">
        <v>2471</v>
      </c>
      <c r="D465" s="14"/>
      <c r="E465" s="14"/>
      <c r="F465" s="14"/>
      <c r="G465" s="14"/>
      <c r="H465" s="14"/>
      <c r="I465" s="590" t="s">
        <v>2472</v>
      </c>
      <c r="J465" s="223"/>
      <c r="K465" s="14"/>
      <c r="L465" s="14"/>
      <c r="M465" s="223"/>
      <c r="N465" s="14" t="s">
        <v>111</v>
      </c>
      <c r="O465" s="14" t="s">
        <v>34</v>
      </c>
      <c r="P465" s="14"/>
      <c r="Q465" s="14"/>
      <c r="R465" s="14"/>
      <c r="S465" s="14" t="s">
        <v>2473</v>
      </c>
      <c r="T465" s="14"/>
      <c r="U465" s="17"/>
      <c r="V465" s="14"/>
      <c r="W465" s="14"/>
      <c r="X465" s="18"/>
      <c r="Y465" s="18"/>
      <c r="Z465" s="18"/>
      <c r="AA465" s="19">
        <f t="shared" si="1"/>
        <v>7</v>
      </c>
    </row>
    <row r="466" ht="31.5" customHeight="1">
      <c r="A466" s="12">
        <v>45128.0</v>
      </c>
      <c r="B466" s="14" t="s">
        <v>4620</v>
      </c>
      <c r="C466" s="14" t="s">
        <v>2474</v>
      </c>
      <c r="D466" s="14"/>
      <c r="E466" s="14"/>
      <c r="F466" s="14"/>
      <c r="G466" s="14"/>
      <c r="H466" s="14"/>
      <c r="I466" s="590" t="s">
        <v>2475</v>
      </c>
      <c r="J466" s="223"/>
      <c r="K466" s="14"/>
      <c r="L466" s="14" t="s">
        <v>2476</v>
      </c>
      <c r="M466" s="223"/>
      <c r="N466" s="14" t="s">
        <v>111</v>
      </c>
      <c r="O466" s="14" t="s">
        <v>34</v>
      </c>
      <c r="P466" s="14"/>
      <c r="Q466" s="14"/>
      <c r="R466" s="14"/>
      <c r="S466" s="14" t="s">
        <v>2477</v>
      </c>
      <c r="T466" s="14"/>
      <c r="U466" s="17"/>
      <c r="V466" s="14"/>
      <c r="W466" s="14"/>
      <c r="X466" s="18"/>
      <c r="Y466" s="18"/>
      <c r="Z466" s="18"/>
      <c r="AA466" s="19">
        <f t="shared" si="1"/>
        <v>7</v>
      </c>
    </row>
    <row r="467" ht="31.5" customHeight="1">
      <c r="A467" s="12">
        <v>45128.0</v>
      </c>
      <c r="B467" s="14" t="s">
        <v>4620</v>
      </c>
      <c r="C467" s="14" t="s">
        <v>4469</v>
      </c>
      <c r="D467" s="14"/>
      <c r="E467" s="14"/>
      <c r="F467" s="14"/>
      <c r="G467" s="14"/>
      <c r="H467" s="14"/>
      <c r="I467" s="590" t="s">
        <v>2479</v>
      </c>
      <c r="J467" s="223"/>
      <c r="K467" s="14"/>
      <c r="L467" s="14" t="s">
        <v>2480</v>
      </c>
      <c r="M467" s="223"/>
      <c r="N467" s="14" t="s">
        <v>48</v>
      </c>
      <c r="O467" s="14" t="s">
        <v>565</v>
      </c>
      <c r="P467" s="14"/>
      <c r="Q467" s="14"/>
      <c r="R467" s="14"/>
      <c r="S467" s="14" t="s">
        <v>2481</v>
      </c>
      <c r="T467" s="14"/>
      <c r="U467" s="17"/>
      <c r="V467" s="14"/>
      <c r="W467" s="14"/>
      <c r="X467" s="18"/>
      <c r="Y467" s="18"/>
      <c r="Z467" s="18"/>
      <c r="AA467" s="19">
        <f t="shared" si="1"/>
        <v>7</v>
      </c>
    </row>
    <row r="468" ht="31.5" customHeight="1">
      <c r="A468" s="12">
        <v>45128.0</v>
      </c>
      <c r="B468" s="14" t="s">
        <v>201</v>
      </c>
      <c r="C468" s="14" t="s">
        <v>4470</v>
      </c>
      <c r="D468" s="14" t="s">
        <v>1787</v>
      </c>
      <c r="E468" s="14"/>
      <c r="F468" s="14">
        <v>2006.0</v>
      </c>
      <c r="G468" s="14">
        <v>11.0</v>
      </c>
      <c r="H468" s="14"/>
      <c r="I468" s="590"/>
      <c r="J468" s="223"/>
      <c r="K468" s="14"/>
      <c r="L468" s="14"/>
      <c r="M468" s="223"/>
      <c r="N468" s="14" t="s">
        <v>111</v>
      </c>
      <c r="O468" s="14" t="s">
        <v>565</v>
      </c>
      <c r="P468" s="14"/>
      <c r="Q468" s="14"/>
      <c r="R468" s="14"/>
      <c r="S468" s="14" t="s">
        <v>2483</v>
      </c>
      <c r="T468" s="14"/>
      <c r="U468" s="17"/>
      <c r="V468" s="14"/>
      <c r="W468" s="14"/>
      <c r="X468" s="18"/>
      <c r="Y468" s="18"/>
      <c r="Z468" s="18"/>
      <c r="AA468" s="19">
        <f t="shared" si="1"/>
        <v>7</v>
      </c>
    </row>
    <row r="469" ht="31.5" customHeight="1">
      <c r="A469" s="12">
        <v>45128.0</v>
      </c>
      <c r="B469" s="14" t="s">
        <v>201</v>
      </c>
      <c r="C469" s="14" t="s">
        <v>4470</v>
      </c>
      <c r="D469" s="14" t="s">
        <v>2484</v>
      </c>
      <c r="E469" s="14" t="s">
        <v>4471</v>
      </c>
      <c r="F469" s="14">
        <v>2014.0</v>
      </c>
      <c r="G469" s="14">
        <v>4.0</v>
      </c>
      <c r="H469" s="14"/>
      <c r="I469" s="590" t="s">
        <v>2485</v>
      </c>
      <c r="J469" s="223"/>
      <c r="K469" s="14"/>
      <c r="L469" s="14" t="s">
        <v>2486</v>
      </c>
      <c r="M469" s="223"/>
      <c r="N469" s="14" t="s">
        <v>111</v>
      </c>
      <c r="O469" s="14" t="s">
        <v>13</v>
      </c>
      <c r="P469" s="14" t="s">
        <v>2487</v>
      </c>
      <c r="Q469" s="14"/>
      <c r="R469" s="14"/>
      <c r="S469" s="14" t="s">
        <v>2488</v>
      </c>
      <c r="T469" s="14"/>
      <c r="U469" s="17"/>
      <c r="V469" s="14"/>
      <c r="W469" s="14"/>
      <c r="X469" s="18"/>
      <c r="Y469" s="18"/>
      <c r="Z469" s="18"/>
      <c r="AA469" s="19">
        <f t="shared" si="1"/>
        <v>7</v>
      </c>
    </row>
    <row r="470" ht="31.5" customHeight="1">
      <c r="A470" s="12">
        <v>45128.0</v>
      </c>
      <c r="B470" s="14" t="s">
        <v>4620</v>
      </c>
      <c r="C470" s="14" t="s">
        <v>2489</v>
      </c>
      <c r="D470" s="14"/>
      <c r="E470" s="14"/>
      <c r="F470" s="14" t="s">
        <v>457</v>
      </c>
      <c r="G470" s="14"/>
      <c r="H470" s="14"/>
      <c r="I470" s="590" t="s">
        <v>2490</v>
      </c>
      <c r="J470" s="223"/>
      <c r="K470" s="14"/>
      <c r="L470" s="14" t="s">
        <v>2491</v>
      </c>
      <c r="M470" s="223"/>
      <c r="N470" s="14" t="s">
        <v>48</v>
      </c>
      <c r="O470" s="14" t="s">
        <v>565</v>
      </c>
      <c r="P470" s="14"/>
      <c r="Q470" s="14"/>
      <c r="R470" s="14"/>
      <c r="S470" s="14" t="s">
        <v>2492</v>
      </c>
      <c r="T470" s="14" t="s">
        <v>4262</v>
      </c>
      <c r="U470" s="17"/>
      <c r="V470" s="14"/>
      <c r="W470" s="14"/>
      <c r="X470" s="18"/>
      <c r="Y470" s="18"/>
      <c r="Z470" s="18"/>
      <c r="AA470" s="19">
        <f t="shared" si="1"/>
        <v>7</v>
      </c>
    </row>
    <row r="471" ht="31.5" customHeight="1">
      <c r="A471" s="12">
        <v>45128.0</v>
      </c>
      <c r="B471" s="14" t="s">
        <v>4620</v>
      </c>
      <c r="C471" s="14" t="s">
        <v>2493</v>
      </c>
      <c r="D471" s="14" t="s">
        <v>2494</v>
      </c>
      <c r="E471" s="14"/>
      <c r="F471" s="14" t="s">
        <v>505</v>
      </c>
      <c r="G471" s="14"/>
      <c r="H471" s="14"/>
      <c r="I471" s="590" t="s">
        <v>2495</v>
      </c>
      <c r="J471" s="223"/>
      <c r="K471" s="14"/>
      <c r="L471" s="14" t="s">
        <v>2496</v>
      </c>
      <c r="M471" s="223"/>
      <c r="N471" s="14" t="s">
        <v>111</v>
      </c>
      <c r="O471" s="14" t="s">
        <v>565</v>
      </c>
      <c r="P471" s="14"/>
      <c r="Q471" s="14"/>
      <c r="R471" s="14"/>
      <c r="S471" s="14" t="s">
        <v>2497</v>
      </c>
      <c r="T471" s="14"/>
      <c r="U471" s="17"/>
      <c r="V471" s="14"/>
      <c r="W471" s="14"/>
      <c r="X471" s="18"/>
      <c r="Y471" s="18"/>
      <c r="Z471" s="18"/>
      <c r="AA471" s="19">
        <f t="shared" si="1"/>
        <v>7</v>
      </c>
    </row>
    <row r="472" ht="31.5" customHeight="1">
      <c r="A472" s="12">
        <v>45129.0</v>
      </c>
      <c r="B472" s="14" t="s">
        <v>4620</v>
      </c>
      <c r="C472" s="14" t="s">
        <v>2498</v>
      </c>
      <c r="D472" s="14"/>
      <c r="E472" s="14"/>
      <c r="F472" s="14"/>
      <c r="G472" s="14">
        <v>2.0</v>
      </c>
      <c r="H472" s="14"/>
      <c r="I472" s="590" t="s">
        <v>2499</v>
      </c>
      <c r="J472" s="223"/>
      <c r="K472" s="14"/>
      <c r="L472" s="14" t="s">
        <v>2496</v>
      </c>
      <c r="M472" s="223"/>
      <c r="N472" s="14" t="s">
        <v>48</v>
      </c>
      <c r="O472" s="14" t="s">
        <v>565</v>
      </c>
      <c r="P472" s="14"/>
      <c r="Q472" s="14"/>
      <c r="R472" s="14"/>
      <c r="S472" s="14" t="s">
        <v>2500</v>
      </c>
      <c r="T472" s="14"/>
      <c r="U472" s="17"/>
      <c r="V472" s="14"/>
      <c r="W472" s="14"/>
      <c r="X472" s="18"/>
      <c r="Y472" s="18"/>
      <c r="Z472" s="18"/>
      <c r="AA472" s="19">
        <f t="shared" si="1"/>
        <v>7</v>
      </c>
    </row>
    <row r="473" ht="31.5" customHeight="1">
      <c r="A473" s="12">
        <v>45130.0</v>
      </c>
      <c r="B473" s="14" t="s">
        <v>84</v>
      </c>
      <c r="C473" s="14" t="s">
        <v>2513</v>
      </c>
      <c r="D473" s="14" t="s">
        <v>2514</v>
      </c>
      <c r="E473" s="14"/>
      <c r="F473" s="14" t="s">
        <v>4377</v>
      </c>
      <c r="G473" s="14">
        <v>6.0</v>
      </c>
      <c r="H473" s="14"/>
      <c r="I473" s="590" t="s">
        <v>2515</v>
      </c>
      <c r="J473" s="223"/>
      <c r="K473" s="14"/>
      <c r="L473" s="14"/>
      <c r="M473" s="223"/>
      <c r="N473" s="14" t="s">
        <v>111</v>
      </c>
      <c r="O473" s="14" t="s">
        <v>13</v>
      </c>
      <c r="P473" s="61" t="s">
        <v>2516</v>
      </c>
      <c r="Q473" s="14"/>
      <c r="R473" s="14"/>
      <c r="S473" s="14" t="s">
        <v>2517</v>
      </c>
      <c r="T473" s="14" t="s">
        <v>4197</v>
      </c>
      <c r="U473" s="17">
        <v>45163.0</v>
      </c>
      <c r="V473" s="14"/>
      <c r="W473" s="14"/>
      <c r="X473" s="18"/>
      <c r="Y473" s="18"/>
      <c r="Z473" s="18"/>
      <c r="AA473" s="19">
        <f t="shared" si="1"/>
        <v>7</v>
      </c>
    </row>
    <row r="474" ht="31.5" customHeight="1">
      <c r="A474" s="12">
        <v>45130.0</v>
      </c>
      <c r="B474" s="14" t="s">
        <v>4620</v>
      </c>
      <c r="C474" s="14" t="s">
        <v>2518</v>
      </c>
      <c r="D474" s="14"/>
      <c r="E474" s="14"/>
      <c r="F474" s="14" t="s">
        <v>4212</v>
      </c>
      <c r="G474" s="14"/>
      <c r="H474" s="14"/>
      <c r="I474" s="590" t="s">
        <v>2519</v>
      </c>
      <c r="J474" s="223"/>
      <c r="K474" s="14"/>
      <c r="L474" s="14"/>
      <c r="M474" s="223"/>
      <c r="N474" s="14" t="s">
        <v>111</v>
      </c>
      <c r="O474" s="14" t="s">
        <v>34</v>
      </c>
      <c r="P474" s="14"/>
      <c r="Q474" s="14"/>
      <c r="R474" s="14"/>
      <c r="S474" s="14" t="s">
        <v>2520</v>
      </c>
      <c r="T474" s="14"/>
      <c r="U474" s="17"/>
      <c r="V474" s="14"/>
      <c r="W474" s="14"/>
      <c r="X474" s="18"/>
      <c r="Y474" s="18"/>
      <c r="Z474" s="18"/>
      <c r="AA474" s="19">
        <f t="shared" si="1"/>
        <v>7</v>
      </c>
    </row>
    <row r="475" ht="31.5" customHeight="1">
      <c r="A475" s="12">
        <v>45093.0</v>
      </c>
      <c r="B475" s="14" t="s">
        <v>84</v>
      </c>
      <c r="C475" s="14" t="s">
        <v>2521</v>
      </c>
      <c r="D475" s="14" t="s">
        <v>2423</v>
      </c>
      <c r="E475" s="14"/>
      <c r="F475" s="14" t="s">
        <v>4475</v>
      </c>
      <c r="G475" s="14">
        <v>4.0</v>
      </c>
      <c r="H475" s="14"/>
      <c r="I475" s="590" t="s">
        <v>2522</v>
      </c>
      <c r="J475" s="223"/>
      <c r="K475" s="14"/>
      <c r="L475" s="14" t="s">
        <v>2523</v>
      </c>
      <c r="M475" s="223"/>
      <c r="N475" s="14" t="s">
        <v>111</v>
      </c>
      <c r="O475" s="14" t="s">
        <v>565</v>
      </c>
      <c r="P475" s="14"/>
      <c r="Q475" s="14"/>
      <c r="R475" s="14"/>
      <c r="S475" s="14" t="s">
        <v>2524</v>
      </c>
      <c r="T475" s="14" t="s">
        <v>4476</v>
      </c>
      <c r="U475" s="17">
        <v>45163.0</v>
      </c>
      <c r="V475" s="14"/>
      <c r="W475" s="14"/>
      <c r="X475" s="18"/>
      <c r="Y475" s="18"/>
      <c r="Z475" s="18"/>
      <c r="AA475" s="19">
        <f t="shared" si="1"/>
        <v>6</v>
      </c>
    </row>
    <row r="476" ht="31.5" customHeight="1">
      <c r="A476" s="12">
        <v>45093.0</v>
      </c>
      <c r="B476" s="14" t="s">
        <v>84</v>
      </c>
      <c r="C476" s="14" t="s">
        <v>2521</v>
      </c>
      <c r="D476" s="14" t="s">
        <v>2525</v>
      </c>
      <c r="E476" s="14"/>
      <c r="F476" s="14" t="s">
        <v>4375</v>
      </c>
      <c r="G476" s="14">
        <v>7.0</v>
      </c>
      <c r="H476" s="14"/>
      <c r="I476" s="590" t="s">
        <v>2522</v>
      </c>
      <c r="J476" s="223"/>
      <c r="K476" s="14"/>
      <c r="L476" s="14"/>
      <c r="M476" s="223"/>
      <c r="N476" s="14" t="s">
        <v>111</v>
      </c>
      <c r="O476" s="14" t="s">
        <v>565</v>
      </c>
      <c r="P476" s="14"/>
      <c r="Q476" s="14"/>
      <c r="R476" s="14"/>
      <c r="S476" s="14" t="s">
        <v>2524</v>
      </c>
      <c r="T476" s="14" t="s">
        <v>4197</v>
      </c>
      <c r="U476" s="17">
        <v>45163.0</v>
      </c>
      <c r="V476" s="14"/>
      <c r="W476" s="14"/>
      <c r="X476" s="18"/>
      <c r="Y476" s="18"/>
      <c r="Z476" s="18"/>
      <c r="AA476" s="19">
        <f t="shared" si="1"/>
        <v>6</v>
      </c>
    </row>
    <row r="477" ht="31.5" customHeight="1">
      <c r="A477" s="12">
        <v>45131.0</v>
      </c>
      <c r="B477" s="14" t="s">
        <v>4620</v>
      </c>
      <c r="C477" s="14" t="s">
        <v>2526</v>
      </c>
      <c r="D477" s="14"/>
      <c r="E477" s="14"/>
      <c r="F477" s="14"/>
      <c r="G477" s="14"/>
      <c r="H477" s="14"/>
      <c r="I477" s="590" t="s">
        <v>2527</v>
      </c>
      <c r="J477" s="223"/>
      <c r="K477" s="14"/>
      <c r="L477" s="14"/>
      <c r="M477" s="223"/>
      <c r="N477" s="14" t="s">
        <v>111</v>
      </c>
      <c r="O477" s="14" t="s">
        <v>216</v>
      </c>
      <c r="P477" s="14"/>
      <c r="Q477" s="14"/>
      <c r="R477" s="14"/>
      <c r="S477" s="14" t="s">
        <v>2528</v>
      </c>
      <c r="T477" s="14" t="s">
        <v>4096</v>
      </c>
      <c r="U477" s="17"/>
      <c r="V477" s="14"/>
      <c r="W477" s="14"/>
      <c r="X477" s="18"/>
      <c r="Y477" s="18"/>
      <c r="Z477" s="18"/>
      <c r="AA477" s="19">
        <f t="shared" si="1"/>
        <v>7</v>
      </c>
    </row>
    <row r="478" ht="31.5" customHeight="1">
      <c r="A478" s="12">
        <v>45131.0</v>
      </c>
      <c r="B478" s="14" t="s">
        <v>4620</v>
      </c>
      <c r="C478" s="14" t="s">
        <v>2535</v>
      </c>
      <c r="D478" s="14" t="s">
        <v>2536</v>
      </c>
      <c r="E478" s="14"/>
      <c r="F478" s="14">
        <v>2013.0</v>
      </c>
      <c r="G478" s="14"/>
      <c r="H478" s="14"/>
      <c r="I478" s="590" t="s">
        <v>2537</v>
      </c>
      <c r="J478" s="223"/>
      <c r="K478" s="14"/>
      <c r="L478" s="169" t="s">
        <v>2538</v>
      </c>
      <c r="M478" s="223"/>
      <c r="N478" s="14" t="s">
        <v>111</v>
      </c>
      <c r="O478" s="14" t="s">
        <v>565</v>
      </c>
      <c r="P478" s="14"/>
      <c r="Q478" s="14"/>
      <c r="R478" s="14"/>
      <c r="S478" s="14" t="s">
        <v>2539</v>
      </c>
      <c r="T478" s="14"/>
      <c r="U478" s="17"/>
      <c r="V478" s="14"/>
      <c r="W478" s="14"/>
      <c r="X478" s="18"/>
      <c r="Y478" s="18"/>
      <c r="Z478" s="18"/>
      <c r="AA478" s="19">
        <f t="shared" si="1"/>
        <v>7</v>
      </c>
    </row>
    <row r="479" ht="31.5" customHeight="1">
      <c r="A479" s="12">
        <v>45098.0</v>
      </c>
      <c r="B479" s="14" t="s">
        <v>84</v>
      </c>
      <c r="C479" s="14" t="s">
        <v>2540</v>
      </c>
      <c r="D479" s="14" t="s">
        <v>2541</v>
      </c>
      <c r="E479" s="14"/>
      <c r="F479" s="14">
        <v>2016.0</v>
      </c>
      <c r="G479" s="14"/>
      <c r="H479" s="14"/>
      <c r="I479" s="590" t="s">
        <v>2542</v>
      </c>
      <c r="J479" s="223"/>
      <c r="K479" s="132" t="s">
        <v>2542</v>
      </c>
      <c r="L479" s="14"/>
      <c r="M479" s="223"/>
      <c r="N479" s="14" t="s">
        <v>111</v>
      </c>
      <c r="O479" s="14" t="s">
        <v>13</v>
      </c>
      <c r="P479" s="14" t="s">
        <v>2543</v>
      </c>
      <c r="Q479" s="14"/>
      <c r="R479" s="14"/>
      <c r="S479" s="14" t="s">
        <v>2544</v>
      </c>
      <c r="T479" s="14" t="s">
        <v>4197</v>
      </c>
      <c r="U479" s="17"/>
      <c r="V479" s="14"/>
      <c r="W479" s="14"/>
      <c r="X479" s="18"/>
      <c r="Y479" s="18"/>
      <c r="Z479" s="18"/>
      <c r="AA479" s="19">
        <f t="shared" si="1"/>
        <v>6</v>
      </c>
    </row>
    <row r="480" ht="31.5" customHeight="1">
      <c r="A480" s="12">
        <v>45133.0</v>
      </c>
      <c r="B480" s="115" t="s">
        <v>4620</v>
      </c>
      <c r="C480" s="316" t="s">
        <v>2562</v>
      </c>
      <c r="D480" s="316"/>
      <c r="E480" s="14"/>
      <c r="F480" s="14"/>
      <c r="G480" s="14"/>
      <c r="H480" s="14"/>
      <c r="I480" s="653" t="s">
        <v>2563</v>
      </c>
      <c r="J480" s="223"/>
      <c r="K480" s="14"/>
      <c r="L480" s="14"/>
      <c r="M480" s="223"/>
      <c r="N480" s="14" t="s">
        <v>48</v>
      </c>
      <c r="O480" s="14" t="s">
        <v>34</v>
      </c>
      <c r="P480" s="14"/>
      <c r="Q480" s="14"/>
      <c r="R480" s="14"/>
      <c r="S480" s="14" t="s">
        <v>2564</v>
      </c>
      <c r="T480" s="14" t="s">
        <v>36</v>
      </c>
      <c r="U480" s="17"/>
      <c r="V480" s="14"/>
      <c r="W480" s="14"/>
      <c r="X480" s="18"/>
      <c r="Y480" s="18"/>
      <c r="Z480" s="25"/>
      <c r="AA480" s="19">
        <f t="shared" si="1"/>
        <v>7</v>
      </c>
    </row>
    <row r="481" ht="31.5" customHeight="1">
      <c r="A481" s="12">
        <v>45133.0</v>
      </c>
      <c r="B481" s="115" t="s">
        <v>4620</v>
      </c>
      <c r="C481" s="14" t="s">
        <v>2565</v>
      </c>
      <c r="D481" s="14"/>
      <c r="E481" s="14"/>
      <c r="F481" s="14"/>
      <c r="G481" s="14"/>
      <c r="H481" s="14"/>
      <c r="I481" s="654" t="s">
        <v>2566</v>
      </c>
      <c r="J481" s="223"/>
      <c r="K481" s="14"/>
      <c r="L481" s="14"/>
      <c r="M481" s="223"/>
      <c r="N481" s="14" t="s">
        <v>111</v>
      </c>
      <c r="O481" s="14" t="s">
        <v>216</v>
      </c>
      <c r="P481" s="14" t="s">
        <v>2567</v>
      </c>
      <c r="Q481" s="14"/>
      <c r="R481" s="14"/>
      <c r="S481" s="14" t="s">
        <v>2568</v>
      </c>
      <c r="T481" s="14"/>
      <c r="U481" s="17"/>
      <c r="V481" s="14"/>
      <c r="W481" s="14"/>
      <c r="X481" s="18"/>
      <c r="Y481" s="18"/>
      <c r="Z481" s="18"/>
      <c r="AA481" s="19">
        <f t="shared" si="1"/>
        <v>7</v>
      </c>
    </row>
    <row r="482" ht="31.5" customHeight="1">
      <c r="A482" s="12">
        <v>45134.0</v>
      </c>
      <c r="B482" s="14" t="s">
        <v>4620</v>
      </c>
      <c r="C482" s="316" t="s">
        <v>2569</v>
      </c>
      <c r="D482" s="316" t="s">
        <v>2570</v>
      </c>
      <c r="E482" s="14"/>
      <c r="F482" s="14"/>
      <c r="G482" s="14">
        <v>5.0</v>
      </c>
      <c r="H482" s="14"/>
      <c r="I482" s="604" t="s">
        <v>2571</v>
      </c>
      <c r="J482" s="223"/>
      <c r="K482" s="14"/>
      <c r="L482" s="14"/>
      <c r="M482" s="223"/>
      <c r="N482" s="14" t="s">
        <v>48</v>
      </c>
      <c r="O482" s="14" t="s">
        <v>34</v>
      </c>
      <c r="P482" s="14" t="s">
        <v>2572</v>
      </c>
      <c r="Q482" s="14"/>
      <c r="R482" s="14"/>
      <c r="S482" s="14" t="s">
        <v>2573</v>
      </c>
      <c r="T482" s="14"/>
      <c r="U482" s="61" t="s">
        <v>36</v>
      </c>
      <c r="V482" s="14"/>
      <c r="W482" s="14"/>
      <c r="X482" s="18"/>
      <c r="Y482" s="18"/>
      <c r="Z482" s="18"/>
      <c r="AA482" s="19">
        <f t="shared" si="1"/>
        <v>7</v>
      </c>
    </row>
    <row r="483" ht="31.5" customHeight="1">
      <c r="A483" s="12">
        <v>45134.0</v>
      </c>
      <c r="B483" s="14" t="s">
        <v>4620</v>
      </c>
      <c r="C483" s="14" t="s">
        <v>2574</v>
      </c>
      <c r="D483" s="14"/>
      <c r="E483" s="14"/>
      <c r="F483" s="14"/>
      <c r="G483" s="14"/>
      <c r="H483" s="14"/>
      <c r="I483" s="590" t="s">
        <v>2575</v>
      </c>
      <c r="J483" s="223"/>
      <c r="K483" s="14"/>
      <c r="L483" s="14"/>
      <c r="M483" s="223"/>
      <c r="N483" s="14" t="s">
        <v>111</v>
      </c>
      <c r="O483" s="14" t="s">
        <v>565</v>
      </c>
      <c r="P483" s="14"/>
      <c r="Q483" s="14"/>
      <c r="R483" s="14"/>
      <c r="S483" s="14" t="s">
        <v>2576</v>
      </c>
      <c r="T483" s="14"/>
      <c r="U483" s="17"/>
      <c r="V483" s="90"/>
      <c r="W483" s="14"/>
      <c r="X483" s="18"/>
      <c r="Y483" s="18"/>
      <c r="Z483" s="18"/>
      <c r="AA483" s="19">
        <f t="shared" si="1"/>
        <v>7</v>
      </c>
    </row>
    <row r="484" ht="31.5" customHeight="1">
      <c r="A484" s="12">
        <v>45134.0</v>
      </c>
      <c r="B484" s="14" t="s">
        <v>4620</v>
      </c>
      <c r="C484" s="316"/>
      <c r="D484" s="175" t="s">
        <v>2577</v>
      </c>
      <c r="E484" s="14">
        <v>2013.0</v>
      </c>
      <c r="F484" s="14" t="s">
        <v>115</v>
      </c>
      <c r="G484" s="14"/>
      <c r="H484" s="14"/>
      <c r="I484" s="646" t="s">
        <v>2578</v>
      </c>
      <c r="J484" s="14"/>
      <c r="K484" s="14"/>
      <c r="L484" s="14" t="s">
        <v>5947</v>
      </c>
      <c r="M484" s="14"/>
      <c r="N484" s="14" t="s">
        <v>48</v>
      </c>
      <c r="O484" s="14" t="s">
        <v>1484</v>
      </c>
      <c r="P484" s="14"/>
      <c r="Q484" s="14"/>
      <c r="R484" s="14"/>
      <c r="S484" s="14" t="s">
        <v>2580</v>
      </c>
      <c r="T484" s="14"/>
      <c r="U484" s="17"/>
      <c r="V484" s="14"/>
      <c r="W484" s="14"/>
      <c r="X484" s="18"/>
      <c r="Y484" s="18"/>
      <c r="Z484" s="18"/>
      <c r="AA484" s="19">
        <f t="shared" si="1"/>
        <v>7</v>
      </c>
    </row>
    <row r="485" ht="31.5" customHeight="1">
      <c r="A485" s="12">
        <v>45134.0</v>
      </c>
      <c r="B485" s="14" t="s">
        <v>4620</v>
      </c>
      <c r="C485" s="14" t="s">
        <v>2581</v>
      </c>
      <c r="D485" s="14"/>
      <c r="E485" s="14"/>
      <c r="F485" s="14" t="s">
        <v>4349</v>
      </c>
      <c r="G485" s="14">
        <v>3.0</v>
      </c>
      <c r="H485" s="14"/>
      <c r="I485" s="175">
        <v>9.05573318E8</v>
      </c>
      <c r="J485" s="14"/>
      <c r="K485" s="14"/>
      <c r="L485" s="14" t="s">
        <v>2582</v>
      </c>
      <c r="M485" s="14"/>
      <c r="N485" s="14" t="s">
        <v>111</v>
      </c>
      <c r="O485" s="14" t="s">
        <v>34</v>
      </c>
      <c r="P485" s="14"/>
      <c r="Q485" s="14"/>
      <c r="R485" s="14"/>
      <c r="S485" s="14" t="s">
        <v>2583</v>
      </c>
      <c r="T485" s="14" t="s">
        <v>4197</v>
      </c>
      <c r="U485" s="17"/>
      <c r="V485" s="14"/>
      <c r="W485" s="14"/>
      <c r="X485" s="18"/>
      <c r="Y485" s="18"/>
      <c r="Z485" s="18"/>
      <c r="AA485" s="19">
        <f t="shared" si="1"/>
        <v>7</v>
      </c>
    </row>
    <row r="486" ht="31.5" customHeight="1">
      <c r="A486" s="12">
        <v>45134.0</v>
      </c>
      <c r="B486" s="14" t="s">
        <v>4620</v>
      </c>
      <c r="C486" s="14" t="s">
        <v>2584</v>
      </c>
      <c r="D486" s="14"/>
      <c r="E486" s="14"/>
      <c r="F486" s="14"/>
      <c r="G486" s="14"/>
      <c r="H486" s="14"/>
      <c r="I486" s="590" t="s">
        <v>2585</v>
      </c>
      <c r="J486" s="223"/>
      <c r="K486" s="14"/>
      <c r="L486" s="14"/>
      <c r="M486" s="223"/>
      <c r="N486" s="14" t="s">
        <v>48</v>
      </c>
      <c r="O486" s="14" t="s">
        <v>34</v>
      </c>
      <c r="P486" s="14"/>
      <c r="Q486" s="14"/>
      <c r="R486" s="14"/>
      <c r="S486" s="14" t="s">
        <v>2586</v>
      </c>
      <c r="T486" s="14" t="s">
        <v>36</v>
      </c>
      <c r="U486" s="17"/>
      <c r="V486" s="14"/>
      <c r="W486" s="14"/>
      <c r="X486" s="18"/>
      <c r="Y486" s="18"/>
      <c r="Z486" s="18"/>
      <c r="AA486" s="19">
        <f t="shared" si="1"/>
        <v>7</v>
      </c>
    </row>
    <row r="487" ht="31.5" customHeight="1">
      <c r="A487" s="12">
        <v>45135.0</v>
      </c>
      <c r="B487" s="14" t="s">
        <v>201</v>
      </c>
      <c r="C487" s="44" t="s">
        <v>4483</v>
      </c>
      <c r="D487" s="14" t="s">
        <v>2588</v>
      </c>
      <c r="E487" s="14"/>
      <c r="F487" s="14">
        <v>2013.0</v>
      </c>
      <c r="G487" s="14">
        <v>5.0</v>
      </c>
      <c r="H487" s="14"/>
      <c r="I487" s="639" t="s">
        <v>2589</v>
      </c>
      <c r="J487" s="223"/>
      <c r="K487" s="14"/>
      <c r="L487" s="14"/>
      <c r="M487" s="223"/>
      <c r="N487" s="14" t="s">
        <v>111</v>
      </c>
      <c r="O487" s="14" t="s">
        <v>13</v>
      </c>
      <c r="P487" s="14" t="s">
        <v>2591</v>
      </c>
      <c r="Q487" s="14"/>
      <c r="R487" s="14"/>
      <c r="S487" s="14" t="s">
        <v>2592</v>
      </c>
      <c r="T487" s="14" t="s">
        <v>4484</v>
      </c>
      <c r="U487" s="17"/>
      <c r="V487" s="14"/>
      <c r="W487" s="14"/>
      <c r="X487" s="18"/>
      <c r="Y487" s="18"/>
      <c r="Z487" s="18"/>
      <c r="AA487" s="19">
        <f t="shared" si="1"/>
        <v>7</v>
      </c>
    </row>
    <row r="488" ht="31.5" customHeight="1">
      <c r="A488" s="12">
        <v>45135.0</v>
      </c>
      <c r="B488" s="14" t="s">
        <v>4620</v>
      </c>
      <c r="C488" s="14" t="s">
        <v>2596</v>
      </c>
      <c r="D488" s="14"/>
      <c r="E488" s="14"/>
      <c r="F488" s="655" t="s">
        <v>4125</v>
      </c>
      <c r="G488" s="14">
        <v>7.0</v>
      </c>
      <c r="H488" s="14"/>
      <c r="I488" s="639" t="s">
        <v>2597</v>
      </c>
      <c r="J488" s="223"/>
      <c r="K488" s="14"/>
      <c r="L488" s="14" t="s">
        <v>2598</v>
      </c>
      <c r="M488" s="223"/>
      <c r="N488" s="14" t="s">
        <v>111</v>
      </c>
      <c r="O488" s="14" t="s">
        <v>565</v>
      </c>
      <c r="P488" s="14"/>
      <c r="Q488" s="14"/>
      <c r="R488" s="14"/>
      <c r="S488" s="14" t="s">
        <v>2599</v>
      </c>
      <c r="T488" s="14"/>
      <c r="U488" s="17"/>
      <c r="V488" s="14"/>
      <c r="W488" s="14"/>
      <c r="X488" s="18"/>
      <c r="Y488" s="18"/>
      <c r="Z488" s="18"/>
      <c r="AA488" s="19">
        <f t="shared" si="1"/>
        <v>7</v>
      </c>
    </row>
    <row r="489" ht="31.5" customHeight="1">
      <c r="A489" s="12">
        <v>45136.0</v>
      </c>
      <c r="B489" s="14" t="s">
        <v>4620</v>
      </c>
      <c r="C489" s="14" t="s">
        <v>2600</v>
      </c>
      <c r="D489" s="14"/>
      <c r="E489" s="14"/>
      <c r="F489" s="14" t="s">
        <v>542</v>
      </c>
      <c r="G489" s="14"/>
      <c r="H489" s="14"/>
      <c r="I489" s="590" t="s">
        <v>2602</v>
      </c>
      <c r="J489" s="223"/>
      <c r="K489" s="14"/>
      <c r="L489" s="14" t="s">
        <v>2603</v>
      </c>
      <c r="M489" s="223"/>
      <c r="N489" s="14" t="s">
        <v>48</v>
      </c>
      <c r="O489" s="14" t="s">
        <v>565</v>
      </c>
      <c r="P489" s="14"/>
      <c r="Q489" s="14"/>
      <c r="R489" s="14"/>
      <c r="S489" s="14" t="s">
        <v>2604</v>
      </c>
      <c r="T489" s="14"/>
      <c r="U489" s="17"/>
      <c r="V489" s="14"/>
      <c r="W489" s="14"/>
      <c r="X489" s="18"/>
      <c r="Y489" s="18"/>
      <c r="Z489" s="18"/>
      <c r="AA489" s="19">
        <f t="shared" si="1"/>
        <v>7</v>
      </c>
    </row>
    <row r="490" ht="31.5" customHeight="1">
      <c r="A490" s="12">
        <v>45136.0</v>
      </c>
      <c r="B490" s="14" t="s">
        <v>4620</v>
      </c>
      <c r="C490" s="14" t="s">
        <v>2600</v>
      </c>
      <c r="D490" s="14"/>
      <c r="E490" s="14"/>
      <c r="F490" s="14" t="s">
        <v>1244</v>
      </c>
      <c r="G490" s="14"/>
      <c r="H490" s="14"/>
      <c r="I490" s="590" t="s">
        <v>2602</v>
      </c>
      <c r="J490" s="223"/>
      <c r="K490" s="14"/>
      <c r="L490" s="14" t="s">
        <v>2603</v>
      </c>
      <c r="M490" s="223"/>
      <c r="N490" s="14" t="s">
        <v>48</v>
      </c>
      <c r="O490" s="14" t="s">
        <v>565</v>
      </c>
      <c r="P490" s="14"/>
      <c r="Q490" s="14"/>
      <c r="R490" s="14"/>
      <c r="S490" s="14" t="s">
        <v>2606</v>
      </c>
      <c r="T490" s="14"/>
      <c r="U490" s="17"/>
      <c r="V490" s="14"/>
      <c r="W490" s="14"/>
      <c r="X490" s="18"/>
      <c r="Y490" s="18"/>
      <c r="Z490" s="18"/>
      <c r="AA490" s="19">
        <f t="shared" si="1"/>
        <v>7</v>
      </c>
    </row>
    <row r="491" ht="31.5" customHeight="1">
      <c r="A491" s="12">
        <v>45136.0</v>
      </c>
      <c r="B491" s="14" t="s">
        <v>201</v>
      </c>
      <c r="C491" s="14" t="s">
        <v>4487</v>
      </c>
      <c r="D491" s="14" t="s">
        <v>2608</v>
      </c>
      <c r="E491" s="14"/>
      <c r="F491" s="14"/>
      <c r="G491" s="14">
        <v>1.0</v>
      </c>
      <c r="H491" s="14"/>
      <c r="I491" s="175">
        <v>9.77429322E8</v>
      </c>
      <c r="J491" s="223"/>
      <c r="K491" s="14"/>
      <c r="L491" s="115" t="s">
        <v>2609</v>
      </c>
      <c r="M491" s="223"/>
      <c r="N491" s="14" t="s">
        <v>48</v>
      </c>
      <c r="O491" s="14" t="s">
        <v>34</v>
      </c>
      <c r="P491" s="14" t="s">
        <v>2610</v>
      </c>
      <c r="Q491" s="14"/>
      <c r="R491" s="14"/>
      <c r="S491" s="14" t="s">
        <v>2611</v>
      </c>
      <c r="T491" s="14" t="s">
        <v>4164</v>
      </c>
      <c r="U491" s="17"/>
      <c r="V491" s="14"/>
      <c r="W491" s="14"/>
      <c r="X491" s="18"/>
      <c r="Y491" s="18"/>
      <c r="Z491" s="18"/>
      <c r="AA491" s="19">
        <f t="shared" si="1"/>
        <v>7</v>
      </c>
    </row>
    <row r="492" ht="31.5" customHeight="1">
      <c r="A492" s="12">
        <v>45136.0</v>
      </c>
      <c r="B492" s="14" t="s">
        <v>84</v>
      </c>
      <c r="C492" s="14" t="s">
        <v>4488</v>
      </c>
      <c r="D492" s="656" t="s">
        <v>2613</v>
      </c>
      <c r="E492" s="14"/>
      <c r="F492" s="14">
        <v>6.0</v>
      </c>
      <c r="G492" s="14"/>
      <c r="H492" s="14"/>
      <c r="I492" s="175">
        <v>9.38303495E8</v>
      </c>
      <c r="J492" s="223"/>
      <c r="K492" s="14"/>
      <c r="L492" s="14" t="s">
        <v>2614</v>
      </c>
      <c r="M492" s="223"/>
      <c r="N492" s="14" t="s">
        <v>111</v>
      </c>
      <c r="O492" s="14" t="s">
        <v>34</v>
      </c>
      <c r="P492" s="14"/>
      <c r="Q492" s="14"/>
      <c r="R492" s="14"/>
      <c r="S492" s="14" t="s">
        <v>2615</v>
      </c>
      <c r="T492" s="14"/>
      <c r="U492" s="17"/>
      <c r="V492" s="14"/>
      <c r="W492" s="14"/>
      <c r="X492" s="18"/>
      <c r="Y492" s="18"/>
      <c r="Z492" s="18"/>
      <c r="AA492" s="19">
        <f t="shared" si="1"/>
        <v>7</v>
      </c>
    </row>
    <row r="493" ht="31.5" customHeight="1">
      <c r="A493" s="12">
        <v>45139.0</v>
      </c>
      <c r="B493" s="14" t="s">
        <v>4620</v>
      </c>
      <c r="C493" s="44" t="s">
        <v>4489</v>
      </c>
      <c r="D493" s="14"/>
      <c r="E493" s="14"/>
      <c r="F493" s="14"/>
      <c r="G493" s="14">
        <v>6.0</v>
      </c>
      <c r="H493" s="14"/>
      <c r="I493" s="590" t="s">
        <v>2617</v>
      </c>
      <c r="J493" s="223"/>
      <c r="K493" s="14"/>
      <c r="L493" s="14" t="s">
        <v>2618</v>
      </c>
      <c r="M493" s="223"/>
      <c r="N493" s="14" t="s">
        <v>111</v>
      </c>
      <c r="O493" s="14" t="s">
        <v>565</v>
      </c>
      <c r="P493" s="14"/>
      <c r="Q493" s="14"/>
      <c r="R493" s="14"/>
      <c r="S493" s="14" t="s">
        <v>2619</v>
      </c>
      <c r="T493" s="142">
        <v>45158.0</v>
      </c>
      <c r="U493" s="17"/>
      <c r="V493" s="14"/>
      <c r="W493" s="14"/>
      <c r="X493" s="18"/>
      <c r="Y493" s="18"/>
      <c r="Z493" s="18"/>
      <c r="AA493" s="19">
        <f t="shared" si="1"/>
        <v>8</v>
      </c>
    </row>
    <row r="494" ht="31.5" customHeight="1">
      <c r="A494" s="12">
        <v>45139.0</v>
      </c>
      <c r="B494" s="14" t="s">
        <v>4620</v>
      </c>
      <c r="C494" s="14" t="s">
        <v>2620</v>
      </c>
      <c r="D494" s="14"/>
      <c r="E494" s="14"/>
      <c r="F494" s="14"/>
      <c r="G494" s="14"/>
      <c r="H494" s="14"/>
      <c r="I494" s="590" t="s">
        <v>2621</v>
      </c>
      <c r="J494" s="223"/>
      <c r="K494" s="14"/>
      <c r="L494" s="14"/>
      <c r="M494" s="223"/>
      <c r="N494" s="14" t="s">
        <v>111</v>
      </c>
      <c r="O494" s="14" t="s">
        <v>34</v>
      </c>
      <c r="P494" s="14"/>
      <c r="Q494" s="14"/>
      <c r="R494" s="14"/>
      <c r="S494" s="14" t="s">
        <v>2622</v>
      </c>
      <c r="T494" s="14"/>
      <c r="U494" s="17"/>
      <c r="V494" s="14"/>
      <c r="W494" s="14"/>
      <c r="X494" s="18"/>
      <c r="Y494" s="18"/>
      <c r="Z494" s="18"/>
      <c r="AA494" s="19">
        <f t="shared" si="1"/>
        <v>8</v>
      </c>
    </row>
    <row r="495" ht="31.5" customHeight="1">
      <c r="A495" s="12">
        <v>45135.0</v>
      </c>
      <c r="B495" s="14" t="s">
        <v>4620</v>
      </c>
      <c r="C495" s="14" t="s">
        <v>2623</v>
      </c>
      <c r="D495" s="14"/>
      <c r="E495" s="14"/>
      <c r="F495" s="14"/>
      <c r="G495" s="14"/>
      <c r="H495" s="14"/>
      <c r="I495" s="657" t="s">
        <v>2624</v>
      </c>
      <c r="J495" s="223"/>
      <c r="K495" s="14"/>
      <c r="L495" s="14"/>
      <c r="M495" s="223"/>
      <c r="N495" s="14" t="s">
        <v>111</v>
      </c>
      <c r="O495" s="14" t="s">
        <v>565</v>
      </c>
      <c r="P495" s="14"/>
      <c r="Q495" s="14"/>
      <c r="R495" s="14"/>
      <c r="S495" s="14" t="s">
        <v>2625</v>
      </c>
      <c r="T495" s="14"/>
      <c r="U495" s="17"/>
      <c r="V495" s="14"/>
      <c r="W495" s="14"/>
      <c r="X495" s="18"/>
      <c r="Y495" s="18"/>
      <c r="Z495" s="18"/>
      <c r="AA495" s="19">
        <f t="shared" si="1"/>
        <v>7</v>
      </c>
    </row>
    <row r="496" ht="31.5" customHeight="1">
      <c r="A496" s="12">
        <v>45139.0</v>
      </c>
      <c r="B496" s="14" t="s">
        <v>4620</v>
      </c>
      <c r="C496" s="14" t="s">
        <v>2626</v>
      </c>
      <c r="D496" s="14"/>
      <c r="E496" s="14"/>
      <c r="F496" s="14"/>
      <c r="G496" s="14">
        <v>3.0</v>
      </c>
      <c r="H496" s="14"/>
      <c r="I496" s="590" t="s">
        <v>2627</v>
      </c>
      <c r="J496" s="223"/>
      <c r="K496" s="14"/>
      <c r="L496" s="14" t="s">
        <v>2628</v>
      </c>
      <c r="M496" s="223"/>
      <c r="N496" s="14" t="s">
        <v>48</v>
      </c>
      <c r="O496" s="14" t="s">
        <v>34</v>
      </c>
      <c r="P496" s="14"/>
      <c r="Q496" s="14"/>
      <c r="R496" s="14"/>
      <c r="S496" s="14" t="s">
        <v>2629</v>
      </c>
      <c r="T496" s="14" t="s">
        <v>36</v>
      </c>
      <c r="U496" s="17"/>
      <c r="V496" s="14"/>
      <c r="W496" s="14"/>
      <c r="X496" s="18"/>
      <c r="Y496" s="18"/>
      <c r="Z496" s="18"/>
      <c r="AA496" s="19">
        <f t="shared" si="1"/>
        <v>8</v>
      </c>
    </row>
    <row r="497" ht="31.5" customHeight="1">
      <c r="A497" s="12">
        <v>45139.0</v>
      </c>
      <c r="B497" s="115" t="s">
        <v>4620</v>
      </c>
      <c r="C497" s="14" t="s">
        <v>2630</v>
      </c>
      <c r="D497" s="14"/>
      <c r="E497" s="14"/>
      <c r="F497" s="14"/>
      <c r="G497" s="14"/>
      <c r="H497" s="14"/>
      <c r="I497" s="590" t="s">
        <v>2631</v>
      </c>
      <c r="J497" s="223"/>
      <c r="K497" s="14"/>
      <c r="L497" s="14"/>
      <c r="M497" s="223"/>
      <c r="N497" s="14" t="s">
        <v>48</v>
      </c>
      <c r="O497" s="14" t="s">
        <v>216</v>
      </c>
      <c r="P497" s="14"/>
      <c r="Q497" s="14"/>
      <c r="R497" s="14"/>
      <c r="S497" s="14" t="s">
        <v>2632</v>
      </c>
      <c r="T497" s="14"/>
      <c r="U497" s="17"/>
      <c r="V497" s="14"/>
      <c r="W497" s="14"/>
      <c r="X497" s="18"/>
      <c r="Y497" s="18"/>
      <c r="Z497" s="18"/>
      <c r="AA497" s="19">
        <f t="shared" si="1"/>
        <v>8</v>
      </c>
    </row>
    <row r="498" ht="31.5" customHeight="1">
      <c r="A498" s="12">
        <v>45139.0</v>
      </c>
      <c r="B498" s="115" t="s">
        <v>4620</v>
      </c>
      <c r="C498" s="14" t="s">
        <v>2633</v>
      </c>
      <c r="D498" s="14"/>
      <c r="E498" s="14"/>
      <c r="F498" s="14"/>
      <c r="G498" s="14"/>
      <c r="H498" s="14"/>
      <c r="I498" s="590" t="s">
        <v>2634</v>
      </c>
      <c r="J498" s="223"/>
      <c r="K498" s="14"/>
      <c r="L498" s="14"/>
      <c r="M498" s="223"/>
      <c r="N498" s="14" t="s">
        <v>111</v>
      </c>
      <c r="O498" s="14" t="s">
        <v>216</v>
      </c>
      <c r="P498" s="14" t="s">
        <v>2635</v>
      </c>
      <c r="Q498" s="14"/>
      <c r="R498" s="14"/>
      <c r="S498" s="14" t="s">
        <v>2636</v>
      </c>
      <c r="T498" s="14"/>
      <c r="U498" s="17"/>
      <c r="V498" s="14"/>
      <c r="W498" s="14"/>
      <c r="X498" s="18"/>
      <c r="Y498" s="18"/>
      <c r="Z498" s="18"/>
      <c r="AA498" s="19">
        <f t="shared" si="1"/>
        <v>8</v>
      </c>
    </row>
    <row r="499" ht="31.5" customHeight="1">
      <c r="A499" s="12">
        <v>45141.0</v>
      </c>
      <c r="B499" s="14" t="s">
        <v>4620</v>
      </c>
      <c r="C499" s="178" t="s">
        <v>2643</v>
      </c>
      <c r="D499" s="14" t="s">
        <v>2644</v>
      </c>
      <c r="E499" s="14"/>
      <c r="F499" s="14" t="s">
        <v>505</v>
      </c>
      <c r="G499" s="14"/>
      <c r="H499" s="14"/>
      <c r="I499" s="590" t="s">
        <v>2645</v>
      </c>
      <c r="J499" s="223"/>
      <c r="K499" s="14"/>
      <c r="L499" s="14" t="s">
        <v>2646</v>
      </c>
      <c r="M499" s="223"/>
      <c r="N499" s="14" t="s">
        <v>111</v>
      </c>
      <c r="O499" s="14" t="s">
        <v>565</v>
      </c>
      <c r="P499" s="14" t="s">
        <v>2647</v>
      </c>
      <c r="Q499" s="14"/>
      <c r="R499" s="14"/>
      <c r="S499" s="14" t="s">
        <v>2648</v>
      </c>
      <c r="T499" s="14" t="s">
        <v>4490</v>
      </c>
      <c r="U499" s="17"/>
      <c r="V499" s="14"/>
      <c r="W499" s="14"/>
      <c r="X499" s="18"/>
      <c r="Y499" s="18"/>
      <c r="Z499" s="18"/>
      <c r="AA499" s="19">
        <f t="shared" si="1"/>
        <v>8</v>
      </c>
    </row>
    <row r="500" ht="31.5" customHeight="1">
      <c r="A500" s="12">
        <v>45141.0</v>
      </c>
      <c r="B500" s="14" t="s">
        <v>4620</v>
      </c>
      <c r="C500" s="14" t="s">
        <v>2649</v>
      </c>
      <c r="D500" s="14" t="s">
        <v>2650</v>
      </c>
      <c r="E500" s="14"/>
      <c r="F500" s="14">
        <v>2013.0</v>
      </c>
      <c r="G500" s="14">
        <v>5.0</v>
      </c>
      <c r="H500" s="14"/>
      <c r="I500" s="590" t="s">
        <v>2651</v>
      </c>
      <c r="J500" s="223"/>
      <c r="K500" s="14"/>
      <c r="L500" s="14"/>
      <c r="M500" s="223"/>
      <c r="N500" s="14" t="s">
        <v>111</v>
      </c>
      <c r="O500" s="14" t="s">
        <v>13</v>
      </c>
      <c r="P500" s="14" t="s">
        <v>2652</v>
      </c>
      <c r="Q500" s="14"/>
      <c r="R500" s="14"/>
      <c r="S500" s="14" t="s">
        <v>2653</v>
      </c>
      <c r="T500" s="14" t="s">
        <v>4197</v>
      </c>
      <c r="U500" s="17"/>
      <c r="V500" s="14"/>
      <c r="W500" s="14"/>
      <c r="X500" s="18"/>
      <c r="Y500" s="18"/>
      <c r="Z500" s="18"/>
      <c r="AA500" s="19">
        <f t="shared" si="1"/>
        <v>8</v>
      </c>
    </row>
    <row r="501" ht="31.5" customHeight="1">
      <c r="A501" s="12">
        <v>45141.0</v>
      </c>
      <c r="B501" s="14" t="s">
        <v>4620</v>
      </c>
      <c r="C501" s="14" t="s">
        <v>2649</v>
      </c>
      <c r="D501" s="14" t="s">
        <v>2654</v>
      </c>
      <c r="E501" s="14"/>
      <c r="F501" s="14">
        <v>2017.0</v>
      </c>
      <c r="G501" s="14"/>
      <c r="H501" s="14"/>
      <c r="I501" s="590" t="s">
        <v>2651</v>
      </c>
      <c r="J501" s="223"/>
      <c r="K501" s="14"/>
      <c r="L501" s="14"/>
      <c r="M501" s="223"/>
      <c r="N501" s="14" t="s">
        <v>111</v>
      </c>
      <c r="O501" s="14" t="s">
        <v>565</v>
      </c>
      <c r="P501" s="14"/>
      <c r="Q501" s="14"/>
      <c r="R501" s="14"/>
      <c r="S501" s="14" t="s">
        <v>2655</v>
      </c>
      <c r="T501" s="14"/>
      <c r="U501" s="17"/>
      <c r="V501" s="14"/>
      <c r="W501" s="14"/>
      <c r="X501" s="18"/>
      <c r="Y501" s="18"/>
      <c r="Z501" s="18"/>
      <c r="AA501" s="19">
        <f t="shared" si="1"/>
        <v>8</v>
      </c>
    </row>
    <row r="502" ht="31.5" customHeight="1">
      <c r="A502" s="12">
        <v>45142.0</v>
      </c>
      <c r="B502" s="14" t="s">
        <v>201</v>
      </c>
      <c r="C502" s="115" t="s">
        <v>4491</v>
      </c>
      <c r="D502" s="14" t="s">
        <v>2657</v>
      </c>
      <c r="E502" s="14"/>
      <c r="F502" s="14"/>
      <c r="G502" s="14"/>
      <c r="H502" s="14"/>
      <c r="I502" s="590" t="s">
        <v>2658</v>
      </c>
      <c r="J502" s="223"/>
      <c r="K502" s="14"/>
      <c r="L502" s="14"/>
      <c r="M502" s="223"/>
      <c r="N502" s="14" t="s">
        <v>111</v>
      </c>
      <c r="O502" s="14" t="s">
        <v>13</v>
      </c>
      <c r="P502" s="14" t="s">
        <v>2659</v>
      </c>
      <c r="Q502" s="14"/>
      <c r="R502" s="14"/>
      <c r="S502" s="14" t="s">
        <v>2660</v>
      </c>
      <c r="T502" s="14"/>
      <c r="U502" s="17"/>
      <c r="V502" s="14"/>
      <c r="W502" s="14"/>
      <c r="X502" s="18"/>
      <c r="Y502" s="18"/>
      <c r="Z502" s="18"/>
      <c r="AA502" s="19">
        <f t="shared" si="1"/>
        <v>8</v>
      </c>
    </row>
    <row r="503" ht="31.5" customHeight="1">
      <c r="A503" s="12">
        <v>45143.0</v>
      </c>
      <c r="B503" s="14" t="s">
        <v>4620</v>
      </c>
      <c r="C503" s="14" t="s">
        <v>2661</v>
      </c>
      <c r="D503" s="14"/>
      <c r="E503" s="14"/>
      <c r="F503" s="14"/>
      <c r="G503" s="14"/>
      <c r="H503" s="14"/>
      <c r="I503" s="590" t="s">
        <v>2662</v>
      </c>
      <c r="J503" s="223"/>
      <c r="K503" s="14"/>
      <c r="L503" s="14"/>
      <c r="M503" s="223"/>
      <c r="N503" s="14" t="s">
        <v>111</v>
      </c>
      <c r="O503" s="14" t="s">
        <v>565</v>
      </c>
      <c r="P503" s="14"/>
      <c r="Q503" s="14"/>
      <c r="R503" s="14"/>
      <c r="S503" s="14" t="s">
        <v>2663</v>
      </c>
      <c r="T503" s="14"/>
      <c r="U503" s="17"/>
      <c r="V503" s="14"/>
      <c r="W503" s="14"/>
      <c r="X503" s="18"/>
      <c r="Y503" s="18"/>
      <c r="Z503" s="18"/>
      <c r="AA503" s="19">
        <f t="shared" si="1"/>
        <v>8</v>
      </c>
    </row>
    <row r="504" ht="31.5" customHeight="1">
      <c r="A504" s="12">
        <v>45143.0</v>
      </c>
      <c r="B504" s="14" t="s">
        <v>4620</v>
      </c>
      <c r="C504" s="14" t="s">
        <v>2664</v>
      </c>
      <c r="D504" s="14" t="s">
        <v>2665</v>
      </c>
      <c r="E504" s="14"/>
      <c r="F504" s="142">
        <v>40995.0</v>
      </c>
      <c r="G504" s="14"/>
      <c r="H504" s="14"/>
      <c r="I504" s="590" t="s">
        <v>2666</v>
      </c>
      <c r="J504" s="223"/>
      <c r="K504" s="14"/>
      <c r="L504" s="14" t="s">
        <v>4492</v>
      </c>
      <c r="M504" s="223"/>
      <c r="N504" s="14" t="s">
        <v>48</v>
      </c>
      <c r="O504" s="14" t="s">
        <v>565</v>
      </c>
      <c r="P504" s="14"/>
      <c r="Q504" s="14"/>
      <c r="R504" s="14"/>
      <c r="S504" s="14" t="s">
        <v>5948</v>
      </c>
      <c r="T504" s="14"/>
      <c r="U504" s="17"/>
      <c r="V504" s="14"/>
      <c r="W504" s="14"/>
      <c r="X504" s="18"/>
      <c r="Y504" s="18"/>
      <c r="Z504" s="18"/>
      <c r="AA504" s="19">
        <f t="shared" si="1"/>
        <v>8</v>
      </c>
    </row>
    <row r="505" ht="31.5" customHeight="1">
      <c r="A505" s="12">
        <v>45143.0</v>
      </c>
      <c r="B505" s="14" t="s">
        <v>703</v>
      </c>
      <c r="C505" s="14" t="s">
        <v>1669</v>
      </c>
      <c r="D505" s="14"/>
      <c r="E505" s="14"/>
      <c r="F505" s="14" t="s">
        <v>4494</v>
      </c>
      <c r="G505" s="14"/>
      <c r="H505" s="14"/>
      <c r="I505" s="590" t="s">
        <v>2669</v>
      </c>
      <c r="J505" s="223"/>
      <c r="K505" s="14"/>
      <c r="L505" s="14"/>
      <c r="M505" s="223"/>
      <c r="N505" s="14" t="s">
        <v>48</v>
      </c>
      <c r="O505" s="14" t="s">
        <v>1484</v>
      </c>
      <c r="P505" s="14"/>
      <c r="Q505" s="14"/>
      <c r="R505" s="14"/>
      <c r="S505" s="14" t="s">
        <v>2670</v>
      </c>
      <c r="T505" s="14"/>
      <c r="U505" s="17"/>
      <c r="V505" s="14"/>
      <c r="W505" s="14"/>
      <c r="X505" s="18"/>
      <c r="Y505" s="18"/>
      <c r="Z505" s="18"/>
      <c r="AA505" s="19">
        <f t="shared" si="1"/>
        <v>8</v>
      </c>
    </row>
    <row r="506" ht="31.5" customHeight="1">
      <c r="A506" s="12">
        <v>45143.0</v>
      </c>
      <c r="B506" s="14" t="s">
        <v>703</v>
      </c>
      <c r="C506" s="14" t="s">
        <v>2671</v>
      </c>
      <c r="D506" s="14"/>
      <c r="E506" s="14"/>
      <c r="F506" s="14"/>
      <c r="G506" s="14"/>
      <c r="H506" s="14"/>
      <c r="I506" s="658" t="s">
        <v>2672</v>
      </c>
      <c r="J506" s="223"/>
      <c r="K506" s="14"/>
      <c r="L506" s="14"/>
      <c r="M506" s="223"/>
      <c r="N506" s="14" t="s">
        <v>48</v>
      </c>
      <c r="O506" s="14" t="s">
        <v>1484</v>
      </c>
      <c r="P506" s="14"/>
      <c r="Q506" s="14"/>
      <c r="R506" s="14"/>
      <c r="S506" s="14" t="s">
        <v>2670</v>
      </c>
      <c r="T506" s="14"/>
      <c r="U506" s="17"/>
      <c r="V506" s="14"/>
      <c r="W506" s="14"/>
      <c r="X506" s="18"/>
      <c r="Y506" s="18"/>
      <c r="Z506" s="18"/>
      <c r="AA506" s="19">
        <f t="shared" si="1"/>
        <v>8</v>
      </c>
    </row>
    <row r="507" ht="31.5" customHeight="1">
      <c r="A507" s="12">
        <v>45143.0</v>
      </c>
      <c r="B507" s="14" t="s">
        <v>703</v>
      </c>
      <c r="C507" s="14" t="s">
        <v>2673</v>
      </c>
      <c r="D507" s="14"/>
      <c r="E507" s="14"/>
      <c r="F507" s="14" t="s">
        <v>4495</v>
      </c>
      <c r="G507" s="14"/>
      <c r="H507" s="14"/>
      <c r="I507" s="590" t="s">
        <v>2674</v>
      </c>
      <c r="J507" s="223"/>
      <c r="K507" s="14"/>
      <c r="L507" s="14"/>
      <c r="M507" s="223"/>
      <c r="N507" s="14" t="s">
        <v>48</v>
      </c>
      <c r="O507" s="14" t="s">
        <v>34</v>
      </c>
      <c r="P507" s="14"/>
      <c r="Q507" s="14"/>
      <c r="R507" s="14"/>
      <c r="S507" s="14" t="s">
        <v>2675</v>
      </c>
      <c r="T507" s="14"/>
      <c r="U507" s="17"/>
      <c r="V507" s="14"/>
      <c r="W507" s="14"/>
      <c r="X507" s="18"/>
      <c r="Y507" s="18"/>
      <c r="Z507" s="18"/>
      <c r="AA507" s="19">
        <f t="shared" si="1"/>
        <v>8</v>
      </c>
    </row>
    <row r="508" ht="31.5" customHeight="1">
      <c r="A508" s="12">
        <v>45143.0</v>
      </c>
      <c r="B508" s="14" t="s">
        <v>703</v>
      </c>
      <c r="C508" s="14" t="s">
        <v>2676</v>
      </c>
      <c r="D508" s="14"/>
      <c r="E508" s="14"/>
      <c r="F508" s="14"/>
      <c r="G508" s="14"/>
      <c r="H508" s="14"/>
      <c r="I508" s="590" t="s">
        <v>2677</v>
      </c>
      <c r="J508" s="223"/>
      <c r="K508" s="14"/>
      <c r="L508" s="14"/>
      <c r="M508" s="223"/>
      <c r="N508" s="14" t="s">
        <v>48</v>
      </c>
      <c r="O508" s="14" t="s">
        <v>1484</v>
      </c>
      <c r="P508" s="14"/>
      <c r="Q508" s="14"/>
      <c r="R508" s="14"/>
      <c r="S508" s="14" t="s">
        <v>2678</v>
      </c>
      <c r="T508" s="14"/>
      <c r="U508" s="17"/>
      <c r="V508" s="14"/>
      <c r="W508" s="14"/>
      <c r="X508" s="18"/>
      <c r="Y508" s="18"/>
      <c r="Z508" s="18"/>
      <c r="AA508" s="19">
        <f t="shared" si="1"/>
        <v>8</v>
      </c>
    </row>
    <row r="509" ht="31.5" customHeight="1">
      <c r="A509" s="12">
        <v>45143.0</v>
      </c>
      <c r="B509" s="14" t="s">
        <v>703</v>
      </c>
      <c r="C509" s="14" t="s">
        <v>2679</v>
      </c>
      <c r="D509" s="14"/>
      <c r="E509" s="14"/>
      <c r="F509" s="14"/>
      <c r="G509" s="14"/>
      <c r="H509" s="14"/>
      <c r="I509" s="658" t="s">
        <v>2680</v>
      </c>
      <c r="J509" s="223"/>
      <c r="K509" s="14"/>
      <c r="L509" s="14"/>
      <c r="M509" s="223"/>
      <c r="N509" s="14" t="s">
        <v>111</v>
      </c>
      <c r="O509" s="14" t="s">
        <v>34</v>
      </c>
      <c r="P509" s="14"/>
      <c r="Q509" s="14"/>
      <c r="R509" s="14"/>
      <c r="S509" s="14" t="s">
        <v>2681</v>
      </c>
      <c r="T509" s="14"/>
      <c r="U509" s="17"/>
      <c r="V509" s="14"/>
      <c r="W509" s="14"/>
      <c r="X509" s="18"/>
      <c r="Y509" s="18"/>
      <c r="Z509" s="18"/>
      <c r="AA509" s="19">
        <f t="shared" si="1"/>
        <v>8</v>
      </c>
    </row>
    <row r="510" ht="31.5" customHeight="1">
      <c r="A510" s="12">
        <v>45143.0</v>
      </c>
      <c r="B510" s="14" t="s">
        <v>703</v>
      </c>
      <c r="C510" s="14" t="s">
        <v>2682</v>
      </c>
      <c r="D510" s="14"/>
      <c r="E510" s="14"/>
      <c r="F510" s="14"/>
      <c r="G510" s="14"/>
      <c r="H510" s="14"/>
      <c r="I510" s="590" t="s">
        <v>2683</v>
      </c>
      <c r="J510" s="223"/>
      <c r="K510" s="14"/>
      <c r="L510" s="14"/>
      <c r="M510" s="223"/>
      <c r="N510" s="14" t="s">
        <v>111</v>
      </c>
      <c r="O510" s="14" t="s">
        <v>216</v>
      </c>
      <c r="P510" s="14"/>
      <c r="Q510" s="14"/>
      <c r="R510" s="14"/>
      <c r="S510" s="14" t="s">
        <v>2684</v>
      </c>
      <c r="T510" s="14"/>
      <c r="U510" s="17"/>
      <c r="V510" s="14"/>
      <c r="W510" s="14"/>
      <c r="X510" s="18"/>
      <c r="Y510" s="18"/>
      <c r="Z510" s="18"/>
      <c r="AA510" s="19">
        <f t="shared" si="1"/>
        <v>8</v>
      </c>
    </row>
    <row r="511" ht="31.5" customHeight="1">
      <c r="A511" s="12">
        <v>45143.0</v>
      </c>
      <c r="B511" s="14" t="s">
        <v>703</v>
      </c>
      <c r="C511" s="14" t="s">
        <v>2685</v>
      </c>
      <c r="D511" s="14"/>
      <c r="E511" s="14"/>
      <c r="F511" s="14"/>
      <c r="G511" s="14"/>
      <c r="H511" s="14"/>
      <c r="I511" s="590" t="s">
        <v>2686</v>
      </c>
      <c r="J511" s="223"/>
      <c r="K511" s="14"/>
      <c r="L511" s="14"/>
      <c r="M511" s="223"/>
      <c r="N511" s="14" t="s">
        <v>111</v>
      </c>
      <c r="O511" s="14" t="s">
        <v>565</v>
      </c>
      <c r="P511" s="14"/>
      <c r="Q511" s="14"/>
      <c r="R511" s="14"/>
      <c r="S511" s="14" t="s">
        <v>2687</v>
      </c>
      <c r="T511" s="14"/>
      <c r="U511" s="17"/>
      <c r="V511" s="14"/>
      <c r="W511" s="14"/>
      <c r="X511" s="18"/>
      <c r="Y511" s="18"/>
      <c r="Z511" s="18"/>
      <c r="AA511" s="19">
        <f t="shared" si="1"/>
        <v>8</v>
      </c>
    </row>
    <row r="512" ht="31.5" customHeight="1">
      <c r="A512" s="12">
        <v>45143.0</v>
      </c>
      <c r="B512" s="14" t="s">
        <v>703</v>
      </c>
      <c r="C512" s="14" t="s">
        <v>2688</v>
      </c>
      <c r="D512" s="14"/>
      <c r="E512" s="14"/>
      <c r="F512" s="14"/>
      <c r="G512" s="14"/>
      <c r="H512" s="14"/>
      <c r="I512" s="590" t="s">
        <v>2689</v>
      </c>
      <c r="J512" s="223"/>
      <c r="K512" s="14"/>
      <c r="L512" s="14"/>
      <c r="M512" s="223"/>
      <c r="N512" s="14" t="s">
        <v>111</v>
      </c>
      <c r="O512" s="14" t="s">
        <v>34</v>
      </c>
      <c r="P512" s="14"/>
      <c r="Q512" s="14"/>
      <c r="R512" s="14"/>
      <c r="S512" s="14" t="s">
        <v>2690</v>
      </c>
      <c r="T512" s="14"/>
      <c r="U512" s="17"/>
      <c r="V512" s="14"/>
      <c r="W512" s="14"/>
      <c r="X512" s="18"/>
      <c r="Y512" s="18"/>
      <c r="Z512" s="18"/>
      <c r="AA512" s="19">
        <f t="shared" si="1"/>
        <v>8</v>
      </c>
    </row>
    <row r="513" ht="31.5" customHeight="1">
      <c r="A513" s="12">
        <v>45145.0</v>
      </c>
      <c r="B513" s="14" t="s">
        <v>84</v>
      </c>
      <c r="C513" s="14" t="s">
        <v>2691</v>
      </c>
      <c r="D513" s="14" t="s">
        <v>2692</v>
      </c>
      <c r="E513" s="14"/>
      <c r="F513" s="14"/>
      <c r="G513" s="14"/>
      <c r="H513" s="14"/>
      <c r="I513" s="590" t="s">
        <v>318</v>
      </c>
      <c r="J513" s="223"/>
      <c r="K513" s="14"/>
      <c r="L513" s="14"/>
      <c r="M513" s="223"/>
      <c r="N513" s="14" t="s">
        <v>111</v>
      </c>
      <c r="O513" s="14" t="s">
        <v>13</v>
      </c>
      <c r="P513" s="14" t="s">
        <v>2693</v>
      </c>
      <c r="Q513" s="14"/>
      <c r="R513" s="14"/>
      <c r="S513" s="14" t="s">
        <v>2694</v>
      </c>
      <c r="T513" s="14" t="s">
        <v>4197</v>
      </c>
      <c r="U513" s="17"/>
      <c r="V513" s="14"/>
      <c r="W513" s="14"/>
      <c r="X513" s="18"/>
      <c r="Y513" s="18"/>
      <c r="Z513" s="18"/>
      <c r="AA513" s="19">
        <f t="shared" si="1"/>
        <v>8</v>
      </c>
    </row>
    <row r="514" ht="31.5" customHeight="1">
      <c r="A514" s="12">
        <v>45148.0</v>
      </c>
      <c r="B514" s="14" t="s">
        <v>4620</v>
      </c>
      <c r="C514" s="14" t="s">
        <v>2713</v>
      </c>
      <c r="D514" s="383" t="s">
        <v>2714</v>
      </c>
      <c r="E514" s="14"/>
      <c r="F514" s="423">
        <v>42183.0</v>
      </c>
      <c r="G514" s="14">
        <v>3.0</v>
      </c>
      <c r="H514" s="14"/>
      <c r="I514" s="590" t="s">
        <v>2715</v>
      </c>
      <c r="J514" s="223"/>
      <c r="K514" s="14"/>
      <c r="L514" s="14"/>
      <c r="M514" s="223"/>
      <c r="N514" s="14" t="s">
        <v>111</v>
      </c>
      <c r="O514" s="14" t="s">
        <v>34</v>
      </c>
      <c r="P514" s="14"/>
      <c r="Q514" s="14"/>
      <c r="R514" s="14"/>
      <c r="S514" s="14" t="s">
        <v>2716</v>
      </c>
      <c r="T514" s="14"/>
      <c r="U514" s="17"/>
      <c r="V514" s="14"/>
      <c r="W514" s="14"/>
      <c r="X514" s="18"/>
      <c r="Y514" s="18"/>
      <c r="Z514" s="18"/>
      <c r="AA514" s="19">
        <f t="shared" si="1"/>
        <v>8</v>
      </c>
    </row>
    <row r="515" ht="31.5" customHeight="1">
      <c r="A515" s="12">
        <v>45148.0</v>
      </c>
      <c r="B515" s="14" t="s">
        <v>201</v>
      </c>
      <c r="C515" s="14" t="s">
        <v>4502</v>
      </c>
      <c r="D515" s="14" t="s">
        <v>2718</v>
      </c>
      <c r="E515" s="14"/>
      <c r="F515" s="14" t="s">
        <v>4503</v>
      </c>
      <c r="G515" s="14">
        <v>4.0</v>
      </c>
      <c r="H515" s="14"/>
      <c r="I515" s="590" t="s">
        <v>2719</v>
      </c>
      <c r="J515" s="223"/>
      <c r="K515" s="14"/>
      <c r="L515" s="14" t="s">
        <v>2720</v>
      </c>
      <c r="M515" s="223" t="s">
        <v>289</v>
      </c>
      <c r="N515" s="14" t="s">
        <v>111</v>
      </c>
      <c r="O515" s="14" t="s">
        <v>565</v>
      </c>
      <c r="P515" s="14"/>
      <c r="Q515" s="14"/>
      <c r="R515" s="14"/>
      <c r="S515" s="14" t="s">
        <v>4504</v>
      </c>
      <c r="T515" s="14" t="s">
        <v>4197</v>
      </c>
      <c r="U515" s="17">
        <v>45162.0</v>
      </c>
      <c r="V515" s="14"/>
      <c r="W515" s="14"/>
      <c r="X515" s="18"/>
      <c r="Y515" s="18"/>
      <c r="Z515" s="18"/>
      <c r="AA515" s="19">
        <f t="shared" si="1"/>
        <v>8</v>
      </c>
    </row>
    <row r="516" ht="31.5" customHeight="1">
      <c r="A516" s="12">
        <v>45078.0</v>
      </c>
      <c r="B516" s="14" t="s">
        <v>4620</v>
      </c>
      <c r="C516" s="14" t="s">
        <v>2722</v>
      </c>
      <c r="D516" s="14" t="s">
        <v>2723</v>
      </c>
      <c r="E516" s="14"/>
      <c r="F516" s="14"/>
      <c r="G516" s="14" t="s">
        <v>176</v>
      </c>
      <c r="H516" s="14"/>
      <c r="I516" s="596" t="s">
        <v>2724</v>
      </c>
      <c r="J516" s="223"/>
      <c r="K516" s="14"/>
      <c r="L516" s="324" t="s">
        <v>4505</v>
      </c>
      <c r="M516" s="223"/>
      <c r="N516" s="14" t="s">
        <v>111</v>
      </c>
      <c r="O516" s="14" t="s">
        <v>216</v>
      </c>
      <c r="P516" s="14"/>
      <c r="Q516" s="14"/>
      <c r="R516" s="14"/>
      <c r="S516" s="14" t="s">
        <v>2726</v>
      </c>
      <c r="T516" s="14"/>
      <c r="U516" s="17"/>
      <c r="V516" s="14"/>
      <c r="W516" s="14"/>
      <c r="X516" s="18"/>
      <c r="Y516" s="18"/>
      <c r="Z516" s="18"/>
      <c r="AA516" s="19">
        <f t="shared" si="1"/>
        <v>6</v>
      </c>
    </row>
    <row r="517" ht="31.5" customHeight="1">
      <c r="A517" s="12">
        <v>45149.0</v>
      </c>
      <c r="B517" s="14" t="s">
        <v>4620</v>
      </c>
      <c r="C517" s="14" t="s">
        <v>2727</v>
      </c>
      <c r="D517" s="14"/>
      <c r="E517" s="14"/>
      <c r="F517" s="14"/>
      <c r="G517" s="14"/>
      <c r="H517" s="14"/>
      <c r="I517" s="590" t="s">
        <v>2728</v>
      </c>
      <c r="J517" s="223"/>
      <c r="K517" s="14"/>
      <c r="L517" s="14" t="s">
        <v>2729</v>
      </c>
      <c r="M517" s="223"/>
      <c r="N517" s="14" t="s">
        <v>111</v>
      </c>
      <c r="O517" s="14" t="s">
        <v>565</v>
      </c>
      <c r="P517" s="14"/>
      <c r="Q517" s="14"/>
      <c r="R517" s="14"/>
      <c r="S517" s="14" t="s">
        <v>2730</v>
      </c>
      <c r="T517" s="14"/>
      <c r="U517" s="17"/>
      <c r="V517" s="14"/>
      <c r="W517" s="14"/>
      <c r="X517" s="18"/>
      <c r="Y517" s="18"/>
      <c r="Z517" s="18"/>
      <c r="AA517" s="19">
        <f t="shared" si="1"/>
        <v>8</v>
      </c>
    </row>
    <row r="518" ht="31.5" customHeight="1">
      <c r="A518" s="12">
        <v>45149.0</v>
      </c>
      <c r="B518" s="14" t="s">
        <v>73</v>
      </c>
      <c r="C518" s="14" t="s">
        <v>2731</v>
      </c>
      <c r="D518" s="14" t="s">
        <v>2732</v>
      </c>
      <c r="E518" s="14"/>
      <c r="F518" s="14" t="s">
        <v>2248</v>
      </c>
      <c r="G518" s="14">
        <v>4.0</v>
      </c>
      <c r="H518" s="14"/>
      <c r="I518" s="590" t="s">
        <v>2733</v>
      </c>
      <c r="J518" s="223"/>
      <c r="K518" s="14"/>
      <c r="L518" s="14"/>
      <c r="M518" s="223"/>
      <c r="N518" s="14" t="s">
        <v>111</v>
      </c>
      <c r="O518" s="14" t="s">
        <v>13</v>
      </c>
      <c r="P518" s="14" t="s">
        <v>2734</v>
      </c>
      <c r="Q518" s="14"/>
      <c r="R518" s="14"/>
      <c r="S518" s="14" t="s">
        <v>2735</v>
      </c>
      <c r="T518" s="14" t="s">
        <v>4197</v>
      </c>
      <c r="U518" s="17"/>
      <c r="V518" s="14"/>
      <c r="W518" s="14"/>
      <c r="X518" s="18"/>
      <c r="Y518" s="18"/>
      <c r="Z518" s="18"/>
      <c r="AA518" s="19">
        <f t="shared" si="1"/>
        <v>8</v>
      </c>
    </row>
    <row r="519" ht="31.5" customHeight="1">
      <c r="A519" s="12">
        <v>45151.0</v>
      </c>
      <c r="B519" s="14" t="s">
        <v>4620</v>
      </c>
      <c r="C519" s="14" t="s">
        <v>2736</v>
      </c>
      <c r="D519" s="14" t="s">
        <v>2737</v>
      </c>
      <c r="E519" s="14"/>
      <c r="F519" s="14" t="s">
        <v>4506</v>
      </c>
      <c r="G519" s="14">
        <v>6.0</v>
      </c>
      <c r="H519" s="14"/>
      <c r="I519" s="590" t="s">
        <v>2738</v>
      </c>
      <c r="J519" s="223"/>
      <c r="K519" s="14"/>
      <c r="L519" s="14"/>
      <c r="M519" s="223"/>
      <c r="N519" s="14" t="s">
        <v>111</v>
      </c>
      <c r="O519" s="14" t="s">
        <v>13</v>
      </c>
      <c r="P519" s="14" t="s">
        <v>2739</v>
      </c>
      <c r="Q519" s="14"/>
      <c r="R519" s="14"/>
      <c r="S519" s="14" t="s">
        <v>2740</v>
      </c>
      <c r="T519" s="14" t="s">
        <v>4507</v>
      </c>
      <c r="U519" s="17"/>
      <c r="V519" s="14"/>
      <c r="W519" s="14"/>
      <c r="X519" s="18"/>
      <c r="Y519" s="18"/>
      <c r="Z519" s="18"/>
      <c r="AA519" s="19">
        <f t="shared" si="1"/>
        <v>8</v>
      </c>
    </row>
    <row r="520" ht="31.5" customHeight="1">
      <c r="A520" s="12">
        <v>45151.0</v>
      </c>
      <c r="B520" s="14" t="s">
        <v>4621</v>
      </c>
      <c r="C520" s="14"/>
      <c r="D520" s="14" t="s">
        <v>2741</v>
      </c>
      <c r="E520" s="14"/>
      <c r="F520" s="14"/>
      <c r="G520" s="14"/>
      <c r="H520" s="14"/>
      <c r="I520" s="590" t="s">
        <v>2742</v>
      </c>
      <c r="J520" s="223"/>
      <c r="K520" s="14"/>
      <c r="L520" s="14" t="s">
        <v>2743</v>
      </c>
      <c r="M520" s="223"/>
      <c r="N520" s="14" t="s">
        <v>111</v>
      </c>
      <c r="O520" s="14" t="s">
        <v>34</v>
      </c>
      <c r="P520" s="14"/>
      <c r="Q520" s="14"/>
      <c r="R520" s="14"/>
      <c r="S520" s="14" t="s">
        <v>2744</v>
      </c>
      <c r="T520" s="14"/>
      <c r="U520" s="17"/>
      <c r="V520" s="14"/>
      <c r="W520" s="14"/>
      <c r="X520" s="18"/>
      <c r="Y520" s="18"/>
      <c r="Z520" s="18"/>
      <c r="AA520" s="19">
        <f t="shared" si="1"/>
        <v>8</v>
      </c>
    </row>
    <row r="521" ht="31.5" customHeight="1">
      <c r="A521" s="12">
        <v>45152.0</v>
      </c>
      <c r="B521" s="14" t="s">
        <v>4620</v>
      </c>
      <c r="C521" s="14" t="s">
        <v>2753</v>
      </c>
      <c r="D521" s="14"/>
      <c r="E521" s="14"/>
      <c r="F521" s="14"/>
      <c r="G521" s="14"/>
      <c r="H521" s="14"/>
      <c r="I521" s="590" t="s">
        <v>2754</v>
      </c>
      <c r="J521" s="223"/>
      <c r="K521" s="14"/>
      <c r="L521" s="14"/>
      <c r="M521" s="223"/>
      <c r="N521" s="14" t="s">
        <v>111</v>
      </c>
      <c r="O521" s="14" t="s">
        <v>565</v>
      </c>
      <c r="P521" s="14"/>
      <c r="Q521" s="14"/>
      <c r="R521" s="14"/>
      <c r="S521" s="14" t="s">
        <v>2755</v>
      </c>
      <c r="T521" s="14" t="s">
        <v>4197</v>
      </c>
      <c r="U521" s="17">
        <v>45161.0</v>
      </c>
      <c r="V521" s="14"/>
      <c r="W521" s="14"/>
      <c r="X521" s="18"/>
      <c r="Y521" s="18"/>
      <c r="Z521" s="18"/>
      <c r="AA521" s="19">
        <f t="shared" si="1"/>
        <v>8</v>
      </c>
    </row>
    <row r="522" ht="31.5" customHeight="1">
      <c r="A522" s="12">
        <v>45152.0</v>
      </c>
      <c r="B522" s="14" t="s">
        <v>4620</v>
      </c>
      <c r="C522" s="14" t="s">
        <v>2756</v>
      </c>
      <c r="D522" s="14" t="s">
        <v>2757</v>
      </c>
      <c r="E522" s="14"/>
      <c r="F522" s="14" t="s">
        <v>4513</v>
      </c>
      <c r="G522" s="14">
        <v>4.0</v>
      </c>
      <c r="H522" s="14"/>
      <c r="I522" s="590" t="s">
        <v>2758</v>
      </c>
      <c r="J522" s="223"/>
      <c r="K522" s="14"/>
      <c r="L522" s="14"/>
      <c r="M522" s="223"/>
      <c r="N522" s="14" t="s">
        <v>111</v>
      </c>
      <c r="O522" s="14" t="s">
        <v>13</v>
      </c>
      <c r="P522" s="14" t="s">
        <v>2759</v>
      </c>
      <c r="Q522" s="14"/>
      <c r="R522" s="14"/>
      <c r="S522" s="14" t="s">
        <v>2760</v>
      </c>
      <c r="T522" s="14" t="s">
        <v>4197</v>
      </c>
      <c r="U522" s="17">
        <v>45169.0</v>
      </c>
      <c r="V522" s="14"/>
      <c r="W522" s="14"/>
      <c r="X522" s="18"/>
      <c r="Y522" s="18"/>
      <c r="Z522" s="18"/>
      <c r="AA522" s="19">
        <f t="shared" si="1"/>
        <v>8</v>
      </c>
    </row>
    <row r="523" ht="31.5" customHeight="1">
      <c r="A523" s="12">
        <v>45152.0</v>
      </c>
      <c r="B523" s="14" t="s">
        <v>4620</v>
      </c>
      <c r="C523" s="14"/>
      <c r="D523" s="14" t="s">
        <v>2761</v>
      </c>
      <c r="E523" s="14"/>
      <c r="F523" s="14"/>
      <c r="G523" s="14"/>
      <c r="H523" s="14"/>
      <c r="I523" s="590" t="s">
        <v>2762</v>
      </c>
      <c r="J523" s="223"/>
      <c r="K523" s="14"/>
      <c r="L523" s="16" t="s">
        <v>5949</v>
      </c>
      <c r="M523" s="223"/>
      <c r="N523" s="14" t="s">
        <v>111</v>
      </c>
      <c r="O523" s="14" t="s">
        <v>565</v>
      </c>
      <c r="P523" s="14"/>
      <c r="Q523" s="14"/>
      <c r="R523" s="14"/>
      <c r="S523" s="14" t="s">
        <v>2764</v>
      </c>
      <c r="T523" s="14" t="s">
        <v>4096</v>
      </c>
      <c r="U523" s="17">
        <v>45161.0</v>
      </c>
      <c r="V523" s="14"/>
      <c r="W523" s="14"/>
      <c r="X523" s="18"/>
      <c r="Y523" s="18"/>
      <c r="Z523" s="18"/>
      <c r="AA523" s="19">
        <f t="shared" si="1"/>
        <v>8</v>
      </c>
    </row>
    <row r="524" ht="31.5" customHeight="1">
      <c r="A524" s="12">
        <v>45153.0</v>
      </c>
      <c r="B524" s="14" t="s">
        <v>4620</v>
      </c>
      <c r="C524" s="14" t="s">
        <v>2765</v>
      </c>
      <c r="D524" s="14" t="s">
        <v>1168</v>
      </c>
      <c r="E524" s="14"/>
      <c r="F524" s="403" t="s">
        <v>4515</v>
      </c>
      <c r="G524" s="14"/>
      <c r="H524" s="14"/>
      <c r="I524" s="590" t="s">
        <v>2766</v>
      </c>
      <c r="J524" s="223"/>
      <c r="K524" s="14"/>
      <c r="L524" s="14" t="s">
        <v>2767</v>
      </c>
      <c r="M524" s="223"/>
      <c r="N524" s="14" t="s">
        <v>111</v>
      </c>
      <c r="O524" s="14" t="s">
        <v>34</v>
      </c>
      <c r="P524" s="14" t="s">
        <v>2768</v>
      </c>
      <c r="Q524" s="14"/>
      <c r="R524" s="14"/>
      <c r="S524" s="14" t="s">
        <v>2769</v>
      </c>
      <c r="T524" s="14" t="s">
        <v>4069</v>
      </c>
      <c r="U524" s="17"/>
      <c r="V524" s="14"/>
      <c r="W524" s="14"/>
      <c r="X524" s="18"/>
      <c r="Y524" s="18"/>
      <c r="Z524" s="18"/>
      <c r="AA524" s="19">
        <f t="shared" si="1"/>
        <v>8</v>
      </c>
    </row>
    <row r="525" ht="31.5" customHeight="1">
      <c r="A525" s="12">
        <v>45157.0</v>
      </c>
      <c r="B525" s="14" t="s">
        <v>4620</v>
      </c>
      <c r="C525" s="14"/>
      <c r="D525" s="537" t="s">
        <v>2780</v>
      </c>
      <c r="F525" s="659" t="s">
        <v>4519</v>
      </c>
      <c r="G525" s="14"/>
      <c r="H525" s="14"/>
      <c r="I525" s="660" t="s">
        <v>2781</v>
      </c>
      <c r="J525" s="223"/>
      <c r="K525" s="14"/>
      <c r="L525" s="14" t="s">
        <v>2782</v>
      </c>
      <c r="M525" s="223"/>
      <c r="N525" s="14" t="s">
        <v>111</v>
      </c>
      <c r="O525" s="14" t="s">
        <v>565</v>
      </c>
      <c r="P525" s="14"/>
      <c r="Q525" s="14"/>
      <c r="R525" s="14"/>
      <c r="S525" s="14" t="s">
        <v>2783</v>
      </c>
      <c r="T525" s="14" t="s">
        <v>4069</v>
      </c>
      <c r="U525" s="17"/>
      <c r="V525" s="14"/>
      <c r="W525" s="14"/>
      <c r="X525" s="18"/>
      <c r="Y525" s="18"/>
      <c r="Z525" s="18"/>
      <c r="AA525" s="19">
        <f t="shared" si="1"/>
        <v>8</v>
      </c>
    </row>
    <row r="526" ht="31.5" customHeight="1">
      <c r="A526" s="12">
        <v>45157.0</v>
      </c>
      <c r="B526" s="14" t="s">
        <v>84</v>
      </c>
      <c r="C526" s="14" t="s">
        <v>4520</v>
      </c>
      <c r="D526" s="14" t="s">
        <v>2785</v>
      </c>
      <c r="E526" s="14"/>
      <c r="F526" s="14">
        <v>2010.0</v>
      </c>
      <c r="G526" s="14">
        <v>8.0</v>
      </c>
      <c r="H526" s="14"/>
      <c r="I526" s="590" t="s">
        <v>2786</v>
      </c>
      <c r="J526" s="223"/>
      <c r="K526" s="14"/>
      <c r="L526" s="14" t="s">
        <v>2787</v>
      </c>
      <c r="M526" s="223"/>
      <c r="N526" s="14" t="s">
        <v>111</v>
      </c>
      <c r="O526" s="14" t="s">
        <v>13</v>
      </c>
      <c r="P526" s="14" t="s">
        <v>2788</v>
      </c>
      <c r="Q526" s="14"/>
      <c r="R526" s="14"/>
      <c r="S526" s="14" t="s">
        <v>2789</v>
      </c>
      <c r="T526" s="14" t="s">
        <v>4197</v>
      </c>
      <c r="U526" s="17"/>
      <c r="V526" s="14"/>
      <c r="W526" s="14"/>
      <c r="X526" s="18"/>
      <c r="Y526" s="18"/>
      <c r="Z526" s="18"/>
      <c r="AA526" s="19">
        <f t="shared" si="1"/>
        <v>8</v>
      </c>
    </row>
    <row r="527" ht="31.5" customHeight="1">
      <c r="A527" s="12">
        <v>45157.0</v>
      </c>
      <c r="B527" s="14" t="s">
        <v>703</v>
      </c>
      <c r="C527" s="14" t="s">
        <v>2790</v>
      </c>
      <c r="D527" s="14"/>
      <c r="E527" s="14"/>
      <c r="F527" s="14"/>
      <c r="G527" s="14" t="s">
        <v>2791</v>
      </c>
      <c r="H527" s="14"/>
      <c r="I527" s="590" t="s">
        <v>2792</v>
      </c>
      <c r="J527" s="223"/>
      <c r="K527" s="14"/>
      <c r="L527" s="14"/>
      <c r="M527" s="223"/>
      <c r="N527" s="14" t="s">
        <v>111</v>
      </c>
      <c r="O527" s="14" t="s">
        <v>34</v>
      </c>
      <c r="P527" s="14"/>
      <c r="Q527" s="14"/>
      <c r="R527" s="14"/>
      <c r="S527" s="14" t="s">
        <v>2793</v>
      </c>
      <c r="T527" s="14"/>
      <c r="U527" s="17"/>
      <c r="V527" s="14"/>
      <c r="W527" s="14"/>
      <c r="X527" s="18"/>
      <c r="Y527" s="18"/>
      <c r="Z527" s="18"/>
      <c r="AA527" s="19">
        <f t="shared" si="1"/>
        <v>8</v>
      </c>
    </row>
    <row r="528" ht="31.5" customHeight="1">
      <c r="A528" s="12">
        <v>45157.0</v>
      </c>
      <c r="B528" s="14" t="s">
        <v>703</v>
      </c>
      <c r="C528" s="14" t="s">
        <v>2794</v>
      </c>
      <c r="D528" s="14"/>
      <c r="E528" s="14"/>
      <c r="F528" s="14"/>
      <c r="G528" s="14">
        <v>5.0</v>
      </c>
      <c r="H528" s="14"/>
      <c r="I528" s="590" t="s">
        <v>2795</v>
      </c>
      <c r="J528" s="223"/>
      <c r="K528" s="14"/>
      <c r="L528" s="14"/>
      <c r="M528" s="223"/>
      <c r="N528" s="14" t="s">
        <v>111</v>
      </c>
      <c r="O528" s="14" t="s">
        <v>216</v>
      </c>
      <c r="P528" s="14"/>
      <c r="Q528" s="14"/>
      <c r="R528" s="14"/>
      <c r="S528" s="14" t="s">
        <v>2796</v>
      </c>
      <c r="T528" s="14" t="s">
        <v>4096</v>
      </c>
      <c r="U528" s="17">
        <v>45162.0</v>
      </c>
      <c r="V528" s="14"/>
      <c r="W528" s="14"/>
      <c r="X528" s="18"/>
      <c r="Y528" s="18"/>
      <c r="Z528" s="18"/>
      <c r="AA528" s="19">
        <f t="shared" si="1"/>
        <v>8</v>
      </c>
    </row>
    <row r="529" ht="31.5" customHeight="1">
      <c r="A529" s="12">
        <v>45157.0</v>
      </c>
      <c r="B529" s="14" t="s">
        <v>4620</v>
      </c>
      <c r="C529" s="14"/>
      <c r="D529" s="383" t="s">
        <v>2797</v>
      </c>
      <c r="E529" s="14"/>
      <c r="F529" s="403" t="s">
        <v>4521</v>
      </c>
      <c r="G529" s="14"/>
      <c r="H529" s="14"/>
      <c r="I529" s="661" t="s">
        <v>2798</v>
      </c>
      <c r="J529" s="223"/>
      <c r="K529" s="14"/>
      <c r="L529" s="14" t="s">
        <v>2799</v>
      </c>
      <c r="M529" s="223"/>
      <c r="N529" s="14" t="s">
        <v>111</v>
      </c>
      <c r="O529" s="14" t="s">
        <v>565</v>
      </c>
      <c r="P529" s="14"/>
      <c r="Q529" s="14"/>
      <c r="R529" s="14"/>
      <c r="S529" s="14" t="s">
        <v>2800</v>
      </c>
      <c r="T529" s="14"/>
      <c r="U529" s="17"/>
      <c r="V529" s="14"/>
      <c r="W529" s="14"/>
      <c r="X529" s="18"/>
      <c r="Y529" s="18"/>
      <c r="Z529" s="18"/>
      <c r="AA529" s="19">
        <f t="shared" si="1"/>
        <v>8</v>
      </c>
    </row>
    <row r="530" ht="31.5" customHeight="1">
      <c r="A530" s="12">
        <v>45159.0</v>
      </c>
      <c r="B530" s="14" t="s">
        <v>4620</v>
      </c>
      <c r="C530" s="14" t="s">
        <v>2801</v>
      </c>
      <c r="D530" s="14"/>
      <c r="E530" s="14"/>
      <c r="F530" s="14"/>
      <c r="G530" s="14"/>
      <c r="H530" s="14"/>
      <c r="I530" s="175" t="s">
        <v>2802</v>
      </c>
      <c r="J530" s="223"/>
      <c r="K530" s="14"/>
      <c r="L530" s="14" t="s">
        <v>4522</v>
      </c>
      <c r="M530" s="223"/>
      <c r="N530" s="14" t="s">
        <v>111</v>
      </c>
      <c r="O530" s="14" t="s">
        <v>34</v>
      </c>
      <c r="P530" s="14"/>
      <c r="Q530" s="14"/>
      <c r="R530" s="14"/>
      <c r="S530" s="14" t="s">
        <v>2804</v>
      </c>
      <c r="T530" s="14"/>
      <c r="U530" s="17"/>
      <c r="V530" s="14"/>
      <c r="W530" s="14"/>
      <c r="X530" s="18"/>
      <c r="Y530" s="18"/>
      <c r="Z530" s="18"/>
      <c r="AA530" s="19">
        <f t="shared" si="1"/>
        <v>8</v>
      </c>
    </row>
    <row r="531" ht="31.5" customHeight="1">
      <c r="A531" s="12">
        <v>45159.0</v>
      </c>
      <c r="B531" s="14" t="s">
        <v>4620</v>
      </c>
      <c r="C531" s="14" t="s">
        <v>2805</v>
      </c>
      <c r="D531" s="14"/>
      <c r="E531" s="14"/>
      <c r="F531" s="14"/>
      <c r="G531" s="14"/>
      <c r="H531" s="14"/>
      <c r="I531" s="175" t="s">
        <v>2806</v>
      </c>
      <c r="J531" s="223"/>
      <c r="K531" s="14"/>
      <c r="L531" s="14" t="s">
        <v>2807</v>
      </c>
      <c r="M531" s="223"/>
      <c r="N531" s="14" t="s">
        <v>111</v>
      </c>
      <c r="O531" s="14" t="s">
        <v>216</v>
      </c>
      <c r="P531" s="14"/>
      <c r="Q531" s="14"/>
      <c r="R531" s="14"/>
      <c r="S531" s="14" t="s">
        <v>2808</v>
      </c>
      <c r="T531" s="14"/>
      <c r="U531" s="17"/>
      <c r="V531" s="14"/>
      <c r="W531" s="14"/>
      <c r="X531" s="18"/>
      <c r="Y531" s="18"/>
      <c r="Z531" s="18"/>
      <c r="AA531" s="19">
        <f t="shared" si="1"/>
        <v>8</v>
      </c>
    </row>
    <row r="532" ht="31.5" customHeight="1">
      <c r="A532" s="12">
        <v>45159.0</v>
      </c>
      <c r="B532" s="14" t="s">
        <v>4620</v>
      </c>
      <c r="C532" s="14" t="s">
        <v>2809</v>
      </c>
      <c r="D532" s="14" t="s">
        <v>2810</v>
      </c>
      <c r="E532" s="14"/>
      <c r="F532" s="14">
        <v>2007.0</v>
      </c>
      <c r="G532" s="14">
        <v>10.0</v>
      </c>
      <c r="H532" s="14"/>
      <c r="I532" s="175" t="s">
        <v>2811</v>
      </c>
      <c r="J532" s="223"/>
      <c r="K532" s="14"/>
      <c r="L532" s="14" t="s">
        <v>2812</v>
      </c>
      <c r="M532" s="223"/>
      <c r="N532" s="14" t="s">
        <v>111</v>
      </c>
      <c r="O532" s="14" t="s">
        <v>565</v>
      </c>
      <c r="P532" s="14"/>
      <c r="Q532" s="14"/>
      <c r="R532" s="14"/>
      <c r="S532" s="14" t="s">
        <v>2813</v>
      </c>
      <c r="T532" s="14" t="s">
        <v>4432</v>
      </c>
      <c r="U532" s="17">
        <v>45163.0</v>
      </c>
      <c r="V532" s="14"/>
      <c r="W532" s="14"/>
      <c r="X532" s="18"/>
      <c r="Y532" s="18"/>
      <c r="Z532" s="18"/>
      <c r="AA532" s="19">
        <f t="shared" si="1"/>
        <v>8</v>
      </c>
    </row>
    <row r="533" ht="31.5" customHeight="1">
      <c r="A533" s="12">
        <v>45160.0</v>
      </c>
      <c r="B533" s="14" t="s">
        <v>4620</v>
      </c>
      <c r="C533" s="14" t="s">
        <v>2818</v>
      </c>
      <c r="D533" s="14"/>
      <c r="E533" s="14"/>
      <c r="F533" s="14"/>
      <c r="G533" s="14"/>
      <c r="H533" s="14"/>
      <c r="I533" s="175" t="s">
        <v>2819</v>
      </c>
      <c r="J533" s="223"/>
      <c r="K533" s="14"/>
      <c r="L533" s="14" t="s">
        <v>91</v>
      </c>
      <c r="M533" s="223"/>
      <c r="N533" s="14" t="s">
        <v>111</v>
      </c>
      <c r="O533" s="14" t="s">
        <v>565</v>
      </c>
      <c r="P533" s="14"/>
      <c r="Q533" s="14"/>
      <c r="R533" s="14"/>
      <c r="S533" s="14"/>
      <c r="T533" s="14" t="s">
        <v>4096</v>
      </c>
      <c r="U533" s="17">
        <v>45161.0</v>
      </c>
      <c r="V533" s="14"/>
      <c r="W533" s="14"/>
      <c r="X533" s="18"/>
      <c r="Y533" s="18"/>
      <c r="Z533" s="18"/>
      <c r="AA533" s="19">
        <f t="shared" si="1"/>
        <v>8</v>
      </c>
    </row>
    <row r="534" ht="31.5" customHeight="1">
      <c r="A534" s="12">
        <v>45160.0</v>
      </c>
      <c r="B534" s="14" t="s">
        <v>4620</v>
      </c>
      <c r="C534" s="14" t="s">
        <v>2820</v>
      </c>
      <c r="D534" s="14" t="s">
        <v>2821</v>
      </c>
      <c r="E534" s="14" t="s">
        <v>4523</v>
      </c>
      <c r="F534" s="14" t="s">
        <v>4524</v>
      </c>
      <c r="G534" s="14"/>
      <c r="H534" s="14"/>
      <c r="I534" s="175" t="s">
        <v>2822</v>
      </c>
      <c r="J534" s="223"/>
      <c r="K534" s="14"/>
      <c r="L534" s="14" t="s">
        <v>2823</v>
      </c>
      <c r="M534" s="223"/>
      <c r="N534" s="14" t="s">
        <v>111</v>
      </c>
      <c r="O534" s="14" t="s">
        <v>13</v>
      </c>
      <c r="P534" s="14" t="s">
        <v>2824</v>
      </c>
      <c r="Q534" s="14"/>
      <c r="R534" s="14"/>
      <c r="S534" s="14" t="s">
        <v>2825</v>
      </c>
      <c r="T534" s="14" t="s">
        <v>4432</v>
      </c>
      <c r="U534" s="17">
        <v>45161.0</v>
      </c>
      <c r="V534" s="14"/>
      <c r="W534" s="14"/>
      <c r="X534" s="18"/>
      <c r="Y534" s="18"/>
      <c r="Z534" s="18"/>
      <c r="AA534" s="19">
        <f t="shared" si="1"/>
        <v>8</v>
      </c>
    </row>
    <row r="535" ht="31.5" customHeight="1">
      <c r="A535" s="12">
        <v>45160.0</v>
      </c>
      <c r="B535" s="115" t="s">
        <v>4620</v>
      </c>
      <c r="C535" s="14" t="s">
        <v>2826</v>
      </c>
      <c r="D535" s="14"/>
      <c r="E535" s="14"/>
      <c r="F535" s="14"/>
      <c r="G535" s="14"/>
      <c r="H535" s="14"/>
      <c r="I535" s="590" t="s">
        <v>2827</v>
      </c>
      <c r="J535" s="223"/>
      <c r="K535" s="14"/>
      <c r="L535" s="14"/>
      <c r="M535" s="223"/>
      <c r="N535" s="14" t="s">
        <v>111</v>
      </c>
      <c r="O535" s="14" t="s">
        <v>216</v>
      </c>
      <c r="P535" s="14"/>
      <c r="Q535" s="14"/>
      <c r="R535" s="14"/>
      <c r="S535" s="14" t="s">
        <v>2828</v>
      </c>
      <c r="T535" s="14" t="s">
        <v>4096</v>
      </c>
      <c r="U535" s="17">
        <v>45161.0</v>
      </c>
      <c r="V535" s="14"/>
      <c r="W535" s="14"/>
      <c r="X535" s="18"/>
      <c r="Y535" s="18"/>
      <c r="Z535" s="18"/>
      <c r="AA535" s="19">
        <f t="shared" si="1"/>
        <v>8</v>
      </c>
    </row>
    <row r="536" ht="31.5" customHeight="1">
      <c r="A536" s="12">
        <v>45160.0</v>
      </c>
      <c r="B536" s="14" t="s">
        <v>4620</v>
      </c>
      <c r="C536" s="14" t="s">
        <v>2829</v>
      </c>
      <c r="D536" s="14"/>
      <c r="E536" s="14"/>
      <c r="F536" s="14"/>
      <c r="G536" s="14"/>
      <c r="H536" s="14"/>
      <c r="I536" s="590" t="s">
        <v>2830</v>
      </c>
      <c r="J536" s="223"/>
      <c r="K536" s="14"/>
      <c r="L536" s="14"/>
      <c r="M536" s="223"/>
      <c r="N536" s="14" t="s">
        <v>111</v>
      </c>
      <c r="O536" s="14" t="s">
        <v>216</v>
      </c>
      <c r="P536" s="14"/>
      <c r="Q536" s="14"/>
      <c r="R536" s="14"/>
      <c r="S536" s="14" t="s">
        <v>2828</v>
      </c>
      <c r="T536" s="14" t="s">
        <v>4096</v>
      </c>
      <c r="U536" s="17">
        <v>45161.0</v>
      </c>
      <c r="V536" s="14"/>
      <c r="W536" s="14"/>
      <c r="X536" s="18"/>
      <c r="Y536" s="18"/>
      <c r="Z536" s="18"/>
      <c r="AA536" s="19">
        <f t="shared" si="1"/>
        <v>8</v>
      </c>
    </row>
    <row r="537" ht="31.5" customHeight="1">
      <c r="A537" s="12">
        <v>45160.0</v>
      </c>
      <c r="B537" s="14" t="s">
        <v>4620</v>
      </c>
      <c r="C537" s="14" t="s">
        <v>2831</v>
      </c>
      <c r="D537" s="14"/>
      <c r="E537" s="14"/>
      <c r="F537" s="14"/>
      <c r="G537" s="14"/>
      <c r="H537" s="14"/>
      <c r="I537" s="590" t="s">
        <v>2832</v>
      </c>
      <c r="J537" s="223"/>
      <c r="K537" s="14"/>
      <c r="L537" s="14" t="s">
        <v>2833</v>
      </c>
      <c r="M537" s="223"/>
      <c r="N537" s="14" t="s">
        <v>111</v>
      </c>
      <c r="O537" s="14" t="s">
        <v>565</v>
      </c>
      <c r="P537" s="14"/>
      <c r="Q537" s="14"/>
      <c r="R537" s="14"/>
      <c r="S537" s="14" t="s">
        <v>2834</v>
      </c>
      <c r="T537" s="14" t="s">
        <v>4096</v>
      </c>
      <c r="U537" s="17">
        <v>45161.0</v>
      </c>
      <c r="V537" s="14"/>
      <c r="W537" s="14"/>
      <c r="X537" s="18"/>
      <c r="Y537" s="18"/>
      <c r="Z537" s="18"/>
      <c r="AA537" s="19">
        <f t="shared" si="1"/>
        <v>8</v>
      </c>
    </row>
    <row r="538" ht="31.5" customHeight="1">
      <c r="A538" s="12">
        <v>45160.0</v>
      </c>
      <c r="B538" s="14" t="s">
        <v>4620</v>
      </c>
      <c r="C538" s="14" t="s">
        <v>2835</v>
      </c>
      <c r="D538" s="14"/>
      <c r="E538" s="14"/>
      <c r="F538" s="14"/>
      <c r="G538" s="14"/>
      <c r="H538" s="14"/>
      <c r="I538" s="590" t="s">
        <v>2836</v>
      </c>
      <c r="J538" s="223"/>
      <c r="K538" s="14"/>
      <c r="L538" s="14"/>
      <c r="M538" s="223"/>
      <c r="N538" s="14" t="s">
        <v>111</v>
      </c>
      <c r="O538" s="14" t="s">
        <v>216</v>
      </c>
      <c r="P538" s="14"/>
      <c r="Q538" s="14"/>
      <c r="R538" s="14"/>
      <c r="S538" s="14" t="s">
        <v>2837</v>
      </c>
      <c r="T538" s="14" t="s">
        <v>4096</v>
      </c>
      <c r="U538" s="17">
        <v>45161.0</v>
      </c>
      <c r="V538" s="14"/>
      <c r="W538" s="14"/>
      <c r="X538" s="18"/>
      <c r="Y538" s="18"/>
      <c r="Z538" s="18"/>
      <c r="AA538" s="19">
        <f t="shared" si="1"/>
        <v>8</v>
      </c>
    </row>
    <row r="539" ht="31.5" customHeight="1">
      <c r="A539" s="12">
        <v>45160.0</v>
      </c>
      <c r="B539" s="14" t="s">
        <v>73</v>
      </c>
      <c r="C539" s="14" t="s">
        <v>2838</v>
      </c>
      <c r="D539" s="14" t="s">
        <v>2839</v>
      </c>
      <c r="E539" s="14"/>
      <c r="F539" s="14">
        <v>2012.0</v>
      </c>
      <c r="G539" s="14">
        <v>6.0</v>
      </c>
      <c r="H539" s="14"/>
      <c r="I539" s="590" t="s">
        <v>2840</v>
      </c>
      <c r="J539" s="223"/>
      <c r="K539" s="14"/>
      <c r="L539" s="14"/>
      <c r="M539" s="223"/>
      <c r="N539" s="14" t="s">
        <v>111</v>
      </c>
      <c r="O539" s="14" t="s">
        <v>13</v>
      </c>
      <c r="P539" s="14" t="s">
        <v>2841</v>
      </c>
      <c r="Q539" s="14"/>
      <c r="R539" s="14"/>
      <c r="S539" s="14" t="s">
        <v>2842</v>
      </c>
      <c r="T539" s="14" t="s">
        <v>4476</v>
      </c>
      <c r="U539" s="17">
        <v>45161.0</v>
      </c>
      <c r="V539" s="14"/>
      <c r="W539" s="14"/>
      <c r="X539" s="18"/>
      <c r="Y539" s="18"/>
      <c r="Z539" s="18"/>
      <c r="AA539" s="19">
        <f t="shared" si="1"/>
        <v>8</v>
      </c>
    </row>
    <row r="540" ht="31.5" customHeight="1">
      <c r="A540" s="12">
        <v>45161.0</v>
      </c>
      <c r="B540" s="14" t="s">
        <v>4620</v>
      </c>
      <c r="C540" s="14" t="s">
        <v>2843</v>
      </c>
      <c r="D540" s="14"/>
      <c r="E540" s="14"/>
      <c r="F540" s="14"/>
      <c r="G540" s="14"/>
      <c r="H540" s="14"/>
      <c r="I540" s="590" t="s">
        <v>2844</v>
      </c>
      <c r="J540" s="223"/>
      <c r="K540" s="14"/>
      <c r="L540" s="14"/>
      <c r="M540" s="223"/>
      <c r="N540" s="14" t="s">
        <v>111</v>
      </c>
      <c r="O540" s="14" t="s">
        <v>216</v>
      </c>
      <c r="P540" s="14"/>
      <c r="Q540" s="14"/>
      <c r="R540" s="14"/>
      <c r="S540" s="278" t="s">
        <v>2845</v>
      </c>
      <c r="T540" s="14" t="s">
        <v>4096</v>
      </c>
      <c r="U540" s="17"/>
      <c r="V540" s="14"/>
      <c r="W540" s="14"/>
      <c r="X540" s="18"/>
      <c r="Y540" s="18"/>
      <c r="Z540" s="18"/>
      <c r="AA540" s="19">
        <f t="shared" si="1"/>
        <v>8</v>
      </c>
    </row>
    <row r="541" ht="31.5" customHeight="1">
      <c r="A541" s="12">
        <v>45161.0</v>
      </c>
      <c r="B541" s="14" t="s">
        <v>703</v>
      </c>
      <c r="C541" s="14" t="s">
        <v>66</v>
      </c>
      <c r="D541" s="14"/>
      <c r="E541" s="14"/>
      <c r="F541" s="14"/>
      <c r="G541" s="14"/>
      <c r="H541" s="14"/>
      <c r="I541" s="590" t="s">
        <v>2846</v>
      </c>
      <c r="J541" s="223"/>
      <c r="K541" s="14"/>
      <c r="L541" s="14"/>
      <c r="M541" s="223"/>
      <c r="N541" s="14" t="s">
        <v>111</v>
      </c>
      <c r="O541" s="14" t="s">
        <v>216</v>
      </c>
      <c r="P541" s="14"/>
      <c r="Q541" s="14"/>
      <c r="R541" s="14"/>
      <c r="S541" s="278" t="s">
        <v>2845</v>
      </c>
      <c r="T541" s="14" t="s">
        <v>4096</v>
      </c>
      <c r="U541" s="17"/>
      <c r="V541" s="14"/>
      <c r="W541" s="14"/>
      <c r="X541" s="18"/>
      <c r="Y541" s="18"/>
      <c r="Z541" s="18"/>
      <c r="AA541" s="19">
        <f t="shared" si="1"/>
        <v>8</v>
      </c>
    </row>
    <row r="542" ht="31.5" customHeight="1">
      <c r="A542" s="12">
        <v>45161.0</v>
      </c>
      <c r="B542" s="14" t="s">
        <v>703</v>
      </c>
      <c r="C542" s="14" t="s">
        <v>2847</v>
      </c>
      <c r="D542" s="14"/>
      <c r="E542" s="14"/>
      <c r="F542" s="14"/>
      <c r="G542" s="14"/>
      <c r="H542" s="14"/>
      <c r="I542" s="590" t="s">
        <v>2848</v>
      </c>
      <c r="J542" s="223"/>
      <c r="K542" s="14"/>
      <c r="L542" s="14"/>
      <c r="M542" s="223"/>
      <c r="N542" s="14" t="s">
        <v>111</v>
      </c>
      <c r="O542" s="14" t="s">
        <v>216</v>
      </c>
      <c r="P542" s="14"/>
      <c r="Q542" s="14"/>
      <c r="R542" s="14"/>
      <c r="S542" s="278" t="s">
        <v>2845</v>
      </c>
      <c r="T542" s="14" t="s">
        <v>4096</v>
      </c>
      <c r="U542" s="17"/>
      <c r="V542" s="14"/>
      <c r="W542" s="14"/>
      <c r="X542" s="18"/>
      <c r="Y542" s="18"/>
      <c r="Z542" s="18"/>
      <c r="AA542" s="19">
        <f t="shared" si="1"/>
        <v>8</v>
      </c>
    </row>
    <row r="543" ht="31.5" customHeight="1">
      <c r="A543" s="12">
        <v>45162.0</v>
      </c>
      <c r="B543" s="14" t="s">
        <v>4620</v>
      </c>
      <c r="C543" s="14" t="s">
        <v>2849</v>
      </c>
      <c r="D543" s="14" t="s">
        <v>2850</v>
      </c>
      <c r="E543" s="14"/>
      <c r="F543" s="662" t="s">
        <v>4525</v>
      </c>
      <c r="G543" s="14">
        <v>5.0</v>
      </c>
      <c r="H543" s="14"/>
      <c r="I543" s="590" t="s">
        <v>2851</v>
      </c>
      <c r="J543" s="223"/>
      <c r="K543" s="14"/>
      <c r="L543" s="14" t="s">
        <v>2852</v>
      </c>
      <c r="M543" s="223"/>
      <c r="N543" s="14" t="s">
        <v>111</v>
      </c>
      <c r="O543" s="14" t="s">
        <v>34</v>
      </c>
      <c r="P543" s="14" t="s">
        <v>2853</v>
      </c>
      <c r="Q543" s="14"/>
      <c r="R543" s="14"/>
      <c r="S543" s="14" t="s">
        <v>2854</v>
      </c>
      <c r="T543" s="14" t="s">
        <v>4069</v>
      </c>
      <c r="U543" s="17"/>
      <c r="V543" s="14"/>
      <c r="W543" s="14"/>
      <c r="X543" s="18"/>
      <c r="Y543" s="18"/>
      <c r="Z543" s="18"/>
      <c r="AA543" s="19">
        <f t="shared" si="1"/>
        <v>8</v>
      </c>
    </row>
    <row r="544" ht="31.5" customHeight="1">
      <c r="A544" s="12">
        <v>45162.0</v>
      </c>
      <c r="B544" s="14" t="s">
        <v>4620</v>
      </c>
      <c r="C544" s="14" t="s">
        <v>2855</v>
      </c>
      <c r="D544" s="14" t="s">
        <v>2855</v>
      </c>
      <c r="E544" s="14"/>
      <c r="F544" s="14"/>
      <c r="G544" s="14"/>
      <c r="H544" s="14"/>
      <c r="I544" s="590" t="s">
        <v>2856</v>
      </c>
      <c r="J544" s="223"/>
      <c r="K544" s="14"/>
      <c r="L544" s="14" t="s">
        <v>2857</v>
      </c>
      <c r="M544" s="223"/>
      <c r="N544" s="14" t="s">
        <v>111</v>
      </c>
      <c r="O544" s="14" t="s">
        <v>565</v>
      </c>
      <c r="P544" s="14"/>
      <c r="Q544" s="14"/>
      <c r="R544" s="14"/>
      <c r="S544" s="14"/>
      <c r="T544" s="14"/>
      <c r="U544" s="17"/>
      <c r="V544" s="14"/>
      <c r="W544" s="14"/>
      <c r="X544" s="18"/>
      <c r="Y544" s="18"/>
      <c r="Z544" s="18"/>
      <c r="AA544" s="19">
        <f t="shared" si="1"/>
        <v>8</v>
      </c>
    </row>
    <row r="545" ht="31.5" customHeight="1">
      <c r="A545" s="12">
        <v>45162.0</v>
      </c>
      <c r="B545" s="14" t="s">
        <v>4621</v>
      </c>
      <c r="C545" s="14" t="s">
        <v>443</v>
      </c>
      <c r="D545" s="14"/>
      <c r="E545" s="14"/>
      <c r="F545" s="14"/>
      <c r="G545" s="14"/>
      <c r="H545" s="14"/>
      <c r="I545" s="590" t="s">
        <v>2862</v>
      </c>
      <c r="J545" s="223"/>
      <c r="K545" s="14"/>
      <c r="L545" s="14" t="s">
        <v>2863</v>
      </c>
      <c r="M545" s="223"/>
      <c r="N545" s="14" t="s">
        <v>111</v>
      </c>
      <c r="O545" s="14" t="s">
        <v>565</v>
      </c>
      <c r="P545" s="14"/>
      <c r="Q545" s="14"/>
      <c r="R545" s="14"/>
      <c r="S545" s="14" t="s">
        <v>2864</v>
      </c>
      <c r="T545" s="14" t="s">
        <v>4069</v>
      </c>
      <c r="U545" s="17"/>
      <c r="V545" s="14"/>
      <c r="W545" s="14"/>
      <c r="X545" s="18"/>
      <c r="Y545" s="18"/>
      <c r="Z545" s="18"/>
      <c r="AA545" s="19">
        <f t="shared" si="1"/>
        <v>8</v>
      </c>
    </row>
    <row r="546" ht="31.5" customHeight="1">
      <c r="A546" s="12">
        <v>45162.0</v>
      </c>
      <c r="B546" s="14" t="s">
        <v>4620</v>
      </c>
      <c r="C546" s="14" t="s">
        <v>2870</v>
      </c>
      <c r="D546" s="14" t="s">
        <v>2871</v>
      </c>
      <c r="E546" s="14"/>
      <c r="F546" s="663" t="s">
        <v>4529</v>
      </c>
      <c r="G546" s="14">
        <v>4.0</v>
      </c>
      <c r="H546" s="14"/>
      <c r="I546" s="590" t="s">
        <v>2872</v>
      </c>
      <c r="J546" s="223"/>
      <c r="K546" s="14"/>
      <c r="L546" s="14"/>
      <c r="M546" s="223"/>
      <c r="N546" s="14" t="s">
        <v>111</v>
      </c>
      <c r="O546" s="14" t="s">
        <v>13</v>
      </c>
      <c r="P546" s="14" t="s">
        <v>2873</v>
      </c>
      <c r="Q546" s="14"/>
      <c r="R546" s="14"/>
      <c r="S546" s="14" t="s">
        <v>2874</v>
      </c>
      <c r="T546" s="14" t="s">
        <v>4476</v>
      </c>
      <c r="U546" s="17">
        <v>45164.0</v>
      </c>
      <c r="V546" s="14"/>
      <c r="W546" s="14"/>
      <c r="X546" s="18"/>
      <c r="Y546" s="18"/>
      <c r="Z546" s="18"/>
      <c r="AA546" s="19">
        <f t="shared" si="1"/>
        <v>8</v>
      </c>
    </row>
    <row r="547" ht="31.5" customHeight="1">
      <c r="A547" s="12">
        <v>45163.0</v>
      </c>
      <c r="B547" s="14" t="s">
        <v>4620</v>
      </c>
      <c r="C547" s="14" t="s">
        <v>2875</v>
      </c>
      <c r="D547" s="14" t="s">
        <v>2876</v>
      </c>
      <c r="E547" s="14"/>
      <c r="F547" s="14" t="s">
        <v>4530</v>
      </c>
      <c r="G547" s="14"/>
      <c r="H547" s="14"/>
      <c r="I547" s="590" t="s">
        <v>2877</v>
      </c>
      <c r="J547" s="223"/>
      <c r="K547" s="14"/>
      <c r="L547" s="14"/>
      <c r="M547" s="223"/>
      <c r="N547" s="14" t="s">
        <v>111</v>
      </c>
      <c r="O547" s="14" t="s">
        <v>13</v>
      </c>
      <c r="P547" s="14" t="s">
        <v>2878</v>
      </c>
      <c r="Q547" s="14"/>
      <c r="R547" s="14"/>
      <c r="S547" s="14" t="s">
        <v>2879</v>
      </c>
      <c r="T547" s="14" t="s">
        <v>4096</v>
      </c>
      <c r="U547" s="17">
        <v>45174.0</v>
      </c>
      <c r="V547" s="14"/>
      <c r="W547" s="14"/>
      <c r="X547" s="18"/>
      <c r="Y547" s="18"/>
      <c r="Z547" s="18"/>
      <c r="AA547" s="19">
        <f t="shared" si="1"/>
        <v>8</v>
      </c>
    </row>
    <row r="548" ht="31.5" customHeight="1">
      <c r="A548" s="12">
        <v>45163.0</v>
      </c>
      <c r="B548" s="14" t="s">
        <v>4620</v>
      </c>
      <c r="C548" s="14" t="s">
        <v>2875</v>
      </c>
      <c r="D548" s="14" t="s">
        <v>2880</v>
      </c>
      <c r="E548" s="14"/>
      <c r="F548" s="14" t="s">
        <v>4513</v>
      </c>
      <c r="G548" s="14"/>
      <c r="H548" s="14"/>
      <c r="I548" s="590" t="s">
        <v>2877</v>
      </c>
      <c r="J548" s="223"/>
      <c r="K548" s="14"/>
      <c r="L548" s="14"/>
      <c r="M548" s="223"/>
      <c r="N548" s="14" t="s">
        <v>111</v>
      </c>
      <c r="O548" s="14" t="s">
        <v>13</v>
      </c>
      <c r="P548" s="14" t="s">
        <v>2881</v>
      </c>
      <c r="Q548" s="14"/>
      <c r="R548" s="14"/>
      <c r="S548" s="14" t="s">
        <v>2879</v>
      </c>
      <c r="T548" s="14" t="s">
        <v>4096</v>
      </c>
      <c r="U548" s="17">
        <v>45174.0</v>
      </c>
      <c r="V548" s="14"/>
      <c r="W548" s="14"/>
      <c r="X548" s="18"/>
      <c r="Y548" s="18"/>
      <c r="Z548" s="18"/>
      <c r="AA548" s="19">
        <f t="shared" si="1"/>
        <v>8</v>
      </c>
    </row>
    <row r="549" ht="31.5" customHeight="1">
      <c r="A549" s="12">
        <v>45163.0</v>
      </c>
      <c r="B549" s="14" t="s">
        <v>73</v>
      </c>
      <c r="C549" s="376" t="s">
        <v>2882</v>
      </c>
      <c r="D549" s="376"/>
      <c r="E549" s="376"/>
      <c r="F549" s="376">
        <v>2014.0</v>
      </c>
      <c r="G549" s="376">
        <v>2.0</v>
      </c>
      <c r="H549" s="376"/>
      <c r="I549" s="590">
        <v>9.05438184E8</v>
      </c>
      <c r="J549" s="376"/>
      <c r="K549" s="376"/>
      <c r="L549" s="376"/>
      <c r="M549" s="376"/>
      <c r="N549" s="14" t="s">
        <v>111</v>
      </c>
      <c r="O549" s="14" t="s">
        <v>565</v>
      </c>
      <c r="P549" s="376"/>
      <c r="Q549" s="376"/>
      <c r="R549" s="376"/>
      <c r="S549" s="333" t="s">
        <v>4531</v>
      </c>
      <c r="T549" s="376"/>
      <c r="U549" s="376"/>
      <c r="V549" s="376"/>
      <c r="W549" s="376"/>
      <c r="X549" s="398"/>
      <c r="Y549" s="398"/>
      <c r="Z549" s="398"/>
      <c r="AA549" s="19">
        <f t="shared" si="1"/>
        <v>8</v>
      </c>
    </row>
    <row r="550" ht="31.5" customHeight="1">
      <c r="A550" s="12">
        <v>45164.0</v>
      </c>
      <c r="B550" s="14" t="s">
        <v>4620</v>
      </c>
      <c r="C550" s="14" t="s">
        <v>2890</v>
      </c>
      <c r="D550" s="14" t="s">
        <v>2891</v>
      </c>
      <c r="E550" s="14"/>
      <c r="F550" s="59">
        <v>41821.0</v>
      </c>
      <c r="G550" s="14"/>
      <c r="H550" s="14"/>
      <c r="I550" s="590" t="s">
        <v>2892</v>
      </c>
      <c r="J550" s="223"/>
      <c r="K550" s="14"/>
      <c r="L550" s="14" t="s">
        <v>2893</v>
      </c>
      <c r="M550" s="223"/>
      <c r="N550" s="14" t="s">
        <v>111</v>
      </c>
      <c r="O550" s="14" t="s">
        <v>565</v>
      </c>
      <c r="P550" s="14"/>
      <c r="Q550" s="14"/>
      <c r="R550" s="14"/>
      <c r="S550" s="14" t="s">
        <v>2894</v>
      </c>
      <c r="T550" s="14"/>
      <c r="U550" s="17"/>
      <c r="V550" s="14"/>
      <c r="W550" s="14"/>
      <c r="X550" s="18"/>
      <c r="Y550" s="18"/>
      <c r="Z550" s="18"/>
      <c r="AA550" s="19">
        <f t="shared" si="1"/>
        <v>8</v>
      </c>
    </row>
    <row r="551" ht="31.5" customHeight="1">
      <c r="A551" s="12">
        <v>45164.0</v>
      </c>
      <c r="B551" s="14" t="s">
        <v>4621</v>
      </c>
      <c r="C551" s="14" t="s">
        <v>2895</v>
      </c>
      <c r="D551" s="14"/>
      <c r="E551" s="14"/>
      <c r="F551" s="14"/>
      <c r="G551" s="14"/>
      <c r="H551" s="14"/>
      <c r="I551" s="590" t="s">
        <v>2896</v>
      </c>
      <c r="J551" s="223"/>
      <c r="K551" s="14"/>
      <c r="L551" s="14" t="s">
        <v>2897</v>
      </c>
      <c r="M551" s="223"/>
      <c r="N551" s="14" t="s">
        <v>111</v>
      </c>
      <c r="O551" s="14" t="s">
        <v>34</v>
      </c>
      <c r="P551" s="14"/>
      <c r="Q551" s="14"/>
      <c r="R551" s="14"/>
      <c r="S551" s="14" t="s">
        <v>2898</v>
      </c>
      <c r="T551" s="14"/>
      <c r="U551" s="17"/>
      <c r="V551" s="14"/>
      <c r="W551" s="14"/>
      <c r="X551" s="18"/>
      <c r="Y551" s="18"/>
      <c r="Z551" s="18"/>
      <c r="AA551" s="19">
        <f t="shared" si="1"/>
        <v>8</v>
      </c>
    </row>
    <row r="552" ht="31.5" customHeight="1">
      <c r="A552" s="12">
        <v>45164.0</v>
      </c>
      <c r="B552" s="14" t="s">
        <v>4620</v>
      </c>
      <c r="C552" s="14" t="s">
        <v>2899</v>
      </c>
      <c r="D552" s="14" t="s">
        <v>2900</v>
      </c>
      <c r="E552" s="14"/>
      <c r="F552" s="132" t="s">
        <v>4534</v>
      </c>
      <c r="G552" s="14"/>
      <c r="H552" s="14"/>
      <c r="I552" s="590" t="s">
        <v>2901</v>
      </c>
      <c r="J552" s="223"/>
      <c r="K552" s="14"/>
      <c r="L552" s="14"/>
      <c r="M552" s="223"/>
      <c r="N552" s="14" t="s">
        <v>111</v>
      </c>
      <c r="O552" s="14" t="s">
        <v>13</v>
      </c>
      <c r="P552" s="14" t="s">
        <v>2902</v>
      </c>
      <c r="Q552" s="14"/>
      <c r="R552" s="14"/>
      <c r="S552" s="14" t="s">
        <v>2903</v>
      </c>
      <c r="T552" s="14"/>
      <c r="U552" s="17"/>
      <c r="V552" s="14"/>
      <c r="W552" s="14"/>
      <c r="X552" s="18"/>
      <c r="Y552" s="18"/>
      <c r="Z552" s="18"/>
      <c r="AA552" s="19">
        <f t="shared" si="1"/>
        <v>8</v>
      </c>
    </row>
    <row r="553" ht="31.5" customHeight="1">
      <c r="A553" s="12">
        <v>45164.0</v>
      </c>
      <c r="B553" s="14" t="s">
        <v>4620</v>
      </c>
      <c r="C553" s="14" t="s">
        <v>2904</v>
      </c>
      <c r="D553" s="14" t="s">
        <v>2905</v>
      </c>
      <c r="E553" s="14"/>
      <c r="F553" s="14"/>
      <c r="G553" s="14"/>
      <c r="H553" s="14"/>
      <c r="I553" s="590" t="s">
        <v>2906</v>
      </c>
      <c r="J553" s="223"/>
      <c r="K553" s="14"/>
      <c r="L553" s="14" t="s">
        <v>2907</v>
      </c>
      <c r="M553" s="223"/>
      <c r="N553" s="14" t="s">
        <v>111</v>
      </c>
      <c r="O553" s="14" t="s">
        <v>216</v>
      </c>
      <c r="P553" s="14"/>
      <c r="Q553" s="14"/>
      <c r="R553" s="14"/>
      <c r="S553" s="14" t="s">
        <v>2908</v>
      </c>
      <c r="T553" s="14"/>
      <c r="U553" s="17"/>
      <c r="V553" s="14"/>
      <c r="W553" s="14"/>
      <c r="X553" s="18"/>
      <c r="Y553" s="18"/>
      <c r="Z553" s="18"/>
      <c r="AA553" s="19">
        <f t="shared" si="1"/>
        <v>8</v>
      </c>
    </row>
    <row r="554" ht="31.5" customHeight="1">
      <c r="A554" s="12">
        <v>45164.0</v>
      </c>
      <c r="B554" s="14" t="s">
        <v>4620</v>
      </c>
      <c r="C554" s="15" t="s">
        <v>2909</v>
      </c>
      <c r="D554" s="15" t="s">
        <v>2910</v>
      </c>
      <c r="E554" s="15"/>
      <c r="F554" s="42" t="s">
        <v>4535</v>
      </c>
      <c r="G554" s="15"/>
      <c r="H554" s="15"/>
      <c r="I554" s="596" t="s">
        <v>2912</v>
      </c>
      <c r="J554" s="15"/>
      <c r="K554" s="15"/>
      <c r="L554" s="15"/>
      <c r="M554" s="223"/>
      <c r="N554" s="14" t="s">
        <v>111</v>
      </c>
      <c r="O554" s="14" t="s">
        <v>13</v>
      </c>
      <c r="P554" s="83" t="s">
        <v>2913</v>
      </c>
      <c r="Q554" s="14"/>
      <c r="R554" s="14"/>
      <c r="S554" s="14" t="s">
        <v>2914</v>
      </c>
      <c r="T554" s="14"/>
      <c r="U554" s="17"/>
      <c r="V554" s="14"/>
      <c r="W554" s="14"/>
      <c r="X554" s="18"/>
      <c r="Y554" s="18"/>
      <c r="Z554" s="18"/>
      <c r="AA554" s="19">
        <f t="shared" si="1"/>
        <v>8</v>
      </c>
    </row>
    <row r="555" ht="31.5" customHeight="1">
      <c r="A555" s="12">
        <v>45165.0</v>
      </c>
      <c r="B555" s="14" t="s">
        <v>4620</v>
      </c>
      <c r="C555" s="14" t="s">
        <v>2915</v>
      </c>
      <c r="D555" s="14"/>
      <c r="E555" s="14"/>
      <c r="F555" s="14"/>
      <c r="G555" s="14"/>
      <c r="H555" s="14"/>
      <c r="I555" s="590" t="s">
        <v>2916</v>
      </c>
      <c r="J555" s="223"/>
      <c r="K555" s="14"/>
      <c r="L555" s="14" t="s">
        <v>4536</v>
      </c>
      <c r="M555" s="223"/>
      <c r="N555" s="14" t="s">
        <v>111</v>
      </c>
      <c r="O555" s="14" t="s">
        <v>565</v>
      </c>
      <c r="P555" s="14"/>
      <c r="Q555" s="14"/>
      <c r="R555" s="14"/>
      <c r="S555" s="14" t="s">
        <v>2918</v>
      </c>
      <c r="T555" s="14" t="s">
        <v>4096</v>
      </c>
      <c r="U555" s="17"/>
      <c r="V555" s="14"/>
      <c r="W555" s="14"/>
      <c r="X555" s="18"/>
      <c r="Y555" s="18"/>
      <c r="Z555" s="18"/>
      <c r="AA555" s="19">
        <f t="shared" si="1"/>
        <v>8</v>
      </c>
    </row>
    <row r="556" ht="31.5" customHeight="1">
      <c r="A556" s="12">
        <v>45166.0</v>
      </c>
      <c r="B556" s="14" t="s">
        <v>4620</v>
      </c>
      <c r="C556" s="14"/>
      <c r="D556" s="14" t="s">
        <v>2924</v>
      </c>
      <c r="E556" s="59"/>
      <c r="F556" s="59">
        <v>41381.0</v>
      </c>
      <c r="G556" s="14"/>
      <c r="H556" s="14"/>
      <c r="I556" s="590">
        <v>9.03926853E8</v>
      </c>
      <c r="J556" s="223"/>
      <c r="K556" s="14"/>
      <c r="L556" s="14" t="s">
        <v>2925</v>
      </c>
      <c r="M556" s="223"/>
      <c r="N556" s="14" t="s">
        <v>111</v>
      </c>
      <c r="O556" s="14" t="s">
        <v>34</v>
      </c>
      <c r="P556" s="14"/>
      <c r="Q556" s="14"/>
      <c r="R556" s="14"/>
      <c r="S556" s="14" t="s">
        <v>2926</v>
      </c>
      <c r="T556" s="14" t="s">
        <v>4069</v>
      </c>
      <c r="U556" s="17"/>
      <c r="V556" s="14"/>
      <c r="W556" s="14"/>
      <c r="X556" s="18"/>
      <c r="Y556" s="18"/>
      <c r="Z556" s="18"/>
      <c r="AA556" s="19">
        <f t="shared" si="1"/>
        <v>8</v>
      </c>
    </row>
    <row r="557" ht="31.5" customHeight="1">
      <c r="A557" s="12">
        <v>45166.0</v>
      </c>
      <c r="B557" s="14" t="s">
        <v>4620</v>
      </c>
      <c r="C557" s="14" t="s">
        <v>2927</v>
      </c>
      <c r="D557" s="14"/>
      <c r="E557" s="14"/>
      <c r="F557" s="14"/>
      <c r="G557" s="14"/>
      <c r="H557" s="14"/>
      <c r="I557" s="590" t="s">
        <v>2928</v>
      </c>
      <c r="J557" s="223"/>
      <c r="K557" s="14"/>
      <c r="L557" s="14" t="s">
        <v>2929</v>
      </c>
      <c r="M557" s="223"/>
      <c r="N557" s="14" t="s">
        <v>111</v>
      </c>
      <c r="O557" s="14" t="s">
        <v>565</v>
      </c>
      <c r="P557" s="14"/>
      <c r="Q557" s="14"/>
      <c r="R557" s="14"/>
      <c r="S557" s="14" t="s">
        <v>2930</v>
      </c>
      <c r="T557" s="14"/>
      <c r="U557" s="17"/>
      <c r="V557" s="14"/>
      <c r="W557" s="14"/>
      <c r="X557" s="18"/>
      <c r="Y557" s="18"/>
      <c r="Z557" s="18"/>
      <c r="AA557" s="19">
        <f t="shared" si="1"/>
        <v>8</v>
      </c>
    </row>
    <row r="558" ht="31.5" customHeight="1">
      <c r="A558" s="12">
        <v>45166.0</v>
      </c>
      <c r="B558" s="14" t="s">
        <v>4620</v>
      </c>
      <c r="C558" s="14" t="s">
        <v>2931</v>
      </c>
      <c r="D558" s="14"/>
      <c r="E558" s="14"/>
      <c r="F558" s="14"/>
      <c r="G558" s="14"/>
      <c r="H558" s="14"/>
      <c r="I558" s="590" t="s">
        <v>2932</v>
      </c>
      <c r="J558" s="223"/>
      <c r="K558" s="14"/>
      <c r="L558" s="14"/>
      <c r="M558" s="223"/>
      <c r="N558" s="14" t="s">
        <v>111</v>
      </c>
      <c r="O558" s="14" t="s">
        <v>565</v>
      </c>
      <c r="P558" s="14"/>
      <c r="Q558" s="14"/>
      <c r="R558" s="14"/>
      <c r="S558" s="14" t="s">
        <v>2933</v>
      </c>
      <c r="T558" s="14"/>
      <c r="U558" s="17"/>
      <c r="V558" s="14"/>
      <c r="W558" s="14"/>
      <c r="X558" s="18"/>
      <c r="Y558" s="18"/>
      <c r="Z558" s="18"/>
      <c r="AA558" s="19">
        <f t="shared" si="1"/>
        <v>8</v>
      </c>
    </row>
    <row r="559" ht="31.5" customHeight="1">
      <c r="A559" s="12">
        <v>45166.0</v>
      </c>
      <c r="B559" s="14" t="s">
        <v>4620</v>
      </c>
      <c r="C559" s="14" t="s">
        <v>2934</v>
      </c>
      <c r="D559" s="14" t="s">
        <v>2935</v>
      </c>
      <c r="E559" s="14"/>
      <c r="F559" s="14" t="s">
        <v>4537</v>
      </c>
      <c r="G559" s="14"/>
      <c r="H559" s="14"/>
      <c r="I559" s="590" t="s">
        <v>2936</v>
      </c>
      <c r="J559" s="223"/>
      <c r="K559" s="664">
        <v>9.12384616E8</v>
      </c>
      <c r="L559" s="14" t="s">
        <v>2937</v>
      </c>
      <c r="M559" s="223"/>
      <c r="N559" s="14" t="s">
        <v>111</v>
      </c>
      <c r="O559" s="14" t="s">
        <v>565</v>
      </c>
      <c r="P559" s="14"/>
      <c r="Q559" s="14"/>
      <c r="R559" s="14"/>
      <c r="S559" s="14" t="s">
        <v>2938</v>
      </c>
      <c r="T559" s="14" t="s">
        <v>4197</v>
      </c>
      <c r="U559" s="17"/>
      <c r="V559" s="14"/>
      <c r="W559" s="14"/>
      <c r="X559" s="18"/>
      <c r="Y559" s="18"/>
      <c r="Z559" s="18"/>
      <c r="AA559" s="19">
        <f t="shared" si="1"/>
        <v>8</v>
      </c>
    </row>
    <row r="560" ht="31.5" customHeight="1">
      <c r="A560" s="12">
        <v>45166.0</v>
      </c>
      <c r="B560" s="115" t="s">
        <v>4620</v>
      </c>
      <c r="C560" s="14" t="s">
        <v>2939</v>
      </c>
      <c r="D560" s="14"/>
      <c r="E560" s="14"/>
      <c r="F560" s="14"/>
      <c r="G560" s="14"/>
      <c r="H560" s="14"/>
      <c r="I560" s="590" t="s">
        <v>2940</v>
      </c>
      <c r="J560" s="223"/>
      <c r="K560" s="14"/>
      <c r="L560" s="14" t="s">
        <v>2941</v>
      </c>
      <c r="M560" s="223"/>
      <c r="N560" s="14" t="s">
        <v>111</v>
      </c>
      <c r="O560" s="14" t="s">
        <v>216</v>
      </c>
      <c r="P560" s="14"/>
      <c r="Q560" s="14"/>
      <c r="R560" s="14"/>
      <c r="S560" s="14" t="s">
        <v>2942</v>
      </c>
      <c r="T560" s="14" t="s">
        <v>4096</v>
      </c>
      <c r="U560" s="17"/>
      <c r="V560" s="14"/>
      <c r="W560" s="14"/>
      <c r="X560" s="18"/>
      <c r="Y560" s="18"/>
      <c r="Z560" s="18"/>
      <c r="AA560" s="19">
        <f t="shared" si="1"/>
        <v>8</v>
      </c>
    </row>
    <row r="561" ht="31.5" customHeight="1">
      <c r="A561" s="12">
        <v>45167.0</v>
      </c>
      <c r="B561" s="115" t="s">
        <v>4620</v>
      </c>
      <c r="C561" s="14" t="s">
        <v>2943</v>
      </c>
      <c r="D561" s="14"/>
      <c r="E561" s="14"/>
      <c r="F561" s="14"/>
      <c r="G561" s="14"/>
      <c r="H561" s="14"/>
      <c r="I561" s="590" t="s">
        <v>2944</v>
      </c>
      <c r="J561" s="223"/>
      <c r="K561" s="14"/>
      <c r="L561" s="14" t="s">
        <v>2941</v>
      </c>
      <c r="M561" s="223"/>
      <c r="N561" s="14" t="s">
        <v>111</v>
      </c>
      <c r="O561" s="14" t="s">
        <v>216</v>
      </c>
      <c r="P561" s="14"/>
      <c r="Q561" s="14"/>
      <c r="R561" s="14"/>
      <c r="S561" s="14" t="s">
        <v>2942</v>
      </c>
      <c r="T561" s="14" t="s">
        <v>4096</v>
      </c>
      <c r="U561" s="17"/>
      <c r="V561" s="14"/>
      <c r="W561" s="14"/>
      <c r="X561" s="18"/>
      <c r="Y561" s="18"/>
      <c r="Z561" s="18"/>
      <c r="AA561" s="19">
        <f t="shared" si="1"/>
        <v>8</v>
      </c>
    </row>
    <row r="562" ht="31.5" customHeight="1">
      <c r="A562" s="12">
        <v>45167.0</v>
      </c>
      <c r="B562" s="14" t="s">
        <v>4620</v>
      </c>
      <c r="C562" s="14" t="s">
        <v>2945</v>
      </c>
      <c r="D562" s="14" t="s">
        <v>2946</v>
      </c>
      <c r="E562" s="14"/>
      <c r="F562" s="142">
        <v>40950.0</v>
      </c>
      <c r="G562" s="14">
        <v>6.0</v>
      </c>
      <c r="H562" s="14"/>
      <c r="I562" s="590" t="s">
        <v>2947</v>
      </c>
      <c r="J562" s="223"/>
      <c r="K562" s="14"/>
      <c r="L562" s="14"/>
      <c r="M562" s="223"/>
      <c r="N562" s="14" t="s">
        <v>111</v>
      </c>
      <c r="O562" s="14" t="s">
        <v>13</v>
      </c>
      <c r="P562" s="14" t="s">
        <v>2948</v>
      </c>
      <c r="Q562" s="14"/>
      <c r="R562" s="14"/>
      <c r="S562" s="14" t="s">
        <v>2949</v>
      </c>
      <c r="T562" s="14" t="s">
        <v>4432</v>
      </c>
      <c r="U562" s="17"/>
      <c r="V562" s="14"/>
      <c r="W562" s="14"/>
      <c r="X562" s="18"/>
      <c r="Y562" s="18"/>
      <c r="Z562" s="18"/>
      <c r="AA562" s="19">
        <f t="shared" si="1"/>
        <v>8</v>
      </c>
    </row>
    <row r="563" ht="31.5" customHeight="1">
      <c r="A563" s="12">
        <v>45167.0</v>
      </c>
      <c r="B563" s="14" t="s">
        <v>4620</v>
      </c>
      <c r="C563" s="14" t="s">
        <v>2945</v>
      </c>
      <c r="D563" s="14" t="s">
        <v>2950</v>
      </c>
      <c r="E563" s="14" t="s">
        <v>4538</v>
      </c>
      <c r="F563" s="142">
        <v>41831.0</v>
      </c>
      <c r="G563" s="14">
        <v>4.0</v>
      </c>
      <c r="H563" s="14"/>
      <c r="I563" s="590" t="s">
        <v>2947</v>
      </c>
      <c r="J563" s="223"/>
      <c r="K563" s="14"/>
      <c r="L563" s="14"/>
      <c r="M563" s="223"/>
      <c r="N563" s="14" t="s">
        <v>111</v>
      </c>
      <c r="O563" s="14" t="s">
        <v>13</v>
      </c>
      <c r="P563" s="14" t="s">
        <v>2951</v>
      </c>
      <c r="Q563" s="14"/>
      <c r="R563" s="14"/>
      <c r="S563" s="14" t="s">
        <v>2949</v>
      </c>
      <c r="T563" s="14" t="s">
        <v>4432</v>
      </c>
      <c r="U563" s="17"/>
      <c r="V563" s="14"/>
      <c r="W563" s="14"/>
      <c r="X563" s="18"/>
      <c r="Y563" s="18"/>
      <c r="Z563" s="18"/>
      <c r="AA563" s="19">
        <f t="shared" si="1"/>
        <v>8</v>
      </c>
    </row>
    <row r="564" ht="31.5" customHeight="1">
      <c r="A564" s="12">
        <v>45168.0</v>
      </c>
      <c r="B564" s="14" t="s">
        <v>4620</v>
      </c>
      <c r="C564" s="14" t="s">
        <v>2952</v>
      </c>
      <c r="D564" s="14"/>
      <c r="E564" s="14"/>
      <c r="F564" s="14"/>
      <c r="G564" s="14"/>
      <c r="H564" s="14"/>
      <c r="I564" s="590" t="s">
        <v>2953</v>
      </c>
      <c r="J564" s="223"/>
      <c r="K564" s="14"/>
      <c r="L564" s="14"/>
      <c r="M564" s="223"/>
      <c r="N564" s="14" t="s">
        <v>111</v>
      </c>
      <c r="O564" s="14" t="s">
        <v>565</v>
      </c>
      <c r="P564" s="14"/>
      <c r="Q564" s="14"/>
      <c r="R564" s="14"/>
      <c r="S564" s="14" t="s">
        <v>2954</v>
      </c>
      <c r="T564" s="14" t="s">
        <v>4432</v>
      </c>
      <c r="U564" s="17"/>
      <c r="V564" s="14"/>
      <c r="W564" s="14"/>
      <c r="X564" s="18"/>
      <c r="Y564" s="18"/>
      <c r="Z564" s="18"/>
      <c r="AA564" s="19">
        <f t="shared" si="1"/>
        <v>8</v>
      </c>
    </row>
    <row r="565" ht="31.5" customHeight="1">
      <c r="A565" s="12">
        <v>45170.0</v>
      </c>
      <c r="B565" s="14" t="s">
        <v>4620</v>
      </c>
      <c r="C565" s="14" t="s">
        <v>2960</v>
      </c>
      <c r="D565" s="14"/>
      <c r="E565" s="14"/>
      <c r="F565" s="14"/>
      <c r="G565" s="14"/>
      <c r="H565" s="14"/>
      <c r="I565" s="590" t="s">
        <v>2961</v>
      </c>
      <c r="J565" s="223"/>
      <c r="K565" s="14"/>
      <c r="L565" s="14"/>
      <c r="M565" s="223"/>
      <c r="N565" s="14" t="s">
        <v>111</v>
      </c>
      <c r="O565" s="14" t="s">
        <v>216</v>
      </c>
      <c r="P565" s="14"/>
      <c r="Q565" s="14"/>
      <c r="R565" s="14"/>
      <c r="S565" s="14" t="s">
        <v>2962</v>
      </c>
      <c r="T565" s="14"/>
      <c r="U565" s="17"/>
      <c r="V565" s="14"/>
      <c r="W565" s="14"/>
      <c r="X565" s="18"/>
      <c r="Y565" s="18"/>
      <c r="Z565" s="18"/>
      <c r="AA565" s="19">
        <f t="shared" si="1"/>
        <v>9</v>
      </c>
    </row>
    <row r="566" ht="31.5" customHeight="1">
      <c r="A566" s="12">
        <v>45175.0</v>
      </c>
      <c r="B566" s="167" t="s">
        <v>4620</v>
      </c>
      <c r="C566" s="14" t="s">
        <v>2980</v>
      </c>
      <c r="D566" s="14" t="s">
        <v>2981</v>
      </c>
      <c r="E566" s="14"/>
      <c r="F566" s="14">
        <v>2012.0</v>
      </c>
      <c r="G566" s="14">
        <v>6.0</v>
      </c>
      <c r="H566" s="14"/>
      <c r="I566" s="590" t="s">
        <v>2982</v>
      </c>
      <c r="J566" s="223"/>
      <c r="K566" s="14"/>
      <c r="L566" s="14" t="s">
        <v>2983</v>
      </c>
      <c r="M566" s="223"/>
      <c r="N566" s="14" t="s">
        <v>111</v>
      </c>
      <c r="O566" s="14" t="s">
        <v>565</v>
      </c>
      <c r="P566" s="14"/>
      <c r="Q566" s="14"/>
      <c r="R566" s="14"/>
      <c r="S566" s="285" t="s">
        <v>2984</v>
      </c>
      <c r="T566" s="665"/>
      <c r="U566" s="17"/>
      <c r="V566" s="14"/>
      <c r="W566" s="14"/>
      <c r="X566" s="18"/>
      <c r="Y566" s="18"/>
      <c r="Z566" s="18"/>
      <c r="AA566" s="19">
        <f t="shared" si="1"/>
        <v>9</v>
      </c>
    </row>
    <row r="567" ht="31.5" customHeight="1">
      <c r="A567" s="12">
        <v>45175.0</v>
      </c>
      <c r="B567" s="14" t="s">
        <v>4620</v>
      </c>
      <c r="C567" s="198"/>
      <c r="D567" s="14" t="s">
        <v>2985</v>
      </c>
      <c r="F567" s="142">
        <v>41054.0</v>
      </c>
      <c r="G567" s="14"/>
      <c r="H567" s="14"/>
      <c r="I567" s="590" t="s">
        <v>2986</v>
      </c>
      <c r="J567" s="223"/>
      <c r="K567" s="14"/>
      <c r="L567" s="14" t="s">
        <v>2987</v>
      </c>
      <c r="M567" s="223"/>
      <c r="N567" s="14" t="s">
        <v>111</v>
      </c>
      <c r="O567" s="14" t="s">
        <v>216</v>
      </c>
      <c r="P567" s="14"/>
      <c r="Q567" s="14"/>
      <c r="R567" s="14"/>
      <c r="S567" s="336" t="s">
        <v>2988</v>
      </c>
      <c r="T567" s="666"/>
      <c r="U567" s="17"/>
      <c r="V567" s="14"/>
      <c r="W567" s="14"/>
      <c r="X567" s="18"/>
      <c r="Y567" s="18"/>
      <c r="Z567" s="18"/>
      <c r="AA567" s="19">
        <f t="shared" si="1"/>
        <v>9</v>
      </c>
    </row>
    <row r="568" ht="31.5" customHeight="1">
      <c r="A568" s="12">
        <v>45175.0</v>
      </c>
      <c r="B568" s="14" t="s">
        <v>84</v>
      </c>
      <c r="C568" s="14" t="s">
        <v>2989</v>
      </c>
      <c r="D568" s="14" t="s">
        <v>2990</v>
      </c>
      <c r="E568" s="14"/>
      <c r="F568" s="142"/>
      <c r="G568" s="14"/>
      <c r="H568" s="14"/>
      <c r="I568" s="590" t="s">
        <v>2991</v>
      </c>
      <c r="J568" s="223"/>
      <c r="K568" s="14"/>
      <c r="L568" s="14" t="s">
        <v>2992</v>
      </c>
      <c r="M568" s="223"/>
      <c r="N568" s="14" t="s">
        <v>111</v>
      </c>
      <c r="O568" s="14" t="s">
        <v>34</v>
      </c>
      <c r="P568" s="14"/>
      <c r="Q568" s="14"/>
      <c r="R568" s="14"/>
      <c r="S568" s="336" t="s">
        <v>2993</v>
      </c>
      <c r="T568" s="338" t="s">
        <v>4069</v>
      </c>
      <c r="U568" s="17"/>
      <c r="V568" s="14"/>
      <c r="W568" s="14"/>
      <c r="X568" s="18"/>
      <c r="Y568" s="18"/>
      <c r="Z568" s="18"/>
      <c r="AA568" s="19">
        <f t="shared" si="1"/>
        <v>9</v>
      </c>
    </row>
    <row r="569" ht="31.5" customHeight="1">
      <c r="A569" s="12">
        <v>45175.0</v>
      </c>
      <c r="B569" s="14" t="s">
        <v>73</v>
      </c>
      <c r="C569" s="14" t="s">
        <v>3005</v>
      </c>
      <c r="D569" s="14" t="s">
        <v>3006</v>
      </c>
      <c r="E569" s="14"/>
      <c r="F569" s="14">
        <v>2011.0</v>
      </c>
      <c r="G569" s="14">
        <v>7.0</v>
      </c>
      <c r="H569" s="14"/>
      <c r="I569" s="590" t="s">
        <v>3007</v>
      </c>
      <c r="J569" s="223"/>
      <c r="K569" s="14"/>
      <c r="L569" s="14" t="s">
        <v>3008</v>
      </c>
      <c r="M569" s="223"/>
      <c r="N569" s="14" t="s">
        <v>111</v>
      </c>
      <c r="O569" s="14" t="s">
        <v>565</v>
      </c>
      <c r="P569" s="14"/>
      <c r="Q569" s="14"/>
      <c r="R569" s="14"/>
      <c r="S569" s="336" t="s">
        <v>3009</v>
      </c>
      <c r="T569" s="338" t="s">
        <v>4432</v>
      </c>
      <c r="U569" s="17"/>
      <c r="V569" s="14"/>
      <c r="W569" s="14"/>
      <c r="X569" s="18"/>
      <c r="Y569" s="18"/>
      <c r="Z569" s="18"/>
      <c r="AA569" s="19">
        <f t="shared" si="1"/>
        <v>9</v>
      </c>
    </row>
    <row r="570" ht="31.5" customHeight="1">
      <c r="A570" s="12">
        <v>45175.0</v>
      </c>
      <c r="B570" s="14" t="s">
        <v>4620</v>
      </c>
      <c r="C570" s="14" t="s">
        <v>3010</v>
      </c>
      <c r="D570" s="14" t="s">
        <v>3011</v>
      </c>
      <c r="E570" s="14"/>
      <c r="F570" s="14" t="s">
        <v>4349</v>
      </c>
      <c r="G570" s="14"/>
      <c r="H570" s="14"/>
      <c r="I570" s="590" t="s">
        <v>3012</v>
      </c>
      <c r="J570" s="223"/>
      <c r="K570" s="14"/>
      <c r="L570" s="14" t="s">
        <v>91</v>
      </c>
      <c r="M570" s="223"/>
      <c r="N570" s="14" t="s">
        <v>111</v>
      </c>
      <c r="O570" s="14" t="s">
        <v>13</v>
      </c>
      <c r="P570" s="15" t="s">
        <v>3013</v>
      </c>
      <c r="Q570" s="14"/>
      <c r="R570" s="14"/>
      <c r="S570" s="336" t="s">
        <v>3014</v>
      </c>
      <c r="T570" s="666"/>
      <c r="U570" s="17"/>
      <c r="V570" s="14"/>
      <c r="W570" s="14"/>
      <c r="X570" s="18"/>
      <c r="Y570" s="18"/>
      <c r="Z570" s="18"/>
      <c r="AA570" s="19">
        <f t="shared" si="1"/>
        <v>9</v>
      </c>
    </row>
    <row r="571" ht="31.5" customHeight="1">
      <c r="A571" s="12">
        <v>45176.0</v>
      </c>
      <c r="B571" s="14" t="s">
        <v>4620</v>
      </c>
      <c r="C571" s="14" t="s">
        <v>3030</v>
      </c>
      <c r="D571" s="14" t="s">
        <v>3031</v>
      </c>
      <c r="E571" s="14"/>
      <c r="F571" s="14" t="s">
        <v>4543</v>
      </c>
      <c r="G571" s="14"/>
      <c r="H571" s="14"/>
      <c r="I571" s="590" t="s">
        <v>3032</v>
      </c>
      <c r="J571" s="223"/>
      <c r="K571" s="14"/>
      <c r="L571" s="14" t="s">
        <v>3033</v>
      </c>
      <c r="M571" s="223"/>
      <c r="N571" s="14" t="s">
        <v>111</v>
      </c>
      <c r="O571" s="14" t="s">
        <v>34</v>
      </c>
      <c r="P571" s="14"/>
      <c r="Q571" s="14"/>
      <c r="R571" s="14"/>
      <c r="S571" s="14" t="s">
        <v>3034</v>
      </c>
      <c r="T571" s="14" t="s">
        <v>4069</v>
      </c>
      <c r="U571" s="17"/>
      <c r="V571" s="14"/>
      <c r="W571" s="14"/>
      <c r="X571" s="18"/>
      <c r="Y571" s="18"/>
      <c r="Z571" s="18"/>
      <c r="AA571" s="19">
        <f t="shared" si="1"/>
        <v>9</v>
      </c>
    </row>
    <row r="572" ht="31.5" customHeight="1">
      <c r="A572" s="12">
        <v>45177.0</v>
      </c>
      <c r="B572" s="14" t="s">
        <v>4620</v>
      </c>
      <c r="C572" s="14" t="s">
        <v>3035</v>
      </c>
      <c r="D572" s="14" t="s">
        <v>3036</v>
      </c>
      <c r="E572" s="14"/>
      <c r="F572" s="14">
        <v>2009.0</v>
      </c>
      <c r="G572" s="14">
        <v>8.0</v>
      </c>
      <c r="H572" s="14"/>
      <c r="I572" s="590" t="s">
        <v>3037</v>
      </c>
      <c r="J572" s="223"/>
      <c r="K572" s="14"/>
      <c r="L572" s="14" t="s">
        <v>3038</v>
      </c>
      <c r="M572" s="223"/>
      <c r="N572" s="14" t="s">
        <v>111</v>
      </c>
      <c r="O572" s="14" t="s">
        <v>13</v>
      </c>
      <c r="P572" s="14" t="s">
        <v>5950</v>
      </c>
      <c r="Q572" s="14"/>
      <c r="R572" s="14"/>
      <c r="S572" s="14" t="s">
        <v>3040</v>
      </c>
      <c r="T572" s="14"/>
      <c r="U572" s="17"/>
      <c r="V572" s="14"/>
      <c r="W572" s="14"/>
      <c r="X572" s="18"/>
      <c r="Y572" s="18"/>
      <c r="Z572" s="18"/>
      <c r="AA572" s="19">
        <f t="shared" si="1"/>
        <v>9</v>
      </c>
    </row>
    <row r="573" ht="31.5" customHeight="1">
      <c r="A573" s="12">
        <v>45180.0</v>
      </c>
      <c r="B573" s="14" t="s">
        <v>4620</v>
      </c>
      <c r="C573" s="14" t="s">
        <v>3041</v>
      </c>
      <c r="D573" s="14" t="s">
        <v>3042</v>
      </c>
      <c r="E573" s="14"/>
      <c r="F573" s="14"/>
      <c r="G573" s="14"/>
      <c r="H573" s="14"/>
      <c r="I573" s="590" t="s">
        <v>3043</v>
      </c>
      <c r="J573" s="223"/>
      <c r="K573" s="14"/>
      <c r="L573" s="14"/>
      <c r="M573" s="223"/>
      <c r="N573" s="14" t="s">
        <v>111</v>
      </c>
      <c r="O573" s="14" t="s">
        <v>216</v>
      </c>
      <c r="P573" s="14"/>
      <c r="Q573" s="14"/>
      <c r="R573" s="14"/>
      <c r="S573" s="14" t="s">
        <v>3044</v>
      </c>
      <c r="T573" s="14"/>
      <c r="U573" s="17"/>
      <c r="V573" s="14"/>
      <c r="W573" s="14"/>
      <c r="X573" s="18"/>
      <c r="Y573" s="18"/>
      <c r="Z573" s="18"/>
      <c r="AA573" s="19">
        <f t="shared" si="1"/>
        <v>9</v>
      </c>
    </row>
    <row r="574" ht="31.5" customHeight="1">
      <c r="A574" s="12">
        <v>45180.0</v>
      </c>
      <c r="B574" s="14" t="s">
        <v>201</v>
      </c>
      <c r="C574" s="14" t="s">
        <v>4544</v>
      </c>
      <c r="D574" s="14"/>
      <c r="E574" s="14"/>
      <c r="F574" s="14"/>
      <c r="G574" s="14"/>
      <c r="H574" s="14"/>
      <c r="I574" s="590" t="s">
        <v>3045</v>
      </c>
      <c r="J574" s="223"/>
      <c r="K574" s="14"/>
      <c r="L574" s="14"/>
      <c r="M574" s="223"/>
      <c r="N574" s="14" t="s">
        <v>111</v>
      </c>
      <c r="O574" s="14" t="s">
        <v>34</v>
      </c>
      <c r="P574" s="14"/>
      <c r="Q574" s="14"/>
      <c r="R574" s="14"/>
      <c r="S574" s="14" t="s">
        <v>3046</v>
      </c>
      <c r="T574" s="14"/>
      <c r="U574" s="17"/>
      <c r="V574" s="14"/>
      <c r="W574" s="14"/>
      <c r="X574" s="18"/>
      <c r="Y574" s="18"/>
      <c r="Z574" s="18"/>
      <c r="AA574" s="19">
        <f t="shared" si="1"/>
        <v>9</v>
      </c>
    </row>
    <row r="575" ht="31.5" customHeight="1">
      <c r="A575" s="12">
        <v>45180.0</v>
      </c>
      <c r="B575" s="14" t="s">
        <v>4620</v>
      </c>
      <c r="C575" s="14"/>
      <c r="D575" s="14" t="s">
        <v>3047</v>
      </c>
      <c r="E575" s="14"/>
      <c r="F575" s="14"/>
      <c r="G575" s="14"/>
      <c r="H575" s="14"/>
      <c r="I575" s="624" t="s">
        <v>3048</v>
      </c>
      <c r="J575" s="223"/>
      <c r="K575" s="14"/>
      <c r="L575" s="204" t="s">
        <v>4545</v>
      </c>
      <c r="M575" s="223"/>
      <c r="N575" s="14" t="s">
        <v>111</v>
      </c>
      <c r="O575" s="14" t="s">
        <v>216</v>
      </c>
      <c r="P575" s="14"/>
      <c r="Q575" s="14"/>
      <c r="R575" s="14"/>
      <c r="S575" s="14" t="s">
        <v>3050</v>
      </c>
      <c r="T575" s="14"/>
      <c r="U575" s="17"/>
      <c r="V575" s="14"/>
      <c r="W575" s="14"/>
      <c r="X575" s="18"/>
      <c r="Y575" s="18"/>
      <c r="Z575" s="18"/>
      <c r="AA575" s="19">
        <f t="shared" si="1"/>
        <v>9</v>
      </c>
    </row>
    <row r="576" ht="31.5" customHeight="1">
      <c r="A576" s="12">
        <v>45180.0</v>
      </c>
      <c r="B576" s="14" t="s">
        <v>4620</v>
      </c>
      <c r="C576" s="14"/>
      <c r="D576" s="14" t="s">
        <v>3051</v>
      </c>
      <c r="E576" s="14"/>
      <c r="F576" s="14"/>
      <c r="G576" s="14"/>
      <c r="H576" s="14"/>
      <c r="I576" s="624" t="s">
        <v>3048</v>
      </c>
      <c r="J576" s="223"/>
      <c r="K576" s="14"/>
      <c r="L576" s="204" t="s">
        <v>4545</v>
      </c>
      <c r="M576" s="223"/>
      <c r="N576" s="14" t="s">
        <v>111</v>
      </c>
      <c r="O576" s="14" t="s">
        <v>216</v>
      </c>
      <c r="P576" s="14"/>
      <c r="Q576" s="14"/>
      <c r="R576" s="14"/>
      <c r="S576" s="14" t="s">
        <v>3052</v>
      </c>
      <c r="T576" s="14"/>
      <c r="U576" s="17"/>
      <c r="V576" s="14"/>
      <c r="W576" s="14"/>
      <c r="X576" s="18"/>
      <c r="Y576" s="18"/>
      <c r="Z576" s="18"/>
      <c r="AA576" s="19">
        <f t="shared" si="1"/>
        <v>9</v>
      </c>
    </row>
    <row r="577" ht="31.5" customHeight="1">
      <c r="A577" s="12">
        <v>45180.0</v>
      </c>
      <c r="B577" s="14" t="s">
        <v>4620</v>
      </c>
      <c r="C577" s="14"/>
      <c r="D577" s="14" t="s">
        <v>3053</v>
      </c>
      <c r="E577" s="14"/>
      <c r="F577" s="59">
        <v>43538.0</v>
      </c>
      <c r="G577" s="14"/>
      <c r="H577" s="14"/>
      <c r="I577" s="590" t="s">
        <v>3054</v>
      </c>
      <c r="J577" s="223"/>
      <c r="K577" s="14"/>
      <c r="L577" s="204" t="s">
        <v>4545</v>
      </c>
      <c r="M577" s="223"/>
      <c r="N577" s="14" t="s">
        <v>111</v>
      </c>
      <c r="O577" s="14" t="s">
        <v>565</v>
      </c>
      <c r="P577" s="14"/>
      <c r="Q577" s="14"/>
      <c r="R577" s="14"/>
      <c r="S577" s="14" t="s">
        <v>3055</v>
      </c>
      <c r="T577" s="14"/>
      <c r="U577" s="17"/>
      <c r="V577" s="14"/>
      <c r="W577" s="14"/>
      <c r="X577" s="18"/>
      <c r="Y577" s="18"/>
      <c r="Z577" s="18"/>
      <c r="AA577" s="19">
        <f t="shared" si="1"/>
        <v>9</v>
      </c>
    </row>
    <row r="578" ht="31.5" customHeight="1">
      <c r="A578" s="12">
        <v>45180.0</v>
      </c>
      <c r="B578" s="14" t="s">
        <v>4620</v>
      </c>
      <c r="C578" s="14"/>
      <c r="D578" s="14" t="s">
        <v>3056</v>
      </c>
      <c r="E578" s="14"/>
      <c r="F578" s="59">
        <v>41039.0</v>
      </c>
      <c r="G578" s="14"/>
      <c r="H578" s="14"/>
      <c r="I578" s="590" t="s">
        <v>3057</v>
      </c>
      <c r="J578" s="223"/>
      <c r="K578" s="14"/>
      <c r="L578" s="204" t="s">
        <v>4545</v>
      </c>
      <c r="M578" s="223"/>
      <c r="N578" s="14" t="s">
        <v>111</v>
      </c>
      <c r="O578" s="14" t="s">
        <v>565</v>
      </c>
      <c r="P578" s="14"/>
      <c r="Q578" s="14"/>
      <c r="R578" s="14"/>
      <c r="S578" s="14" t="s">
        <v>3058</v>
      </c>
      <c r="T578" s="14"/>
      <c r="U578" s="17"/>
      <c r="V578" s="14"/>
      <c r="W578" s="14"/>
      <c r="X578" s="18"/>
      <c r="Y578" s="18"/>
      <c r="Z578" s="18"/>
      <c r="AA578" s="19">
        <f t="shared" si="1"/>
        <v>9</v>
      </c>
    </row>
    <row r="579" ht="31.5" customHeight="1">
      <c r="A579" s="12">
        <v>45180.0</v>
      </c>
      <c r="B579" s="14" t="s">
        <v>4620</v>
      </c>
      <c r="C579" s="14"/>
      <c r="D579" s="14" t="s">
        <v>3059</v>
      </c>
      <c r="E579" s="14"/>
      <c r="F579" s="59">
        <v>41519.0</v>
      </c>
      <c r="G579" s="14"/>
      <c r="H579" s="14"/>
      <c r="I579" s="590" t="s">
        <v>3060</v>
      </c>
      <c r="J579" s="223"/>
      <c r="K579" s="14"/>
      <c r="L579" s="204" t="s">
        <v>4545</v>
      </c>
      <c r="M579" s="223"/>
      <c r="N579" s="14" t="s">
        <v>111</v>
      </c>
      <c r="O579" s="14" t="s">
        <v>565</v>
      </c>
      <c r="P579" s="14"/>
      <c r="Q579" s="14"/>
      <c r="R579" s="14"/>
      <c r="S579" s="14" t="s">
        <v>3061</v>
      </c>
      <c r="T579" s="14"/>
      <c r="U579" s="17"/>
      <c r="V579" s="14"/>
      <c r="W579" s="14"/>
      <c r="X579" s="18"/>
      <c r="Y579" s="18"/>
      <c r="Z579" s="18"/>
      <c r="AA579" s="19">
        <f t="shared" si="1"/>
        <v>9</v>
      </c>
    </row>
    <row r="580" ht="31.5" customHeight="1">
      <c r="A580" s="12">
        <v>45180.0</v>
      </c>
      <c r="B580" s="14" t="s">
        <v>4620</v>
      </c>
      <c r="C580" s="14"/>
      <c r="D580" s="14" t="s">
        <v>3062</v>
      </c>
      <c r="E580" s="14"/>
      <c r="F580" s="14" t="s">
        <v>4131</v>
      </c>
      <c r="G580" s="14"/>
      <c r="H580" s="14"/>
      <c r="I580" s="590" t="s">
        <v>3063</v>
      </c>
      <c r="J580" s="223"/>
      <c r="K580" s="14"/>
      <c r="L580" s="204" t="s">
        <v>4545</v>
      </c>
      <c r="M580" s="223"/>
      <c r="N580" s="14" t="s">
        <v>111</v>
      </c>
      <c r="O580" s="14" t="s">
        <v>565</v>
      </c>
      <c r="P580" s="14"/>
      <c r="Q580" s="14"/>
      <c r="R580" s="14"/>
      <c r="S580" s="14" t="s">
        <v>3064</v>
      </c>
      <c r="T580" s="14"/>
      <c r="U580" s="17"/>
      <c r="V580" s="14"/>
      <c r="W580" s="14"/>
      <c r="X580" s="18"/>
      <c r="Y580" s="18"/>
      <c r="Z580" s="18"/>
      <c r="AA580" s="19">
        <f t="shared" si="1"/>
        <v>9</v>
      </c>
    </row>
    <row r="581" ht="31.5" customHeight="1">
      <c r="A581" s="12">
        <v>45180.0</v>
      </c>
      <c r="B581" s="14" t="s">
        <v>4620</v>
      </c>
      <c r="C581" s="14"/>
      <c r="D581" s="14" t="s">
        <v>3065</v>
      </c>
      <c r="E581" s="14"/>
      <c r="F581" s="59">
        <v>42756.0</v>
      </c>
      <c r="G581" s="14"/>
      <c r="H581" s="14"/>
      <c r="I581" s="590" t="s">
        <v>3066</v>
      </c>
      <c r="J581" s="223"/>
      <c r="K581" s="14"/>
      <c r="L581" s="204" t="s">
        <v>4545</v>
      </c>
      <c r="M581" s="223"/>
      <c r="N581" s="14" t="s">
        <v>111</v>
      </c>
      <c r="O581" s="14" t="s">
        <v>216</v>
      </c>
      <c r="P581" s="14"/>
      <c r="Q581" s="14"/>
      <c r="R581" s="14"/>
      <c r="S581" s="14" t="s">
        <v>3067</v>
      </c>
      <c r="T581" s="14"/>
      <c r="U581" s="17"/>
      <c r="V581" s="14"/>
      <c r="W581" s="14"/>
      <c r="X581" s="18"/>
      <c r="Y581" s="18"/>
      <c r="Z581" s="18"/>
      <c r="AA581" s="19">
        <f t="shared" si="1"/>
        <v>9</v>
      </c>
    </row>
    <row r="582" ht="31.5" customHeight="1">
      <c r="A582" s="12">
        <v>45181.0</v>
      </c>
      <c r="B582" s="14" t="s">
        <v>4620</v>
      </c>
      <c r="C582" s="14"/>
      <c r="D582" s="14" t="s">
        <v>3068</v>
      </c>
      <c r="E582" s="14" t="s">
        <v>4546</v>
      </c>
      <c r="F582" s="14">
        <v>2013.0</v>
      </c>
      <c r="G582" s="14"/>
      <c r="H582" s="14"/>
      <c r="I582" s="590" t="s">
        <v>3069</v>
      </c>
      <c r="J582" s="223"/>
      <c r="K582" s="14"/>
      <c r="L582" s="204" t="s">
        <v>4545</v>
      </c>
      <c r="M582" s="223"/>
      <c r="N582" s="14" t="s">
        <v>111</v>
      </c>
      <c r="O582" s="14" t="s">
        <v>565</v>
      </c>
      <c r="P582" s="14"/>
      <c r="Q582" s="14"/>
      <c r="R582" s="14"/>
      <c r="S582" s="14" t="s">
        <v>3070</v>
      </c>
      <c r="T582" s="14"/>
      <c r="U582" s="17"/>
      <c r="V582" s="14"/>
      <c r="W582" s="14"/>
      <c r="X582" s="18"/>
      <c r="Y582" s="18"/>
      <c r="Z582" s="18"/>
      <c r="AA582" s="19">
        <f t="shared" si="1"/>
        <v>9</v>
      </c>
    </row>
    <row r="583" ht="31.5" customHeight="1">
      <c r="A583" s="12">
        <v>45181.0</v>
      </c>
      <c r="B583" s="14" t="s">
        <v>4620</v>
      </c>
      <c r="C583" s="14"/>
      <c r="D583" s="14" t="s">
        <v>3071</v>
      </c>
      <c r="E583" s="14"/>
      <c r="F583" s="14" t="s">
        <v>4547</v>
      </c>
      <c r="G583" s="14"/>
      <c r="H583" s="14"/>
      <c r="I583" s="590" t="s">
        <v>3072</v>
      </c>
      <c r="J583" s="223"/>
      <c r="K583" s="14"/>
      <c r="L583" s="204" t="s">
        <v>4545</v>
      </c>
      <c r="M583" s="223"/>
      <c r="N583" s="14" t="s">
        <v>111</v>
      </c>
      <c r="O583" s="14" t="s">
        <v>565</v>
      </c>
      <c r="P583" s="14"/>
      <c r="Q583" s="14"/>
      <c r="R583" s="14"/>
      <c r="S583" s="14" t="s">
        <v>3073</v>
      </c>
      <c r="T583" s="14"/>
      <c r="U583" s="17"/>
      <c r="V583" s="14"/>
      <c r="W583" s="14"/>
      <c r="X583" s="18"/>
      <c r="Y583" s="18"/>
      <c r="Z583" s="18"/>
      <c r="AA583" s="19">
        <f t="shared" si="1"/>
        <v>9</v>
      </c>
    </row>
    <row r="584" ht="31.5" customHeight="1">
      <c r="A584" s="12">
        <v>45181.0</v>
      </c>
      <c r="B584" s="14" t="s">
        <v>4620</v>
      </c>
      <c r="C584" s="14" t="s">
        <v>3074</v>
      </c>
      <c r="D584" s="14" t="s">
        <v>3075</v>
      </c>
      <c r="E584" s="14"/>
      <c r="F584" s="59">
        <v>42399.0</v>
      </c>
      <c r="G584" s="14"/>
      <c r="H584" s="14"/>
      <c r="I584" s="590" t="s">
        <v>1478</v>
      </c>
      <c r="J584" s="223"/>
      <c r="K584" s="14"/>
      <c r="L584" s="204" t="s">
        <v>4545</v>
      </c>
      <c r="M584" s="223"/>
      <c r="N584" s="14" t="s">
        <v>111</v>
      </c>
      <c r="O584" s="14" t="s">
        <v>13</v>
      </c>
      <c r="P584" s="14" t="s">
        <v>3076</v>
      </c>
      <c r="Q584" s="14"/>
      <c r="R584" s="14"/>
      <c r="S584" s="14" t="s">
        <v>3077</v>
      </c>
      <c r="T584" s="14" t="s">
        <v>4548</v>
      </c>
      <c r="U584" s="17"/>
      <c r="V584" s="14"/>
      <c r="W584" s="14"/>
      <c r="X584" s="18"/>
      <c r="Y584" s="18"/>
      <c r="Z584" s="18"/>
      <c r="AA584" s="19">
        <f t="shared" si="1"/>
        <v>9</v>
      </c>
    </row>
    <row r="585" ht="31.5" customHeight="1">
      <c r="A585" s="12">
        <v>45181.0</v>
      </c>
      <c r="B585" s="14" t="s">
        <v>4620</v>
      </c>
      <c r="C585" s="14" t="s">
        <v>3078</v>
      </c>
      <c r="D585" s="14" t="s">
        <v>3079</v>
      </c>
      <c r="E585" s="14"/>
      <c r="F585" s="14">
        <v>2014.0</v>
      </c>
      <c r="G585" s="14">
        <v>4.0</v>
      </c>
      <c r="H585" s="14"/>
      <c r="I585" s="590" t="s">
        <v>3080</v>
      </c>
      <c r="J585" s="223"/>
      <c r="K585" s="14"/>
      <c r="L585" s="14"/>
      <c r="M585" s="223"/>
      <c r="N585" s="14" t="s">
        <v>111</v>
      </c>
      <c r="O585" s="14" t="s">
        <v>13</v>
      </c>
      <c r="P585" s="14" t="s">
        <v>3081</v>
      </c>
      <c r="Q585" s="14"/>
      <c r="R585" s="14"/>
      <c r="S585" s="14" t="s">
        <v>3082</v>
      </c>
      <c r="T585" s="14" t="s">
        <v>4197</v>
      </c>
      <c r="U585" s="17"/>
      <c r="V585" s="14"/>
      <c r="W585" s="14"/>
      <c r="X585" s="18"/>
      <c r="Y585" s="18"/>
      <c r="Z585" s="18"/>
      <c r="AA585" s="19">
        <f t="shared" si="1"/>
        <v>9</v>
      </c>
    </row>
    <row r="586" ht="31.5" customHeight="1">
      <c r="A586" s="12">
        <v>45185.0</v>
      </c>
      <c r="B586" s="14" t="s">
        <v>4620</v>
      </c>
      <c r="C586" s="14" t="s">
        <v>3083</v>
      </c>
      <c r="D586" s="14"/>
      <c r="E586" s="14"/>
      <c r="F586" s="14"/>
      <c r="G586" s="14"/>
      <c r="H586" s="14"/>
      <c r="I586" s="590" t="s">
        <v>3084</v>
      </c>
      <c r="J586" s="223"/>
      <c r="K586" s="14"/>
      <c r="L586" s="14" t="s">
        <v>3085</v>
      </c>
      <c r="M586" s="223"/>
      <c r="N586" s="14" t="s">
        <v>111</v>
      </c>
      <c r="O586" s="14" t="s">
        <v>565</v>
      </c>
      <c r="P586" s="14"/>
      <c r="Q586" s="14"/>
      <c r="R586" s="14"/>
      <c r="S586" s="14" t="s">
        <v>3086</v>
      </c>
      <c r="T586" s="14" t="s">
        <v>4197</v>
      </c>
      <c r="U586" s="17"/>
      <c r="V586" s="14"/>
      <c r="W586" s="14"/>
      <c r="X586" s="18"/>
      <c r="Y586" s="18"/>
      <c r="Z586" s="18"/>
      <c r="AA586" s="19">
        <f t="shared" si="1"/>
        <v>9</v>
      </c>
    </row>
    <row r="587" ht="31.5" customHeight="1">
      <c r="A587" s="12">
        <v>45185.0</v>
      </c>
      <c r="B587" s="14" t="s">
        <v>4620</v>
      </c>
      <c r="C587" s="14" t="s">
        <v>3087</v>
      </c>
      <c r="D587" s="14" t="s">
        <v>3088</v>
      </c>
      <c r="E587" s="14"/>
      <c r="F587" s="59">
        <v>40681.0</v>
      </c>
      <c r="G587" s="14">
        <v>7.0</v>
      </c>
      <c r="H587" s="14"/>
      <c r="I587" s="590" t="s">
        <v>3089</v>
      </c>
      <c r="J587" s="223"/>
      <c r="K587" s="14"/>
      <c r="L587" s="14" t="s">
        <v>3090</v>
      </c>
      <c r="M587" s="223"/>
      <c r="N587" s="14" t="s">
        <v>111</v>
      </c>
      <c r="O587" s="14" t="s">
        <v>216</v>
      </c>
      <c r="P587" s="14"/>
      <c r="Q587" s="14"/>
      <c r="R587" s="14"/>
      <c r="S587" s="14" t="s">
        <v>3091</v>
      </c>
      <c r="T587" s="14"/>
      <c r="U587" s="17"/>
      <c r="V587" s="14"/>
      <c r="W587" s="14"/>
      <c r="X587" s="18"/>
      <c r="Y587" s="18"/>
      <c r="Z587" s="18"/>
      <c r="AA587" s="19">
        <f t="shared" si="1"/>
        <v>9</v>
      </c>
    </row>
    <row r="588" ht="31.5" customHeight="1">
      <c r="A588" s="12">
        <v>45185.0</v>
      </c>
      <c r="B588" s="14" t="s">
        <v>201</v>
      </c>
      <c r="C588" s="14" t="s">
        <v>4549</v>
      </c>
      <c r="D588" s="14" t="s">
        <v>3093</v>
      </c>
      <c r="E588" s="14"/>
      <c r="F588" s="14">
        <v>2012.0</v>
      </c>
      <c r="G588" s="14">
        <v>6.0</v>
      </c>
      <c r="H588" s="14"/>
      <c r="I588" s="590" t="s">
        <v>3094</v>
      </c>
      <c r="J588" s="223"/>
      <c r="K588" s="14"/>
      <c r="L588" s="14" t="s">
        <v>3095</v>
      </c>
      <c r="M588" s="223"/>
      <c r="N588" s="14" t="s">
        <v>111</v>
      </c>
      <c r="O588" s="14" t="s">
        <v>565</v>
      </c>
      <c r="P588" s="14"/>
      <c r="Q588" s="14"/>
      <c r="R588" s="14"/>
      <c r="S588" s="14" t="s">
        <v>3096</v>
      </c>
      <c r="T588" s="14" t="s">
        <v>4197</v>
      </c>
      <c r="U588" s="17"/>
      <c r="V588" s="14"/>
      <c r="W588" s="14"/>
      <c r="X588" s="18"/>
      <c r="Y588" s="18"/>
      <c r="Z588" s="18"/>
      <c r="AA588" s="19">
        <f t="shared" si="1"/>
        <v>9</v>
      </c>
    </row>
    <row r="589" ht="31.5" customHeight="1">
      <c r="A589" s="12">
        <v>45185.0</v>
      </c>
      <c r="B589" s="14" t="s">
        <v>201</v>
      </c>
      <c r="C589" s="14" t="s">
        <v>4549</v>
      </c>
      <c r="D589" s="14" t="s">
        <v>3097</v>
      </c>
      <c r="E589" s="14"/>
      <c r="F589" s="14">
        <v>2013.0</v>
      </c>
      <c r="G589" s="14">
        <v>5.0</v>
      </c>
      <c r="H589" s="14"/>
      <c r="I589" s="590" t="s">
        <v>3094</v>
      </c>
      <c r="J589" s="223"/>
      <c r="K589" s="14"/>
      <c r="L589" s="14" t="s">
        <v>3095</v>
      </c>
      <c r="M589" s="223"/>
      <c r="N589" s="14" t="s">
        <v>111</v>
      </c>
      <c r="O589" s="14" t="s">
        <v>565</v>
      </c>
      <c r="P589" s="14"/>
      <c r="Q589" s="14"/>
      <c r="R589" s="14"/>
      <c r="S589" s="14" t="s">
        <v>3096</v>
      </c>
      <c r="T589" s="14" t="s">
        <v>4197</v>
      </c>
      <c r="U589" s="17"/>
      <c r="V589" s="14"/>
      <c r="W589" s="14"/>
      <c r="X589" s="18"/>
      <c r="Y589" s="18"/>
      <c r="Z589" s="18"/>
      <c r="AA589" s="19">
        <f t="shared" si="1"/>
        <v>9</v>
      </c>
    </row>
    <row r="590" ht="31.5" customHeight="1">
      <c r="A590" s="12">
        <v>45186.0</v>
      </c>
      <c r="B590" s="14" t="s">
        <v>4620</v>
      </c>
      <c r="C590" s="14" t="s">
        <v>1511</v>
      </c>
      <c r="D590" s="14" t="s">
        <v>3098</v>
      </c>
      <c r="E590" s="14"/>
      <c r="F590" s="14" t="s">
        <v>4178</v>
      </c>
      <c r="G590" s="14">
        <v>1.0</v>
      </c>
      <c r="H590" s="14"/>
      <c r="I590" s="590" t="s">
        <v>3099</v>
      </c>
      <c r="J590" s="223"/>
      <c r="K590" s="14"/>
      <c r="L590" s="14" t="s">
        <v>3100</v>
      </c>
      <c r="M590" s="223"/>
      <c r="N590" s="14" t="s">
        <v>111</v>
      </c>
      <c r="O590" s="14" t="s">
        <v>565</v>
      </c>
      <c r="P590" s="14"/>
      <c r="Q590" s="14"/>
      <c r="R590" s="14"/>
      <c r="S590" s="14" t="s">
        <v>3101</v>
      </c>
      <c r="T590" s="14"/>
      <c r="U590" s="17"/>
      <c r="V590" s="14"/>
      <c r="W590" s="14"/>
      <c r="X590" s="18"/>
      <c r="Y590" s="18"/>
      <c r="Z590" s="18"/>
      <c r="AA590" s="19">
        <f t="shared" si="1"/>
        <v>9</v>
      </c>
    </row>
    <row r="591" ht="31.5" customHeight="1">
      <c r="A591" s="12">
        <v>45186.0</v>
      </c>
      <c r="B591" s="14" t="s">
        <v>84</v>
      </c>
      <c r="C591" s="14" t="s">
        <v>3102</v>
      </c>
      <c r="D591" s="14" t="s">
        <v>3103</v>
      </c>
      <c r="E591" s="14"/>
      <c r="F591" s="14">
        <v>2013.0</v>
      </c>
      <c r="G591" s="14">
        <v>5.0</v>
      </c>
      <c r="H591" s="14"/>
      <c r="I591" s="175">
        <v>9.09310065E8</v>
      </c>
      <c r="J591" s="223"/>
      <c r="K591" s="14"/>
      <c r="L591" s="14" t="s">
        <v>3104</v>
      </c>
      <c r="M591" s="223"/>
      <c r="N591" s="14" t="s">
        <v>111</v>
      </c>
      <c r="O591" s="14" t="s">
        <v>13</v>
      </c>
      <c r="P591" s="14" t="s">
        <v>3105</v>
      </c>
      <c r="Q591" s="14"/>
      <c r="R591" s="14"/>
      <c r="S591" s="14" t="s">
        <v>3106</v>
      </c>
      <c r="T591" s="14" t="s">
        <v>4432</v>
      </c>
      <c r="U591" s="17"/>
      <c r="V591" s="14"/>
      <c r="W591" s="14"/>
      <c r="X591" s="18"/>
      <c r="Y591" s="18"/>
      <c r="Z591" s="18"/>
      <c r="AA591" s="19">
        <f t="shared" si="1"/>
        <v>9</v>
      </c>
    </row>
    <row r="592" ht="31.5" customHeight="1">
      <c r="A592" s="12">
        <v>45186.0</v>
      </c>
      <c r="B592" s="14" t="s">
        <v>4620</v>
      </c>
      <c r="C592" s="14" t="s">
        <v>3107</v>
      </c>
      <c r="D592" s="14" t="s">
        <v>3108</v>
      </c>
      <c r="E592" s="14"/>
      <c r="F592" s="59">
        <v>42446.0</v>
      </c>
      <c r="G592" s="14">
        <v>2.0</v>
      </c>
      <c r="H592" s="14"/>
      <c r="I592" s="590" t="s">
        <v>3109</v>
      </c>
      <c r="J592" s="223"/>
      <c r="K592" s="14"/>
      <c r="L592" s="14" t="s">
        <v>3110</v>
      </c>
      <c r="M592" s="223"/>
      <c r="N592" s="14" t="s">
        <v>111</v>
      </c>
      <c r="O592" s="14" t="s">
        <v>565</v>
      </c>
      <c r="P592" s="14"/>
      <c r="Q592" s="14"/>
      <c r="R592" s="14"/>
      <c r="S592" s="14" t="s">
        <v>3111</v>
      </c>
      <c r="T592" s="14"/>
      <c r="U592" s="17"/>
      <c r="V592" s="14"/>
      <c r="W592" s="14"/>
      <c r="X592" s="18"/>
      <c r="Y592" s="18"/>
      <c r="Z592" s="18"/>
      <c r="AA592" s="19">
        <f t="shared" si="1"/>
        <v>9</v>
      </c>
    </row>
    <row r="593" ht="31.5" customHeight="1">
      <c r="A593" s="12">
        <v>45186.0</v>
      </c>
      <c r="B593" s="14" t="s">
        <v>4620</v>
      </c>
      <c r="C593" s="14" t="s">
        <v>3112</v>
      </c>
      <c r="D593" s="14" t="s">
        <v>3113</v>
      </c>
      <c r="E593" s="14"/>
      <c r="F593" s="59">
        <v>41293.0</v>
      </c>
      <c r="G593" s="14">
        <v>5.0</v>
      </c>
      <c r="H593" s="14"/>
      <c r="I593" s="590" t="s">
        <v>3114</v>
      </c>
      <c r="J593" s="223"/>
      <c r="K593" s="14"/>
      <c r="L593" s="14" t="s">
        <v>3115</v>
      </c>
      <c r="M593" s="223"/>
      <c r="N593" s="14" t="s">
        <v>111</v>
      </c>
      <c r="O593" s="14" t="s">
        <v>216</v>
      </c>
      <c r="P593" s="14"/>
      <c r="Q593" s="14"/>
      <c r="R593" s="14"/>
      <c r="S593" s="14" t="s">
        <v>3116</v>
      </c>
      <c r="T593" s="14" t="s">
        <v>4096</v>
      </c>
      <c r="U593" s="17"/>
      <c r="V593" s="14"/>
      <c r="W593" s="14"/>
      <c r="X593" s="18"/>
      <c r="Y593" s="18"/>
      <c r="Z593" s="18"/>
      <c r="AA593" s="19">
        <f t="shared" si="1"/>
        <v>9</v>
      </c>
    </row>
    <row r="594" ht="31.5" customHeight="1">
      <c r="A594" s="12">
        <v>45187.0</v>
      </c>
      <c r="B594" s="14" t="s">
        <v>4620</v>
      </c>
      <c r="C594" s="14"/>
      <c r="D594" s="14" t="s">
        <v>3117</v>
      </c>
      <c r="E594" s="14"/>
      <c r="F594" s="14"/>
      <c r="G594" s="14"/>
      <c r="H594" s="14"/>
      <c r="I594" s="590" t="s">
        <v>3118</v>
      </c>
      <c r="J594" s="223"/>
      <c r="K594" s="14"/>
      <c r="L594" s="14" t="s">
        <v>3119</v>
      </c>
      <c r="M594" s="223"/>
      <c r="N594" s="14" t="s">
        <v>111</v>
      </c>
      <c r="O594" s="14" t="s">
        <v>565</v>
      </c>
      <c r="P594" s="14" t="s">
        <v>3120</v>
      </c>
      <c r="Q594" s="14"/>
      <c r="R594" s="14"/>
      <c r="S594" s="14" t="s">
        <v>3121</v>
      </c>
      <c r="T594" s="14" t="s">
        <v>4197</v>
      </c>
      <c r="U594" s="17"/>
      <c r="V594" s="14"/>
      <c r="W594" s="14"/>
      <c r="X594" s="18"/>
      <c r="Y594" s="18"/>
      <c r="Z594" s="18"/>
      <c r="AA594" s="19">
        <f t="shared" si="1"/>
        <v>9</v>
      </c>
    </row>
    <row r="595" ht="31.5" customHeight="1">
      <c r="A595" s="12">
        <v>45187.0</v>
      </c>
      <c r="B595" s="14" t="s">
        <v>4620</v>
      </c>
      <c r="C595" s="14" t="s">
        <v>3122</v>
      </c>
      <c r="D595" s="14"/>
      <c r="E595" s="14"/>
      <c r="F595" s="14"/>
      <c r="G595" s="14"/>
      <c r="H595" s="14"/>
      <c r="I595" s="590" t="s">
        <v>3123</v>
      </c>
      <c r="J595" s="223"/>
      <c r="K595" s="14"/>
      <c r="L595" s="14" t="s">
        <v>3124</v>
      </c>
      <c r="M595" s="223"/>
      <c r="N595" s="14" t="s">
        <v>111</v>
      </c>
      <c r="O595" s="14" t="s">
        <v>216</v>
      </c>
      <c r="P595" s="14"/>
      <c r="Q595" s="14"/>
      <c r="R595" s="14"/>
      <c r="S595" s="14" t="s">
        <v>3125</v>
      </c>
      <c r="T595" s="14" t="s">
        <v>4096</v>
      </c>
      <c r="U595" s="17"/>
      <c r="V595" s="14"/>
      <c r="W595" s="14"/>
      <c r="X595" s="18"/>
      <c r="Y595" s="18"/>
      <c r="Z595" s="18"/>
      <c r="AA595" s="19">
        <f t="shared" si="1"/>
        <v>9</v>
      </c>
    </row>
    <row r="596" ht="31.5" customHeight="1">
      <c r="A596" s="12">
        <v>45187.0</v>
      </c>
      <c r="B596" s="14" t="s">
        <v>4620</v>
      </c>
      <c r="C596" s="14" t="s">
        <v>3126</v>
      </c>
      <c r="D596" s="14"/>
      <c r="E596" s="14"/>
      <c r="F596" s="14"/>
      <c r="G596" s="14"/>
      <c r="H596" s="14"/>
      <c r="I596" s="590" t="s">
        <v>3127</v>
      </c>
      <c r="J596" s="223"/>
      <c r="K596" s="14"/>
      <c r="L596" s="14" t="s">
        <v>3124</v>
      </c>
      <c r="M596" s="223"/>
      <c r="N596" s="14" t="s">
        <v>111</v>
      </c>
      <c r="O596" s="14" t="s">
        <v>216</v>
      </c>
      <c r="P596" s="14"/>
      <c r="Q596" s="14"/>
      <c r="R596" s="14"/>
      <c r="S596" s="14" t="s">
        <v>3128</v>
      </c>
      <c r="T596" s="14" t="s">
        <v>4096</v>
      </c>
      <c r="U596" s="17"/>
      <c r="V596" s="14"/>
      <c r="W596" s="14"/>
      <c r="X596" s="18"/>
      <c r="Y596" s="18"/>
      <c r="Z596" s="18"/>
      <c r="AA596" s="19">
        <f t="shared" si="1"/>
        <v>9</v>
      </c>
    </row>
    <row r="597" ht="31.5" customHeight="1">
      <c r="A597" s="12">
        <v>45187.0</v>
      </c>
      <c r="B597" s="14" t="s">
        <v>4620</v>
      </c>
      <c r="C597" s="14"/>
      <c r="D597" s="14" t="s">
        <v>3129</v>
      </c>
      <c r="E597" s="14"/>
      <c r="F597" s="14" t="s">
        <v>4178</v>
      </c>
      <c r="G597" s="14"/>
      <c r="H597" s="14"/>
      <c r="I597" s="590" t="s">
        <v>3130</v>
      </c>
      <c r="J597" s="223"/>
      <c r="K597" s="14"/>
      <c r="L597" s="204" t="s">
        <v>4545</v>
      </c>
      <c r="M597" s="223"/>
      <c r="N597" s="14" t="s">
        <v>111</v>
      </c>
      <c r="O597" s="14" t="s">
        <v>565</v>
      </c>
      <c r="P597" s="14"/>
      <c r="Q597" s="14"/>
      <c r="R597" s="14"/>
      <c r="S597" s="14" t="s">
        <v>3131</v>
      </c>
      <c r="T597" s="14" t="s">
        <v>4197</v>
      </c>
      <c r="U597" s="17"/>
      <c r="V597" s="14"/>
      <c r="W597" s="14"/>
      <c r="X597" s="18"/>
      <c r="Y597" s="18"/>
      <c r="Z597" s="18"/>
      <c r="AA597" s="19">
        <f t="shared" si="1"/>
        <v>9</v>
      </c>
    </row>
    <row r="598" ht="31.5" customHeight="1">
      <c r="A598" s="12">
        <v>45187.0</v>
      </c>
      <c r="B598" s="14" t="s">
        <v>539</v>
      </c>
      <c r="C598" s="14" t="s">
        <v>3132</v>
      </c>
      <c r="D598" s="14" t="s">
        <v>3133</v>
      </c>
      <c r="E598" s="14"/>
      <c r="F598" s="14">
        <v>2015.0</v>
      </c>
      <c r="G598" s="14">
        <v>3.0</v>
      </c>
      <c r="H598" s="14"/>
      <c r="I598" s="667">
        <v>9.4803088E8</v>
      </c>
      <c r="J598" s="223"/>
      <c r="K598" s="14"/>
      <c r="L598" s="14"/>
      <c r="M598" s="223"/>
      <c r="N598" s="14" t="s">
        <v>111</v>
      </c>
      <c r="O598" s="14" t="s">
        <v>13</v>
      </c>
      <c r="P598" s="14" t="s">
        <v>3134</v>
      </c>
      <c r="Q598" s="14"/>
      <c r="R598" s="14"/>
      <c r="S598" s="14" t="s">
        <v>3135</v>
      </c>
      <c r="T598" s="14" t="s">
        <v>4197</v>
      </c>
      <c r="U598" s="17"/>
      <c r="V598" s="14"/>
      <c r="W598" s="14"/>
      <c r="X598" s="18"/>
      <c r="Y598" s="18"/>
      <c r="Z598" s="18"/>
      <c r="AA598" s="19">
        <f t="shared" si="1"/>
        <v>9</v>
      </c>
    </row>
    <row r="599" ht="31.5" customHeight="1">
      <c r="A599" s="12">
        <v>45187.0</v>
      </c>
      <c r="B599" s="14" t="s">
        <v>539</v>
      </c>
      <c r="C599" s="14" t="s">
        <v>3136</v>
      </c>
      <c r="D599" s="14" t="s">
        <v>3137</v>
      </c>
      <c r="E599" s="14"/>
      <c r="F599" s="14">
        <v>2015.0</v>
      </c>
      <c r="G599" s="14">
        <v>3.0</v>
      </c>
      <c r="H599" s="14"/>
      <c r="I599" s="667">
        <v>3.83171494E8</v>
      </c>
      <c r="J599" s="223"/>
      <c r="K599" s="14"/>
      <c r="L599" s="14"/>
      <c r="M599" s="223"/>
      <c r="N599" s="14" t="s">
        <v>111</v>
      </c>
      <c r="O599" s="14" t="s">
        <v>13</v>
      </c>
      <c r="P599" s="15" t="s">
        <v>3138</v>
      </c>
      <c r="Q599" s="14"/>
      <c r="R599" s="14"/>
      <c r="S599" s="14" t="s">
        <v>3139</v>
      </c>
      <c r="T599" s="14" t="s">
        <v>4507</v>
      </c>
      <c r="U599" s="17"/>
      <c r="V599" s="14"/>
      <c r="W599" s="14"/>
      <c r="X599" s="18"/>
      <c r="Y599" s="18"/>
      <c r="Z599" s="18"/>
      <c r="AA599" s="19">
        <f t="shared" si="1"/>
        <v>9</v>
      </c>
    </row>
    <row r="600" ht="31.5" customHeight="1">
      <c r="A600" s="12">
        <v>45188.0</v>
      </c>
      <c r="B600" s="14" t="s">
        <v>4620</v>
      </c>
      <c r="C600" s="14" t="s">
        <v>3140</v>
      </c>
      <c r="D600" s="14"/>
      <c r="E600" s="14"/>
      <c r="F600" s="14"/>
      <c r="G600" s="14"/>
      <c r="H600" s="14"/>
      <c r="I600" s="590" t="s">
        <v>3141</v>
      </c>
      <c r="J600" s="223"/>
      <c r="K600" s="14"/>
      <c r="L600" s="14" t="s">
        <v>3142</v>
      </c>
      <c r="M600" s="223"/>
      <c r="N600" s="14" t="s">
        <v>111</v>
      </c>
      <c r="O600" s="14" t="s">
        <v>34</v>
      </c>
      <c r="P600" s="14"/>
      <c r="Q600" s="14"/>
      <c r="R600" s="14"/>
      <c r="S600" s="14" t="s">
        <v>3143</v>
      </c>
      <c r="T600" s="14" t="s">
        <v>4069</v>
      </c>
      <c r="U600" s="17"/>
      <c r="V600" s="14"/>
      <c r="W600" s="14"/>
      <c r="X600" s="18"/>
      <c r="Y600" s="18"/>
      <c r="Z600" s="18"/>
      <c r="AA600" s="19">
        <f t="shared" si="1"/>
        <v>9</v>
      </c>
    </row>
    <row r="601" ht="31.5" customHeight="1">
      <c r="A601" s="12">
        <v>45188.0</v>
      </c>
      <c r="B601" s="14" t="s">
        <v>4620</v>
      </c>
      <c r="C601" s="14" t="s">
        <v>3144</v>
      </c>
      <c r="D601" s="14" t="s">
        <v>3145</v>
      </c>
      <c r="E601" s="14"/>
      <c r="F601" s="14">
        <v>2013.0</v>
      </c>
      <c r="G601" s="14">
        <v>5.0</v>
      </c>
      <c r="H601" s="14"/>
      <c r="I601" s="590" t="s">
        <v>3146</v>
      </c>
      <c r="J601" s="223"/>
      <c r="K601" s="14"/>
      <c r="L601" s="14" t="s">
        <v>3147</v>
      </c>
      <c r="M601" s="223"/>
      <c r="N601" s="14" t="s">
        <v>111</v>
      </c>
      <c r="O601" s="14" t="s">
        <v>565</v>
      </c>
      <c r="P601" s="14"/>
      <c r="Q601" s="14"/>
      <c r="R601" s="14"/>
      <c r="S601" s="14" t="s">
        <v>3148</v>
      </c>
      <c r="T601" s="14" t="s">
        <v>4197</v>
      </c>
      <c r="U601" s="17"/>
      <c r="V601" s="14"/>
      <c r="W601" s="14"/>
      <c r="X601" s="18"/>
      <c r="Y601" s="18"/>
      <c r="Z601" s="18"/>
      <c r="AA601" s="19">
        <f t="shared" si="1"/>
        <v>9</v>
      </c>
    </row>
    <row r="602" ht="31.5" customHeight="1">
      <c r="A602" s="12">
        <v>45188.0</v>
      </c>
      <c r="B602" s="14" t="s">
        <v>4620</v>
      </c>
      <c r="C602" s="14" t="s">
        <v>3149</v>
      </c>
      <c r="D602" s="14"/>
      <c r="E602" s="14"/>
      <c r="F602" s="14" t="s">
        <v>2480</v>
      </c>
      <c r="G602" s="14"/>
      <c r="H602" s="14"/>
      <c r="I602" s="590" t="s">
        <v>3150</v>
      </c>
      <c r="J602" s="223"/>
      <c r="K602" s="14"/>
      <c r="L602" s="14" t="s">
        <v>3151</v>
      </c>
      <c r="M602" s="223"/>
      <c r="N602" s="14" t="s">
        <v>111</v>
      </c>
      <c r="O602" s="14" t="s">
        <v>565</v>
      </c>
      <c r="P602" s="14"/>
      <c r="Q602" s="14"/>
      <c r="R602" s="14"/>
      <c r="S602" s="14" t="s">
        <v>3152</v>
      </c>
      <c r="T602" s="14" t="s">
        <v>4085</v>
      </c>
      <c r="U602" s="17"/>
      <c r="V602" s="14"/>
      <c r="W602" s="14"/>
      <c r="X602" s="18"/>
      <c r="Y602" s="18"/>
      <c r="Z602" s="18"/>
      <c r="AA602" s="19">
        <f t="shared" si="1"/>
        <v>9</v>
      </c>
    </row>
    <row r="603" ht="31.5" customHeight="1">
      <c r="A603" s="12">
        <v>45188.0</v>
      </c>
      <c r="B603" s="14" t="s">
        <v>539</v>
      </c>
      <c r="C603" s="14" t="s">
        <v>3153</v>
      </c>
      <c r="D603" s="668" t="s">
        <v>3154</v>
      </c>
      <c r="E603" s="14"/>
      <c r="F603" s="14">
        <v>2019.0</v>
      </c>
      <c r="G603" s="14">
        <v>5.0</v>
      </c>
      <c r="H603" s="14"/>
      <c r="I603" s="667">
        <v>9.89349955E8</v>
      </c>
      <c r="J603" s="223"/>
      <c r="K603" s="14"/>
      <c r="L603" s="14"/>
      <c r="M603" s="223"/>
      <c r="N603" s="14" t="s">
        <v>111</v>
      </c>
      <c r="O603" s="14" t="s">
        <v>13</v>
      </c>
      <c r="P603" s="14" t="s">
        <v>3155</v>
      </c>
      <c r="Q603" s="14"/>
      <c r="R603" s="14"/>
      <c r="S603" s="14" t="s">
        <v>3156</v>
      </c>
      <c r="T603" s="14" t="s">
        <v>4197</v>
      </c>
      <c r="U603" s="17"/>
      <c r="V603" s="14"/>
      <c r="W603" s="14"/>
      <c r="X603" s="18"/>
      <c r="Y603" s="18"/>
      <c r="Z603" s="18"/>
      <c r="AA603" s="19">
        <f t="shared" si="1"/>
        <v>9</v>
      </c>
    </row>
    <row r="604" ht="31.5" customHeight="1">
      <c r="A604" s="12">
        <v>45188.0</v>
      </c>
      <c r="B604" s="14" t="s">
        <v>539</v>
      </c>
      <c r="C604" s="14" t="s">
        <v>3157</v>
      </c>
      <c r="D604" s="14" t="s">
        <v>3158</v>
      </c>
      <c r="E604" s="14"/>
      <c r="F604" s="14">
        <v>2018.0</v>
      </c>
      <c r="G604" s="14">
        <v>1.0</v>
      </c>
      <c r="H604" s="14"/>
      <c r="I604" s="667">
        <v>3.47527031E8</v>
      </c>
      <c r="J604" s="223"/>
      <c r="K604" s="14"/>
      <c r="L604" s="14"/>
      <c r="M604" s="223"/>
      <c r="N604" s="14" t="s">
        <v>111</v>
      </c>
      <c r="O604" s="14" t="s">
        <v>13</v>
      </c>
      <c r="P604" s="14" t="s">
        <v>3159</v>
      </c>
      <c r="Q604" s="14"/>
      <c r="R604" s="14"/>
      <c r="S604" s="14" t="s">
        <v>3160</v>
      </c>
      <c r="T604" s="14" t="s">
        <v>4197</v>
      </c>
      <c r="U604" s="17"/>
      <c r="V604" s="14"/>
      <c r="W604" s="14"/>
      <c r="X604" s="18"/>
      <c r="Y604" s="18"/>
      <c r="Z604" s="18"/>
      <c r="AA604" s="19">
        <f t="shared" si="1"/>
        <v>9</v>
      </c>
    </row>
    <row r="605" ht="31.5" customHeight="1">
      <c r="A605" s="12">
        <v>45188.0</v>
      </c>
      <c r="B605" s="14" t="s">
        <v>4620</v>
      </c>
      <c r="C605" s="14" t="s">
        <v>3161</v>
      </c>
      <c r="D605" s="14"/>
      <c r="E605" s="14"/>
      <c r="F605" s="14" t="s">
        <v>4524</v>
      </c>
      <c r="G605" s="14">
        <v>7.0</v>
      </c>
      <c r="H605" s="14"/>
      <c r="I605" s="590" t="s">
        <v>3162</v>
      </c>
      <c r="J605" s="223"/>
      <c r="K605" s="14"/>
      <c r="L605" s="14" t="s">
        <v>4050</v>
      </c>
      <c r="M605" s="223"/>
      <c r="N605" s="14" t="s">
        <v>111</v>
      </c>
      <c r="O605" s="14" t="s">
        <v>565</v>
      </c>
      <c r="P605" s="14"/>
      <c r="Q605" s="14"/>
      <c r="R605" s="14"/>
      <c r="S605" s="14" t="s">
        <v>3163</v>
      </c>
      <c r="T605" s="14" t="s">
        <v>4096</v>
      </c>
      <c r="U605" s="17"/>
      <c r="V605" s="14"/>
      <c r="W605" s="14"/>
      <c r="X605" s="18"/>
      <c r="Y605" s="18"/>
      <c r="Z605" s="18"/>
      <c r="AA605" s="19">
        <f t="shared" si="1"/>
        <v>9</v>
      </c>
    </row>
    <row r="606" ht="31.5" customHeight="1">
      <c r="A606" s="12">
        <v>45188.0</v>
      </c>
      <c r="B606" s="14" t="s">
        <v>4620</v>
      </c>
      <c r="C606" s="14" t="s">
        <v>3164</v>
      </c>
      <c r="D606" s="14"/>
      <c r="E606" s="14"/>
      <c r="F606" s="14"/>
      <c r="G606" s="14"/>
      <c r="H606" s="14"/>
      <c r="I606" s="590" t="s">
        <v>3165</v>
      </c>
      <c r="J606" s="223"/>
      <c r="K606" s="14"/>
      <c r="L606" s="14"/>
      <c r="M606" s="223"/>
      <c r="N606" s="14" t="s">
        <v>111</v>
      </c>
      <c r="O606" s="14" t="s">
        <v>565</v>
      </c>
      <c r="P606" s="14"/>
      <c r="Q606" s="14"/>
      <c r="R606" s="14"/>
      <c r="S606" s="14" t="s">
        <v>3166</v>
      </c>
      <c r="T606" s="14" t="s">
        <v>4197</v>
      </c>
      <c r="U606" s="17"/>
      <c r="V606" s="14"/>
      <c r="W606" s="14"/>
      <c r="X606" s="18"/>
      <c r="Y606" s="18"/>
      <c r="Z606" s="18"/>
      <c r="AA606" s="19">
        <f t="shared" si="1"/>
        <v>9</v>
      </c>
    </row>
    <row r="607" ht="31.5" customHeight="1">
      <c r="A607" s="12">
        <v>45189.0</v>
      </c>
      <c r="B607" s="14" t="s">
        <v>4620</v>
      </c>
      <c r="C607" s="14" t="s">
        <v>3167</v>
      </c>
      <c r="D607" s="14"/>
      <c r="E607" s="14"/>
      <c r="F607" s="14"/>
      <c r="G607" s="14">
        <v>9.0</v>
      </c>
      <c r="H607" s="14"/>
      <c r="I607" s="590" t="s">
        <v>3168</v>
      </c>
      <c r="J607" s="223"/>
      <c r="K607" s="14"/>
      <c r="L607" s="14" t="s">
        <v>1615</v>
      </c>
      <c r="M607" s="223"/>
      <c r="N607" s="14" t="s">
        <v>111</v>
      </c>
      <c r="O607" s="14" t="s">
        <v>565</v>
      </c>
      <c r="P607" s="14"/>
      <c r="Q607" s="14"/>
      <c r="R607" s="14"/>
      <c r="S607" s="14" t="s">
        <v>3169</v>
      </c>
      <c r="T607" s="14" t="s">
        <v>4197</v>
      </c>
      <c r="U607" s="17"/>
      <c r="V607" s="14"/>
      <c r="W607" s="14"/>
      <c r="X607" s="18"/>
      <c r="Y607" s="18"/>
      <c r="Z607" s="18"/>
      <c r="AA607" s="19">
        <f t="shared" si="1"/>
        <v>9</v>
      </c>
    </row>
    <row r="608" ht="31.5" customHeight="1">
      <c r="A608" s="12">
        <v>45189.0</v>
      </c>
      <c r="B608" s="14" t="s">
        <v>4620</v>
      </c>
      <c r="C608" s="14"/>
      <c r="D608" s="14" t="s">
        <v>3170</v>
      </c>
      <c r="E608" s="14"/>
      <c r="F608" s="59">
        <v>40067.0</v>
      </c>
      <c r="G608" s="14"/>
      <c r="H608" s="14"/>
      <c r="I608" s="590" t="s">
        <v>3171</v>
      </c>
      <c r="J608" s="223"/>
      <c r="K608" s="14"/>
      <c r="L608" s="204" t="s">
        <v>4545</v>
      </c>
      <c r="M608" s="223"/>
      <c r="N608" s="14" t="s">
        <v>111</v>
      </c>
      <c r="O608" s="14" t="s">
        <v>34</v>
      </c>
      <c r="P608" s="14"/>
      <c r="Q608" s="14"/>
      <c r="R608" s="14"/>
      <c r="S608" s="14" t="s">
        <v>3172</v>
      </c>
      <c r="T608" s="14"/>
      <c r="U608" s="17"/>
      <c r="V608" s="14"/>
      <c r="W608" s="14"/>
      <c r="X608" s="18"/>
      <c r="Y608" s="18"/>
      <c r="Z608" s="18"/>
      <c r="AA608" s="19">
        <f t="shared" si="1"/>
        <v>9</v>
      </c>
    </row>
    <row r="609" ht="31.5" customHeight="1">
      <c r="A609" s="12">
        <v>45189.0</v>
      </c>
      <c r="B609" s="14" t="s">
        <v>4620</v>
      </c>
      <c r="C609" s="14"/>
      <c r="D609" s="14" t="s">
        <v>3173</v>
      </c>
      <c r="E609" s="14"/>
      <c r="F609" s="345">
        <v>41580.0</v>
      </c>
      <c r="G609" s="14"/>
      <c r="H609" s="14"/>
      <c r="I609" s="590" t="s">
        <v>3174</v>
      </c>
      <c r="J609" s="223"/>
      <c r="K609" s="14"/>
      <c r="L609" s="204" t="s">
        <v>4545</v>
      </c>
      <c r="M609" s="223"/>
      <c r="N609" s="14" t="s">
        <v>111</v>
      </c>
      <c r="O609" s="14" t="s">
        <v>565</v>
      </c>
      <c r="P609" s="14"/>
      <c r="Q609" s="14"/>
      <c r="R609" s="14"/>
      <c r="S609" s="14" t="s">
        <v>3175</v>
      </c>
      <c r="T609" s="14"/>
      <c r="U609" s="17"/>
      <c r="V609" s="14"/>
      <c r="W609" s="14"/>
      <c r="X609" s="18"/>
      <c r="Y609" s="18"/>
      <c r="Z609" s="18"/>
      <c r="AA609" s="19">
        <f t="shared" si="1"/>
        <v>9</v>
      </c>
    </row>
    <row r="610" ht="31.5" customHeight="1">
      <c r="A610" s="12">
        <v>45189.0</v>
      </c>
      <c r="B610" s="14" t="s">
        <v>4620</v>
      </c>
      <c r="C610" s="14"/>
      <c r="D610" s="14" t="s">
        <v>3176</v>
      </c>
      <c r="E610" s="14"/>
      <c r="F610" s="59">
        <v>41438.0</v>
      </c>
      <c r="G610" s="14"/>
      <c r="H610" s="14"/>
      <c r="I610" s="590" t="s">
        <v>3177</v>
      </c>
      <c r="J610" s="223"/>
      <c r="K610" s="14"/>
      <c r="L610" s="204" t="s">
        <v>4545</v>
      </c>
      <c r="M610" s="223"/>
      <c r="N610" s="14" t="s">
        <v>111</v>
      </c>
      <c r="O610" s="14" t="s">
        <v>565</v>
      </c>
      <c r="P610" s="14"/>
      <c r="Q610" s="14"/>
      <c r="R610" s="14"/>
      <c r="S610" s="14" t="s">
        <v>3175</v>
      </c>
      <c r="T610" s="14"/>
      <c r="U610" s="17"/>
      <c r="V610" s="14"/>
      <c r="W610" s="14"/>
      <c r="X610" s="18"/>
      <c r="Y610" s="18"/>
      <c r="Z610" s="18"/>
      <c r="AA610" s="19">
        <f t="shared" si="1"/>
        <v>9</v>
      </c>
    </row>
    <row r="611" ht="31.5" customHeight="1">
      <c r="A611" s="12">
        <v>45189.0</v>
      </c>
      <c r="B611" s="14" t="s">
        <v>4620</v>
      </c>
      <c r="C611" s="14"/>
      <c r="D611" s="14" t="s">
        <v>3178</v>
      </c>
      <c r="E611" s="14"/>
      <c r="F611" s="346">
        <v>40665.0</v>
      </c>
      <c r="G611" s="14"/>
      <c r="H611" s="14"/>
      <c r="I611" s="590" t="s">
        <v>3179</v>
      </c>
      <c r="J611" s="223"/>
      <c r="K611" s="14"/>
      <c r="L611" s="204" t="s">
        <v>4545</v>
      </c>
      <c r="M611" s="223"/>
      <c r="N611" s="14" t="s">
        <v>111</v>
      </c>
      <c r="O611" s="14" t="s">
        <v>1484</v>
      </c>
      <c r="P611" s="14"/>
      <c r="Q611" s="14"/>
      <c r="R611" s="14"/>
      <c r="S611" s="14" t="s">
        <v>3180</v>
      </c>
      <c r="T611" s="14"/>
      <c r="U611" s="17"/>
      <c r="V611" s="14"/>
      <c r="W611" s="14"/>
      <c r="X611" s="18"/>
      <c r="Y611" s="18"/>
      <c r="Z611" s="18"/>
      <c r="AA611" s="19">
        <f t="shared" si="1"/>
        <v>9</v>
      </c>
    </row>
    <row r="612" ht="31.5" customHeight="1">
      <c r="A612" s="12">
        <v>45189.0</v>
      </c>
      <c r="B612" s="14" t="s">
        <v>4620</v>
      </c>
      <c r="C612" s="14"/>
      <c r="D612" s="14" t="s">
        <v>3181</v>
      </c>
      <c r="E612" s="14"/>
      <c r="F612" s="59">
        <v>42496.0</v>
      </c>
      <c r="G612" s="14"/>
      <c r="H612" s="14"/>
      <c r="I612" s="590" t="s">
        <v>3182</v>
      </c>
      <c r="J612" s="223"/>
      <c r="K612" s="14"/>
      <c r="L612" s="204" t="s">
        <v>4545</v>
      </c>
      <c r="M612" s="223"/>
      <c r="N612" s="14" t="s">
        <v>111</v>
      </c>
      <c r="O612" s="14" t="s">
        <v>216</v>
      </c>
      <c r="P612" s="14"/>
      <c r="Q612" s="14"/>
      <c r="R612" s="14"/>
      <c r="S612" s="14"/>
      <c r="T612" s="14"/>
      <c r="U612" s="17"/>
      <c r="V612" s="14"/>
      <c r="W612" s="14"/>
      <c r="X612" s="18"/>
      <c r="Y612" s="18"/>
      <c r="Z612" s="18"/>
      <c r="AA612" s="19">
        <f t="shared" si="1"/>
        <v>9</v>
      </c>
    </row>
    <row r="613" ht="31.5" customHeight="1">
      <c r="A613" s="12">
        <v>45189.0</v>
      </c>
      <c r="B613" s="14" t="s">
        <v>4620</v>
      </c>
      <c r="C613" s="14"/>
      <c r="D613" s="14" t="s">
        <v>3183</v>
      </c>
      <c r="E613" s="14"/>
      <c r="F613" s="14"/>
      <c r="G613" s="14"/>
      <c r="H613" s="14"/>
      <c r="I613" s="590" t="s">
        <v>3184</v>
      </c>
      <c r="J613" s="223"/>
      <c r="K613" s="14"/>
      <c r="L613" s="14" t="s">
        <v>3185</v>
      </c>
      <c r="M613" s="223"/>
      <c r="N613" s="14" t="s">
        <v>111</v>
      </c>
      <c r="O613" s="14" t="s">
        <v>565</v>
      </c>
      <c r="P613" s="14"/>
      <c r="Q613" s="14"/>
      <c r="R613" s="14"/>
      <c r="S613" s="14" t="s">
        <v>3186</v>
      </c>
      <c r="T613" s="14"/>
      <c r="U613" s="17"/>
      <c r="V613" s="14"/>
      <c r="W613" s="14"/>
      <c r="X613" s="18"/>
      <c r="Y613" s="18"/>
      <c r="Z613" s="18"/>
      <c r="AA613" s="19">
        <f t="shared" si="1"/>
        <v>9</v>
      </c>
    </row>
    <row r="614" ht="31.5" customHeight="1">
      <c r="A614" s="12">
        <v>45189.0</v>
      </c>
      <c r="B614" s="14" t="s">
        <v>539</v>
      </c>
      <c r="C614" s="14" t="s">
        <v>3187</v>
      </c>
      <c r="D614" s="14" t="s">
        <v>3188</v>
      </c>
      <c r="E614" s="14"/>
      <c r="F614" s="14">
        <v>2013.0</v>
      </c>
      <c r="G614" s="14">
        <v>5.0</v>
      </c>
      <c r="H614" s="14"/>
      <c r="I614" s="590" t="s">
        <v>3189</v>
      </c>
      <c r="J614" s="223"/>
      <c r="K614" s="14"/>
      <c r="L614" s="14"/>
      <c r="M614" s="223"/>
      <c r="N614" s="14" t="s">
        <v>111</v>
      </c>
      <c r="O614" s="14" t="s">
        <v>13</v>
      </c>
      <c r="P614" s="14" t="s">
        <v>3190</v>
      </c>
      <c r="Q614" s="14"/>
      <c r="R614" s="14"/>
      <c r="S614" s="14" t="s">
        <v>3191</v>
      </c>
      <c r="T614" s="14"/>
      <c r="U614" s="17"/>
      <c r="V614" s="14"/>
      <c r="W614" s="14"/>
      <c r="X614" s="18"/>
      <c r="Y614" s="18"/>
      <c r="Z614" s="18"/>
      <c r="AA614" s="19">
        <f t="shared" si="1"/>
        <v>9</v>
      </c>
    </row>
    <row r="615" ht="31.5" customHeight="1">
      <c r="A615" s="12">
        <v>45189.0</v>
      </c>
      <c r="B615" s="14" t="s">
        <v>539</v>
      </c>
      <c r="C615" s="14" t="s">
        <v>3187</v>
      </c>
      <c r="D615" s="14" t="s">
        <v>3192</v>
      </c>
      <c r="E615" s="14"/>
      <c r="F615" s="14">
        <v>2016.0</v>
      </c>
      <c r="G615" s="14">
        <v>2.0</v>
      </c>
      <c r="H615" s="14"/>
      <c r="I615" s="590" t="s">
        <v>3189</v>
      </c>
      <c r="J615" s="223"/>
      <c r="K615" s="14"/>
      <c r="L615" s="14"/>
      <c r="M615" s="223"/>
      <c r="N615" s="14" t="s">
        <v>111</v>
      </c>
      <c r="O615" s="14" t="s">
        <v>565</v>
      </c>
      <c r="P615" s="14"/>
      <c r="Q615" s="14"/>
      <c r="R615" s="14"/>
      <c r="S615" s="14" t="s">
        <v>3193</v>
      </c>
      <c r="T615" s="14" t="s">
        <v>4197</v>
      </c>
      <c r="U615" s="17"/>
      <c r="V615" s="14"/>
      <c r="W615" s="14"/>
      <c r="X615" s="18"/>
      <c r="Y615" s="18"/>
      <c r="Z615" s="18"/>
      <c r="AA615" s="19">
        <f t="shared" si="1"/>
        <v>9</v>
      </c>
    </row>
    <row r="616" ht="31.5" customHeight="1">
      <c r="A616" s="12">
        <v>45189.0</v>
      </c>
      <c r="B616" s="14" t="s">
        <v>4620</v>
      </c>
      <c r="C616" s="14"/>
      <c r="D616" s="14" t="s">
        <v>3194</v>
      </c>
      <c r="E616" s="14"/>
      <c r="F616" s="14" t="s">
        <v>4494</v>
      </c>
      <c r="G616" s="14"/>
      <c r="H616" s="14"/>
      <c r="I616" s="590" t="s">
        <v>3195</v>
      </c>
      <c r="J616" s="223"/>
      <c r="K616" s="14"/>
      <c r="L616" s="204" t="s">
        <v>4545</v>
      </c>
      <c r="M616" s="223"/>
      <c r="N616" s="14" t="s">
        <v>111</v>
      </c>
      <c r="O616" s="14" t="s">
        <v>216</v>
      </c>
      <c r="P616" s="14"/>
      <c r="Q616" s="14"/>
      <c r="R616" s="14"/>
      <c r="S616" s="14"/>
      <c r="T616" s="14"/>
      <c r="U616" s="17"/>
      <c r="V616" s="14"/>
      <c r="W616" s="14"/>
      <c r="X616" s="18"/>
      <c r="Y616" s="18"/>
      <c r="Z616" s="18"/>
      <c r="AA616" s="19">
        <f t="shared" si="1"/>
        <v>9</v>
      </c>
    </row>
    <row r="617" ht="31.5" customHeight="1">
      <c r="A617" s="12">
        <v>45190.0</v>
      </c>
      <c r="B617" s="14" t="s">
        <v>4620</v>
      </c>
      <c r="C617" s="14" t="s">
        <v>3196</v>
      </c>
      <c r="D617" s="14" t="s">
        <v>3197</v>
      </c>
      <c r="E617" s="14"/>
      <c r="F617" s="14"/>
      <c r="G617" s="14">
        <v>4.0</v>
      </c>
      <c r="H617" s="14"/>
      <c r="I617" s="590" t="s">
        <v>3198</v>
      </c>
      <c r="J617" s="223"/>
      <c r="K617" s="14"/>
      <c r="L617" s="204" t="s">
        <v>3199</v>
      </c>
      <c r="M617" s="223"/>
      <c r="N617" s="14" t="s">
        <v>111</v>
      </c>
      <c r="O617" s="14" t="s">
        <v>565</v>
      </c>
      <c r="P617" s="14"/>
      <c r="Q617" s="14"/>
      <c r="R617" s="14"/>
      <c r="S617" s="14" t="s">
        <v>3200</v>
      </c>
      <c r="T617" s="14"/>
      <c r="U617" s="17"/>
      <c r="V617" s="14"/>
      <c r="W617" s="14"/>
      <c r="X617" s="18"/>
      <c r="Y617" s="18"/>
      <c r="Z617" s="18"/>
      <c r="AA617" s="19">
        <f t="shared" si="1"/>
        <v>9</v>
      </c>
    </row>
    <row r="618" ht="31.5" customHeight="1">
      <c r="A618" s="12">
        <v>45190.0</v>
      </c>
      <c r="B618" s="14" t="s">
        <v>4620</v>
      </c>
      <c r="C618" s="14" t="s">
        <v>3201</v>
      </c>
      <c r="D618" s="14" t="s">
        <v>3202</v>
      </c>
      <c r="E618" s="14"/>
      <c r="F618" s="14"/>
      <c r="G618" s="14" t="s">
        <v>371</v>
      </c>
      <c r="H618" s="14"/>
      <c r="I618" s="590" t="s">
        <v>3203</v>
      </c>
      <c r="J618" s="223"/>
      <c r="K618" s="14"/>
      <c r="L618" s="204" t="s">
        <v>3204</v>
      </c>
      <c r="M618" s="223"/>
      <c r="N618" s="14" t="s">
        <v>111</v>
      </c>
      <c r="O618" s="14" t="s">
        <v>565</v>
      </c>
      <c r="P618" s="14"/>
      <c r="Q618" s="14"/>
      <c r="R618" s="14"/>
      <c r="S618" s="14" t="s">
        <v>3205</v>
      </c>
      <c r="T618" s="14"/>
      <c r="U618" s="17"/>
      <c r="V618" s="14"/>
      <c r="W618" s="14"/>
      <c r="X618" s="18"/>
      <c r="Y618" s="18"/>
      <c r="Z618" s="18"/>
      <c r="AA618" s="19">
        <f t="shared" si="1"/>
        <v>9</v>
      </c>
    </row>
    <row r="619" ht="31.5" customHeight="1">
      <c r="A619" s="12">
        <v>45190.0</v>
      </c>
      <c r="B619" s="14" t="s">
        <v>4620</v>
      </c>
      <c r="C619" s="14" t="s">
        <v>3206</v>
      </c>
      <c r="D619" s="14" t="s">
        <v>3207</v>
      </c>
      <c r="E619" s="14"/>
      <c r="F619" s="14"/>
      <c r="G619" s="14">
        <v>4.0</v>
      </c>
      <c r="H619" s="14"/>
      <c r="I619" s="590" t="s">
        <v>3208</v>
      </c>
      <c r="J619" s="223"/>
      <c r="K619" s="14"/>
      <c r="L619" s="204" t="s">
        <v>3209</v>
      </c>
      <c r="M619" s="223"/>
      <c r="N619" s="14" t="s">
        <v>111</v>
      </c>
      <c r="O619" s="14" t="s">
        <v>565</v>
      </c>
      <c r="P619" s="14"/>
      <c r="Q619" s="14"/>
      <c r="R619" s="14"/>
      <c r="S619" s="14" t="s">
        <v>3210</v>
      </c>
      <c r="T619" s="14"/>
      <c r="U619" s="17"/>
      <c r="V619" s="14"/>
      <c r="W619" s="14"/>
      <c r="X619" s="18"/>
      <c r="Y619" s="18"/>
      <c r="Z619" s="18"/>
      <c r="AA619" s="19">
        <f t="shared" si="1"/>
        <v>9</v>
      </c>
    </row>
    <row r="620" ht="31.5" customHeight="1">
      <c r="A620" s="12">
        <v>45190.0</v>
      </c>
      <c r="B620" s="14" t="s">
        <v>4620</v>
      </c>
      <c r="C620" s="14" t="s">
        <v>3211</v>
      </c>
      <c r="D620" s="14"/>
      <c r="E620" s="14"/>
      <c r="F620" s="14"/>
      <c r="G620" s="14">
        <v>6.0</v>
      </c>
      <c r="H620" s="14"/>
      <c r="I620" s="590" t="s">
        <v>3212</v>
      </c>
      <c r="J620" s="223"/>
      <c r="K620" s="14"/>
      <c r="L620" s="14" t="s">
        <v>3213</v>
      </c>
      <c r="M620" s="223"/>
      <c r="N620" s="14" t="s">
        <v>111</v>
      </c>
      <c r="O620" s="14" t="s">
        <v>565</v>
      </c>
      <c r="P620" s="14"/>
      <c r="Q620" s="14"/>
      <c r="R620" s="90"/>
      <c r="S620" s="14" t="s">
        <v>3214</v>
      </c>
      <c r="T620" s="14" t="s">
        <v>4197</v>
      </c>
      <c r="U620" s="17"/>
      <c r="V620" s="14"/>
      <c r="W620" s="14"/>
      <c r="X620" s="18"/>
      <c r="Y620" s="18"/>
      <c r="Z620" s="18"/>
      <c r="AA620" s="19">
        <f t="shared" si="1"/>
        <v>9</v>
      </c>
    </row>
    <row r="621" ht="31.5" customHeight="1">
      <c r="A621" s="12">
        <v>45190.0</v>
      </c>
      <c r="B621" s="14" t="s">
        <v>4620</v>
      </c>
      <c r="C621" s="14" t="s">
        <v>3215</v>
      </c>
      <c r="D621" s="14"/>
      <c r="E621" s="14"/>
      <c r="F621" s="14"/>
      <c r="G621" s="14"/>
      <c r="H621" s="14"/>
      <c r="I621" s="590" t="s">
        <v>3216</v>
      </c>
      <c r="J621" s="223"/>
      <c r="K621" s="14"/>
      <c r="L621" s="14" t="s">
        <v>3217</v>
      </c>
      <c r="M621" s="223"/>
      <c r="N621" s="14" t="s">
        <v>111</v>
      </c>
      <c r="O621" s="14" t="s">
        <v>565</v>
      </c>
      <c r="P621" s="14"/>
      <c r="Q621" s="14"/>
      <c r="R621" s="14"/>
      <c r="S621" s="14" t="s">
        <v>3218</v>
      </c>
      <c r="T621" s="14" t="s">
        <v>4197</v>
      </c>
      <c r="U621" s="17"/>
      <c r="V621" s="14"/>
      <c r="W621" s="14"/>
      <c r="X621" s="18"/>
      <c r="Y621" s="18"/>
      <c r="Z621" s="18"/>
      <c r="AA621" s="19">
        <f t="shared" si="1"/>
        <v>9</v>
      </c>
    </row>
    <row r="622" ht="31.5" customHeight="1">
      <c r="A622" s="12">
        <v>45190.0</v>
      </c>
      <c r="B622" s="14" t="s">
        <v>4620</v>
      </c>
      <c r="C622" s="14" t="s">
        <v>3219</v>
      </c>
      <c r="D622" s="14"/>
      <c r="E622" s="14"/>
      <c r="F622" s="14">
        <v>2015.0</v>
      </c>
      <c r="G622" s="14">
        <v>3.0</v>
      </c>
      <c r="H622" s="14"/>
      <c r="I622" s="590" t="s">
        <v>3220</v>
      </c>
      <c r="J622" s="223"/>
      <c r="K622" s="14"/>
      <c r="L622" s="14" t="s">
        <v>4550</v>
      </c>
      <c r="M622" s="223"/>
      <c r="N622" s="14" t="s">
        <v>111</v>
      </c>
      <c r="O622" s="14" t="s">
        <v>565</v>
      </c>
      <c r="P622" s="14"/>
      <c r="Q622" s="14"/>
      <c r="R622" s="14"/>
      <c r="S622" s="14" t="s">
        <v>3222</v>
      </c>
      <c r="T622" s="14" t="s">
        <v>4197</v>
      </c>
      <c r="U622" s="17"/>
      <c r="V622" s="14"/>
      <c r="W622" s="14"/>
      <c r="X622" s="18"/>
      <c r="Y622" s="18"/>
      <c r="Z622" s="18"/>
      <c r="AA622" s="19">
        <f t="shared" si="1"/>
        <v>9</v>
      </c>
    </row>
    <row r="623" ht="31.5" customHeight="1">
      <c r="A623" s="12">
        <v>45190.0</v>
      </c>
      <c r="B623" s="14" t="s">
        <v>201</v>
      </c>
      <c r="C623" s="14" t="s">
        <v>3225</v>
      </c>
      <c r="D623" s="14"/>
      <c r="E623" s="14"/>
      <c r="F623" s="14" t="s">
        <v>4551</v>
      </c>
      <c r="G623" s="14">
        <v>8.0</v>
      </c>
      <c r="H623" s="14"/>
      <c r="I623" s="590" t="s">
        <v>3224</v>
      </c>
      <c r="J623" s="223"/>
      <c r="K623" s="14"/>
      <c r="L623" s="14" t="s">
        <v>3225</v>
      </c>
      <c r="M623" s="223"/>
      <c r="N623" s="14" t="s">
        <v>111</v>
      </c>
      <c r="O623" s="14" t="s">
        <v>565</v>
      </c>
      <c r="P623" s="14"/>
      <c r="Q623" s="14"/>
      <c r="R623" s="14"/>
      <c r="S623" s="14" t="s">
        <v>3226</v>
      </c>
      <c r="T623" s="14" t="s">
        <v>4197</v>
      </c>
      <c r="U623" s="17"/>
      <c r="V623" s="14"/>
      <c r="W623" s="14"/>
      <c r="X623" s="18"/>
      <c r="Y623" s="18"/>
      <c r="Z623" s="18"/>
      <c r="AA623" s="19">
        <f t="shared" si="1"/>
        <v>9</v>
      </c>
    </row>
    <row r="624" ht="31.5" customHeight="1">
      <c r="A624" s="12">
        <v>45191.0</v>
      </c>
      <c r="B624" s="14" t="s">
        <v>4620</v>
      </c>
      <c r="C624" s="14" t="s">
        <v>3227</v>
      </c>
      <c r="D624" s="14" t="s">
        <v>3228</v>
      </c>
      <c r="E624" s="14"/>
      <c r="F624" s="59">
        <v>42239.0</v>
      </c>
      <c r="G624" s="14">
        <v>3.0</v>
      </c>
      <c r="H624" s="14"/>
      <c r="I624" s="590" t="s">
        <v>3229</v>
      </c>
      <c r="J624" s="223"/>
      <c r="K624" s="14"/>
      <c r="L624" s="204" t="s">
        <v>3230</v>
      </c>
      <c r="M624" s="223"/>
      <c r="N624" s="14" t="s">
        <v>111</v>
      </c>
      <c r="O624" s="14" t="s">
        <v>565</v>
      </c>
      <c r="P624" s="14"/>
      <c r="Q624" s="14"/>
      <c r="R624" s="14"/>
      <c r="S624" s="14" t="s">
        <v>3231</v>
      </c>
      <c r="T624" s="14" t="s">
        <v>4197</v>
      </c>
      <c r="U624" s="17"/>
      <c r="V624" s="14"/>
      <c r="W624" s="14"/>
      <c r="X624" s="18"/>
      <c r="Y624" s="18"/>
      <c r="Z624" s="18"/>
      <c r="AA624" s="19">
        <f t="shared" si="1"/>
        <v>9</v>
      </c>
    </row>
    <row r="625" ht="31.5" customHeight="1">
      <c r="A625" s="12">
        <v>45191.0</v>
      </c>
      <c r="B625" s="14" t="s">
        <v>4620</v>
      </c>
      <c r="C625" s="14" t="s">
        <v>3232</v>
      </c>
      <c r="D625" s="14"/>
      <c r="E625" s="14"/>
      <c r="F625" s="14"/>
      <c r="G625" s="14"/>
      <c r="H625" s="14"/>
      <c r="I625" s="590" t="s">
        <v>3233</v>
      </c>
      <c r="J625" s="223"/>
      <c r="K625" s="14"/>
      <c r="L625" s="14" t="s">
        <v>3234</v>
      </c>
      <c r="M625" s="223"/>
      <c r="N625" s="14" t="s">
        <v>111</v>
      </c>
      <c r="O625" s="14" t="s">
        <v>565</v>
      </c>
      <c r="P625" s="14"/>
      <c r="Q625" s="14"/>
      <c r="R625" s="14"/>
      <c r="S625" s="14" t="s">
        <v>3235</v>
      </c>
      <c r="T625" s="14" t="s">
        <v>4552</v>
      </c>
      <c r="U625" s="17"/>
      <c r="V625" s="14"/>
      <c r="W625" s="14"/>
      <c r="X625" s="18"/>
      <c r="Y625" s="18"/>
      <c r="Z625" s="18"/>
      <c r="AA625" s="19">
        <f t="shared" si="1"/>
        <v>9</v>
      </c>
    </row>
    <row r="626" ht="31.5" customHeight="1">
      <c r="A626" s="12">
        <v>45191.0</v>
      </c>
      <c r="B626" s="14" t="s">
        <v>703</v>
      </c>
      <c r="C626" s="14" t="s">
        <v>3236</v>
      </c>
      <c r="D626" s="14" t="s">
        <v>3237</v>
      </c>
      <c r="E626" s="14"/>
      <c r="F626" s="142">
        <v>41626.0</v>
      </c>
      <c r="G626" s="14"/>
      <c r="H626" s="14"/>
      <c r="I626" s="590" t="s">
        <v>3238</v>
      </c>
      <c r="J626" s="223"/>
      <c r="K626" s="14"/>
      <c r="L626" s="204" t="s">
        <v>3239</v>
      </c>
      <c r="M626" s="223"/>
      <c r="N626" s="14" t="s">
        <v>111</v>
      </c>
      <c r="O626" s="14" t="s">
        <v>565</v>
      </c>
      <c r="P626" s="14"/>
      <c r="Q626" s="14"/>
      <c r="R626" s="14"/>
      <c r="S626" s="14" t="s">
        <v>3240</v>
      </c>
      <c r="T626" s="14"/>
      <c r="U626" s="17"/>
      <c r="V626" s="14"/>
      <c r="W626" s="14"/>
      <c r="X626" s="18"/>
      <c r="Y626" s="18"/>
      <c r="Z626" s="18"/>
      <c r="AA626" s="19">
        <f t="shared" si="1"/>
        <v>9</v>
      </c>
    </row>
    <row r="627" ht="31.5" customHeight="1">
      <c r="A627" s="12">
        <v>45191.0</v>
      </c>
      <c r="B627" s="14" t="s">
        <v>201</v>
      </c>
      <c r="C627" s="14" t="s">
        <v>4553</v>
      </c>
      <c r="D627" s="14"/>
      <c r="E627" s="14"/>
      <c r="F627" s="14" t="s">
        <v>4554</v>
      </c>
      <c r="G627" s="14"/>
      <c r="H627" s="14"/>
      <c r="I627" s="590" t="s">
        <v>3242</v>
      </c>
      <c r="J627" s="223"/>
      <c r="K627" s="14"/>
      <c r="L627" s="14" t="s">
        <v>3243</v>
      </c>
      <c r="M627" s="223"/>
      <c r="N627" s="14" t="s">
        <v>111</v>
      </c>
      <c r="O627" s="14" t="s">
        <v>565</v>
      </c>
      <c r="P627" s="14"/>
      <c r="Q627" s="14"/>
      <c r="R627" s="14"/>
      <c r="S627" s="14" t="s">
        <v>3244</v>
      </c>
      <c r="T627" s="14" t="s">
        <v>4096</v>
      </c>
      <c r="U627" s="17"/>
      <c r="V627" s="14"/>
      <c r="W627" s="14"/>
      <c r="X627" s="18"/>
      <c r="Y627" s="18"/>
      <c r="Z627" s="18"/>
      <c r="AA627" s="19">
        <f t="shared" si="1"/>
        <v>9</v>
      </c>
    </row>
    <row r="628" ht="31.5" customHeight="1">
      <c r="A628" s="12">
        <v>45136.0</v>
      </c>
      <c r="B628" s="14" t="s">
        <v>4620</v>
      </c>
      <c r="C628" s="44" t="s">
        <v>3245</v>
      </c>
      <c r="D628" s="14" t="s">
        <v>3246</v>
      </c>
      <c r="E628" s="14"/>
      <c r="F628" s="14"/>
      <c r="G628" s="14">
        <v>4.0</v>
      </c>
      <c r="H628" s="14"/>
      <c r="I628" s="590" t="s">
        <v>3247</v>
      </c>
      <c r="J628" s="223"/>
      <c r="K628" s="14"/>
      <c r="L628" s="14" t="s">
        <v>3248</v>
      </c>
      <c r="M628" s="223"/>
      <c r="N628" s="14" t="s">
        <v>111</v>
      </c>
      <c r="O628" s="14" t="s">
        <v>13</v>
      </c>
      <c r="P628" s="14" t="s">
        <v>3249</v>
      </c>
      <c r="Q628" s="14"/>
      <c r="R628" s="14"/>
      <c r="S628" s="14" t="s">
        <v>3250</v>
      </c>
      <c r="T628" s="14" t="s">
        <v>4197</v>
      </c>
      <c r="U628" s="17"/>
      <c r="V628" s="14"/>
      <c r="W628" s="14"/>
      <c r="X628" s="18"/>
      <c r="Y628" s="18"/>
      <c r="Z628" s="18"/>
      <c r="AA628" s="19">
        <f t="shared" si="1"/>
        <v>7</v>
      </c>
    </row>
    <row r="629" ht="31.5" customHeight="1">
      <c r="A629" s="12">
        <v>45191.0</v>
      </c>
      <c r="B629" s="14" t="s">
        <v>539</v>
      </c>
      <c r="C629" s="14" t="s">
        <v>3251</v>
      </c>
      <c r="D629" s="14" t="s">
        <v>3252</v>
      </c>
      <c r="E629" s="14"/>
      <c r="F629" s="14"/>
      <c r="G629" s="14">
        <v>5.0</v>
      </c>
      <c r="H629" s="14"/>
      <c r="I629" s="590" t="s">
        <v>3253</v>
      </c>
      <c r="J629" s="223"/>
      <c r="K629" s="14"/>
      <c r="L629" s="14"/>
      <c r="M629" s="223"/>
      <c r="N629" s="14" t="s">
        <v>111</v>
      </c>
      <c r="O629" s="14" t="s">
        <v>13</v>
      </c>
      <c r="P629" s="14" t="s">
        <v>3254</v>
      </c>
      <c r="Q629" s="14"/>
      <c r="R629" s="14"/>
      <c r="S629" s="14" t="s">
        <v>3255</v>
      </c>
      <c r="T629" s="14" t="s">
        <v>4197</v>
      </c>
      <c r="U629" s="17"/>
      <c r="V629" s="14"/>
      <c r="W629" s="14"/>
      <c r="X629" s="18"/>
      <c r="Y629" s="18"/>
      <c r="Z629" s="18"/>
      <c r="AA629" s="19">
        <f t="shared" si="1"/>
        <v>9</v>
      </c>
    </row>
    <row r="630" ht="31.5" customHeight="1">
      <c r="A630" s="12">
        <v>45191.0</v>
      </c>
      <c r="B630" s="14" t="s">
        <v>703</v>
      </c>
      <c r="C630" s="14" t="s">
        <v>3256</v>
      </c>
      <c r="D630" s="14" t="s">
        <v>3257</v>
      </c>
      <c r="E630" s="14"/>
      <c r="F630" s="14"/>
      <c r="G630" s="14"/>
      <c r="H630" s="14"/>
      <c r="I630" s="590" t="s">
        <v>3258</v>
      </c>
      <c r="J630" s="223"/>
      <c r="K630" s="14"/>
      <c r="L630" s="204" t="s">
        <v>3259</v>
      </c>
      <c r="M630" s="223"/>
      <c r="N630" s="14" t="s">
        <v>111</v>
      </c>
      <c r="O630" s="14" t="s">
        <v>565</v>
      </c>
      <c r="P630" s="14"/>
      <c r="Q630" s="14"/>
      <c r="R630" s="14"/>
      <c r="S630" s="383" t="s">
        <v>3260</v>
      </c>
      <c r="T630" s="14" t="s">
        <v>4197</v>
      </c>
      <c r="U630" s="17"/>
      <c r="V630" s="14"/>
      <c r="W630" s="14"/>
      <c r="X630" s="18"/>
      <c r="Y630" s="18"/>
      <c r="Z630" s="18"/>
      <c r="AA630" s="19">
        <f t="shared" si="1"/>
        <v>9</v>
      </c>
    </row>
    <row r="631" ht="31.5" customHeight="1">
      <c r="A631" s="12">
        <v>45192.0</v>
      </c>
      <c r="B631" s="14" t="s">
        <v>4620</v>
      </c>
      <c r="C631" s="669" t="s">
        <v>3261</v>
      </c>
      <c r="D631" s="669" t="s">
        <v>3262</v>
      </c>
      <c r="E631" s="316"/>
      <c r="F631" s="670">
        <v>41127.0</v>
      </c>
      <c r="G631" s="669">
        <v>6.0</v>
      </c>
      <c r="H631" s="316"/>
      <c r="I631" s="671" t="s">
        <v>3263</v>
      </c>
      <c r="J631" s="672"/>
      <c r="K631" s="14"/>
      <c r="L631" s="204" t="s">
        <v>3264</v>
      </c>
      <c r="M631" s="223"/>
      <c r="N631" s="14" t="s">
        <v>111</v>
      </c>
      <c r="O631" s="14" t="s">
        <v>216</v>
      </c>
      <c r="P631" s="14"/>
      <c r="Q631" s="14"/>
      <c r="R631" s="14"/>
      <c r="S631" s="14" t="s">
        <v>3265</v>
      </c>
      <c r="T631" s="14" t="s">
        <v>4096</v>
      </c>
      <c r="U631" s="17"/>
      <c r="V631" s="14"/>
      <c r="W631" s="14"/>
      <c r="X631" s="18"/>
      <c r="Y631" s="18"/>
      <c r="Z631" s="18"/>
      <c r="AA631" s="19">
        <f t="shared" si="1"/>
        <v>9</v>
      </c>
    </row>
    <row r="632" ht="31.5" customHeight="1">
      <c r="A632" s="12">
        <v>45192.0</v>
      </c>
      <c r="B632" s="14" t="s">
        <v>4620</v>
      </c>
      <c r="C632" s="14" t="s">
        <v>3270</v>
      </c>
      <c r="D632" s="14"/>
      <c r="E632" s="14"/>
      <c r="F632" s="14"/>
      <c r="G632" s="14"/>
      <c r="H632" s="14"/>
      <c r="I632" s="590" t="s">
        <v>3271</v>
      </c>
      <c r="J632" s="223"/>
      <c r="K632" s="14"/>
      <c r="L632" s="14" t="s">
        <v>3272</v>
      </c>
      <c r="M632" s="223"/>
      <c r="N632" s="14" t="s">
        <v>111</v>
      </c>
      <c r="O632" s="14" t="s">
        <v>216</v>
      </c>
      <c r="P632" s="14"/>
      <c r="Q632" s="14"/>
      <c r="R632" s="14"/>
      <c r="S632" s="14" t="s">
        <v>3273</v>
      </c>
      <c r="T632" s="14" t="s">
        <v>4096</v>
      </c>
      <c r="U632" s="17"/>
      <c r="V632" s="14"/>
      <c r="W632" s="14"/>
      <c r="X632" s="18"/>
      <c r="Y632" s="18"/>
      <c r="Z632" s="18"/>
      <c r="AA632" s="19">
        <f t="shared" si="1"/>
        <v>9</v>
      </c>
    </row>
    <row r="633" ht="31.5" customHeight="1">
      <c r="A633" s="12">
        <v>45192.0</v>
      </c>
      <c r="B633" s="14" t="s">
        <v>703</v>
      </c>
      <c r="C633" s="14" t="s">
        <v>3274</v>
      </c>
      <c r="D633" s="14"/>
      <c r="E633" s="14"/>
      <c r="F633" s="14"/>
      <c r="G633" s="14"/>
      <c r="H633" s="14"/>
      <c r="I633" s="590" t="s">
        <v>3275</v>
      </c>
      <c r="J633" s="223"/>
      <c r="K633" s="14"/>
      <c r="L633" s="14" t="s">
        <v>3276</v>
      </c>
      <c r="M633" s="223"/>
      <c r="N633" s="14" t="s">
        <v>111</v>
      </c>
      <c r="O633" s="14" t="s">
        <v>34</v>
      </c>
      <c r="P633" s="14"/>
      <c r="Q633" s="14"/>
      <c r="R633" s="14"/>
      <c r="S633" s="14" t="s">
        <v>3277</v>
      </c>
      <c r="T633" s="14" t="s">
        <v>4069</v>
      </c>
      <c r="U633" s="17"/>
      <c r="V633" s="14"/>
      <c r="W633" s="14"/>
      <c r="X633" s="18"/>
      <c r="Y633" s="18"/>
      <c r="Z633" s="18"/>
      <c r="AA633" s="19">
        <f t="shared" si="1"/>
        <v>9</v>
      </c>
    </row>
    <row r="634" ht="31.5" customHeight="1">
      <c r="A634" s="12">
        <v>45192.0</v>
      </c>
      <c r="B634" s="14" t="s">
        <v>73</v>
      </c>
      <c r="C634" s="14" t="s">
        <v>3278</v>
      </c>
      <c r="D634" s="14"/>
      <c r="E634" s="14"/>
      <c r="F634" s="14"/>
      <c r="G634" s="14"/>
      <c r="H634" s="14"/>
      <c r="I634" s="590" t="s">
        <v>3279</v>
      </c>
      <c r="J634" s="223"/>
      <c r="K634" s="14"/>
      <c r="L634" s="14"/>
      <c r="M634" s="223"/>
      <c r="N634" s="14" t="s">
        <v>111</v>
      </c>
      <c r="O634" s="14" t="s">
        <v>565</v>
      </c>
      <c r="P634" s="14"/>
      <c r="Q634" s="14"/>
      <c r="R634" s="14"/>
      <c r="S634" s="14" t="s">
        <v>3280</v>
      </c>
      <c r="T634" s="14" t="s">
        <v>4096</v>
      </c>
      <c r="U634" s="17"/>
      <c r="V634" s="14"/>
      <c r="W634" s="14"/>
      <c r="X634" s="18"/>
      <c r="Y634" s="18"/>
      <c r="Z634" s="18"/>
      <c r="AA634" s="19">
        <f t="shared" si="1"/>
        <v>9</v>
      </c>
    </row>
    <row r="635" ht="31.5" customHeight="1">
      <c r="A635" s="12">
        <v>45192.0</v>
      </c>
      <c r="B635" s="14" t="s">
        <v>703</v>
      </c>
      <c r="C635" s="14" t="s">
        <v>3281</v>
      </c>
      <c r="D635" s="14"/>
      <c r="E635" s="14"/>
      <c r="F635" s="14"/>
      <c r="G635" s="14"/>
      <c r="H635" s="14"/>
      <c r="I635" s="590" t="s">
        <v>3282</v>
      </c>
      <c r="J635" s="223"/>
      <c r="K635" s="14"/>
      <c r="L635" s="14" t="s">
        <v>3283</v>
      </c>
      <c r="M635" s="223"/>
      <c r="N635" s="14" t="s">
        <v>111</v>
      </c>
      <c r="O635" s="14" t="s">
        <v>34</v>
      </c>
      <c r="P635" s="14"/>
      <c r="Q635" s="14"/>
      <c r="R635" s="14"/>
      <c r="S635" s="14" t="s">
        <v>3284</v>
      </c>
      <c r="T635" s="14" t="s">
        <v>4069</v>
      </c>
      <c r="U635" s="17"/>
      <c r="V635" s="14"/>
      <c r="W635" s="14"/>
      <c r="X635" s="18"/>
      <c r="Y635" s="18"/>
      <c r="Z635" s="18"/>
      <c r="AA635" s="19">
        <f t="shared" si="1"/>
        <v>9</v>
      </c>
    </row>
    <row r="636" ht="31.5" customHeight="1">
      <c r="A636" s="12">
        <v>45192.0</v>
      </c>
      <c r="B636" s="14" t="s">
        <v>703</v>
      </c>
      <c r="C636" s="14" t="s">
        <v>3285</v>
      </c>
      <c r="D636" s="14"/>
      <c r="E636" s="14"/>
      <c r="F636" s="14"/>
      <c r="G636" s="14">
        <v>3.0</v>
      </c>
      <c r="H636" s="14"/>
      <c r="I636" s="590" t="s">
        <v>3286</v>
      </c>
      <c r="J636" s="223"/>
      <c r="K636" s="14"/>
      <c r="L636" s="14" t="s">
        <v>3287</v>
      </c>
      <c r="M636" s="223"/>
      <c r="N636" s="14" t="s">
        <v>111</v>
      </c>
      <c r="O636" s="14" t="s">
        <v>34</v>
      </c>
      <c r="P636" s="14"/>
      <c r="Q636" s="14"/>
      <c r="R636" s="14"/>
      <c r="S636" s="14" t="s">
        <v>3288</v>
      </c>
      <c r="T636" s="14" t="s">
        <v>4069</v>
      </c>
      <c r="U636" s="17"/>
      <c r="V636" s="14"/>
      <c r="W636" s="14"/>
      <c r="X636" s="18"/>
      <c r="Y636" s="18"/>
      <c r="Z636" s="18"/>
      <c r="AA636" s="19">
        <f t="shared" si="1"/>
        <v>9</v>
      </c>
    </row>
    <row r="637" ht="31.5" customHeight="1">
      <c r="A637" s="12">
        <v>45192.0</v>
      </c>
      <c r="B637" s="14" t="s">
        <v>4620</v>
      </c>
      <c r="C637" s="14" t="s">
        <v>3289</v>
      </c>
      <c r="D637" s="14"/>
      <c r="E637" s="14"/>
      <c r="F637" s="14"/>
      <c r="G637" s="14"/>
      <c r="H637" s="14"/>
      <c r="I637" s="596" t="s">
        <v>3290</v>
      </c>
      <c r="J637" s="223"/>
      <c r="K637" s="14"/>
      <c r="L637" s="14" t="s">
        <v>91</v>
      </c>
      <c r="M637" s="223"/>
      <c r="N637" s="14" t="s">
        <v>111</v>
      </c>
      <c r="O637" s="14" t="s">
        <v>216</v>
      </c>
      <c r="P637" s="14"/>
      <c r="Q637" s="14"/>
      <c r="R637" s="14"/>
      <c r="S637" s="14" t="s">
        <v>3291</v>
      </c>
      <c r="T637" s="14" t="s">
        <v>4096</v>
      </c>
      <c r="U637" s="17"/>
      <c r="V637" s="14"/>
      <c r="W637" s="14"/>
      <c r="X637" s="18"/>
      <c r="Y637" s="18"/>
      <c r="Z637" s="18"/>
      <c r="AA637" s="19">
        <f t="shared" si="1"/>
        <v>9</v>
      </c>
    </row>
    <row r="638" ht="31.5" customHeight="1">
      <c r="A638" s="12">
        <v>45192.0</v>
      </c>
      <c r="B638" s="14" t="s">
        <v>4620</v>
      </c>
      <c r="C638" s="14"/>
      <c r="D638" s="14" t="s">
        <v>3292</v>
      </c>
      <c r="E638" s="14"/>
      <c r="F638" s="14"/>
      <c r="G638" s="14"/>
      <c r="H638" s="14"/>
      <c r="I638" s="590" t="s">
        <v>3293</v>
      </c>
      <c r="J638" s="223"/>
      <c r="K638" s="14"/>
      <c r="L638" s="14" t="s">
        <v>3294</v>
      </c>
      <c r="M638" s="223"/>
      <c r="N638" s="14" t="s">
        <v>111</v>
      </c>
      <c r="O638" s="14" t="s">
        <v>216</v>
      </c>
      <c r="P638" s="14"/>
      <c r="Q638" s="14"/>
      <c r="R638" s="14"/>
      <c r="S638" s="14" t="s">
        <v>3295</v>
      </c>
      <c r="T638" s="14" t="s">
        <v>4096</v>
      </c>
      <c r="U638" s="17"/>
      <c r="V638" s="14"/>
      <c r="W638" s="14"/>
      <c r="X638" s="18"/>
      <c r="Y638" s="18"/>
      <c r="Z638" s="18"/>
      <c r="AA638" s="19">
        <f t="shared" si="1"/>
        <v>9</v>
      </c>
    </row>
    <row r="639" ht="31.5" customHeight="1">
      <c r="A639" s="12">
        <v>45192.0</v>
      </c>
      <c r="B639" s="14" t="s">
        <v>4620</v>
      </c>
      <c r="C639" s="14" t="s">
        <v>3296</v>
      </c>
      <c r="D639" s="14" t="s">
        <v>3297</v>
      </c>
      <c r="E639" s="14"/>
      <c r="F639" s="14">
        <v>2017.0</v>
      </c>
      <c r="G639" s="14">
        <v>1.0</v>
      </c>
      <c r="H639" s="14"/>
      <c r="I639" s="590" t="s">
        <v>3298</v>
      </c>
      <c r="J639" s="223"/>
      <c r="K639" s="14"/>
      <c r="L639" s="14"/>
      <c r="M639" s="223"/>
      <c r="N639" s="14" t="s">
        <v>111</v>
      </c>
      <c r="O639" s="14" t="s">
        <v>13</v>
      </c>
      <c r="P639" s="14" t="s">
        <v>3299</v>
      </c>
      <c r="Q639" s="14"/>
      <c r="R639" s="14"/>
      <c r="S639" s="14" t="s">
        <v>3300</v>
      </c>
      <c r="T639" s="14" t="s">
        <v>4069</v>
      </c>
      <c r="U639" s="17"/>
      <c r="V639" s="14"/>
      <c r="W639" s="14"/>
      <c r="X639" s="18"/>
      <c r="Y639" s="18"/>
      <c r="Z639" s="18"/>
      <c r="AA639" s="19">
        <f t="shared" si="1"/>
        <v>9</v>
      </c>
    </row>
    <row r="640" ht="31.5" customHeight="1">
      <c r="A640" s="12">
        <v>45192.0</v>
      </c>
      <c r="B640" s="14" t="s">
        <v>4620</v>
      </c>
      <c r="C640" s="14" t="s">
        <v>3306</v>
      </c>
      <c r="D640" s="14" t="s">
        <v>3307</v>
      </c>
      <c r="E640" s="14"/>
      <c r="F640" s="59">
        <v>40557.0</v>
      </c>
      <c r="G640" s="14" t="s">
        <v>625</v>
      </c>
      <c r="H640" s="14"/>
      <c r="I640" s="590" t="s">
        <v>3308</v>
      </c>
      <c r="J640" s="223"/>
      <c r="K640" s="14"/>
      <c r="L640" s="204" t="s">
        <v>3309</v>
      </c>
      <c r="M640" s="223"/>
      <c r="N640" s="14" t="s">
        <v>111</v>
      </c>
      <c r="O640" s="14" t="s">
        <v>565</v>
      </c>
      <c r="P640" s="14"/>
      <c r="Q640" s="14"/>
      <c r="R640" s="14"/>
      <c r="S640" s="14" t="s">
        <v>3310</v>
      </c>
      <c r="T640" s="14"/>
      <c r="U640" s="17"/>
      <c r="V640" s="14"/>
      <c r="W640" s="14"/>
      <c r="X640" s="18"/>
      <c r="Y640" s="18"/>
      <c r="Z640" s="18"/>
      <c r="AA640" s="19">
        <f t="shared" si="1"/>
        <v>9</v>
      </c>
    </row>
    <row r="641" ht="31.5" customHeight="1">
      <c r="A641" s="12">
        <v>45192.0</v>
      </c>
      <c r="B641" s="14" t="s">
        <v>201</v>
      </c>
      <c r="C641" s="14"/>
      <c r="D641" s="14" t="s">
        <v>3311</v>
      </c>
      <c r="E641" s="14"/>
      <c r="F641" s="59">
        <v>40306.0</v>
      </c>
      <c r="G641" s="14"/>
      <c r="H641" s="14"/>
      <c r="I641" s="590" t="s">
        <v>3312</v>
      </c>
      <c r="J641" s="223"/>
      <c r="K641" s="14"/>
      <c r="L641" s="43" t="s">
        <v>3313</v>
      </c>
      <c r="M641" s="223"/>
      <c r="N641" s="14" t="s">
        <v>111</v>
      </c>
      <c r="O641" s="14" t="s">
        <v>216</v>
      </c>
      <c r="P641" s="14"/>
      <c r="Q641" s="14"/>
      <c r="R641" s="14"/>
      <c r="S641" s="14" t="s">
        <v>3314</v>
      </c>
      <c r="T641" s="14"/>
      <c r="U641" s="17"/>
      <c r="V641" s="14"/>
      <c r="W641" s="14"/>
      <c r="X641" s="18"/>
      <c r="Y641" s="18"/>
      <c r="Z641" s="18"/>
      <c r="AA641" s="19">
        <f t="shared" si="1"/>
        <v>9</v>
      </c>
    </row>
    <row r="642" ht="31.5" customHeight="1">
      <c r="A642" s="12">
        <v>45193.0</v>
      </c>
      <c r="B642" s="14" t="s">
        <v>4620</v>
      </c>
      <c r="C642" s="14" t="s">
        <v>3315</v>
      </c>
      <c r="D642" s="14"/>
      <c r="E642" s="14"/>
      <c r="F642" s="14"/>
      <c r="G642" s="14"/>
      <c r="H642" s="14"/>
      <c r="I642" s="590" t="s">
        <v>3316</v>
      </c>
      <c r="J642" s="223"/>
      <c r="K642" s="14"/>
      <c r="L642" s="14" t="s">
        <v>91</v>
      </c>
      <c r="M642" s="223"/>
      <c r="N642" s="14" t="s">
        <v>111</v>
      </c>
      <c r="O642" s="14" t="s">
        <v>216</v>
      </c>
      <c r="P642" s="14"/>
      <c r="Q642" s="14"/>
      <c r="R642" s="14"/>
      <c r="S642" s="14" t="s">
        <v>3310</v>
      </c>
      <c r="T642" s="14"/>
      <c r="U642" s="17"/>
      <c r="V642" s="14"/>
      <c r="W642" s="14"/>
      <c r="X642" s="18"/>
      <c r="Y642" s="18"/>
      <c r="Z642" s="18"/>
      <c r="AA642" s="19">
        <f t="shared" si="1"/>
        <v>9</v>
      </c>
    </row>
    <row r="643" ht="31.5" customHeight="1">
      <c r="A643" s="12">
        <v>45193.0</v>
      </c>
      <c r="B643" s="14" t="s">
        <v>4620</v>
      </c>
      <c r="C643" s="14" t="s">
        <v>3317</v>
      </c>
      <c r="D643" s="14"/>
      <c r="E643" s="14"/>
      <c r="F643" s="14">
        <v>2013.0</v>
      </c>
      <c r="G643" s="14">
        <v>5.0</v>
      </c>
      <c r="H643" s="14"/>
      <c r="I643" s="590" t="s">
        <v>3318</v>
      </c>
      <c r="J643" s="223"/>
      <c r="K643" s="14"/>
      <c r="L643" s="14" t="s">
        <v>91</v>
      </c>
      <c r="M643" s="223"/>
      <c r="N643" s="14" t="s">
        <v>111</v>
      </c>
      <c r="O643" s="14" t="s">
        <v>34</v>
      </c>
      <c r="P643" s="14"/>
      <c r="Q643" s="14"/>
      <c r="R643" s="14"/>
      <c r="S643" s="14" t="s">
        <v>3319</v>
      </c>
      <c r="T643" s="14" t="s">
        <v>4069</v>
      </c>
      <c r="U643" s="17"/>
      <c r="V643" s="14"/>
      <c r="W643" s="14"/>
      <c r="X643" s="18"/>
      <c r="Y643" s="18"/>
      <c r="Z643" s="18"/>
      <c r="AA643" s="19">
        <f t="shared" si="1"/>
        <v>9</v>
      </c>
    </row>
    <row r="644" ht="31.5" customHeight="1">
      <c r="A644" s="12">
        <v>45193.0</v>
      </c>
      <c r="B644" s="14" t="s">
        <v>4620</v>
      </c>
      <c r="C644" s="14" t="s">
        <v>3320</v>
      </c>
      <c r="D644" s="14"/>
      <c r="E644" s="14"/>
      <c r="F644" s="14">
        <v>2017.0</v>
      </c>
      <c r="G644" s="14">
        <v>1.0</v>
      </c>
      <c r="H644" s="14"/>
      <c r="I644" s="590" t="s">
        <v>3321</v>
      </c>
      <c r="J644" s="223"/>
      <c r="K644" s="14"/>
      <c r="L644" s="14" t="s">
        <v>91</v>
      </c>
      <c r="M644" s="223"/>
      <c r="N644" s="14" t="s">
        <v>111</v>
      </c>
      <c r="O644" s="14" t="s">
        <v>34</v>
      </c>
      <c r="P644" s="14"/>
      <c r="Q644" s="14"/>
      <c r="R644" s="14"/>
      <c r="S644" s="14" t="s">
        <v>3322</v>
      </c>
      <c r="T644" s="14" t="s">
        <v>4069</v>
      </c>
      <c r="U644" s="17"/>
      <c r="V644" s="14"/>
      <c r="W644" s="14"/>
      <c r="X644" s="18"/>
      <c r="Y644" s="18"/>
      <c r="Z644" s="18"/>
      <c r="AA644" s="19">
        <f t="shared" si="1"/>
        <v>9</v>
      </c>
    </row>
    <row r="645" ht="31.5" customHeight="1">
      <c r="A645" s="12">
        <v>45193.0</v>
      </c>
      <c r="B645" s="14" t="s">
        <v>4620</v>
      </c>
      <c r="C645" s="14" t="s">
        <v>3323</v>
      </c>
      <c r="D645" s="14" t="s">
        <v>3324</v>
      </c>
      <c r="E645" s="14"/>
      <c r="F645" s="59">
        <v>41489.0</v>
      </c>
      <c r="G645" s="14">
        <v>5.0</v>
      </c>
      <c r="H645" s="14"/>
      <c r="I645" s="590" t="s">
        <v>3325</v>
      </c>
      <c r="J645" s="223"/>
      <c r="K645" s="14"/>
      <c r="L645" s="204" t="s">
        <v>3326</v>
      </c>
      <c r="M645" s="223"/>
      <c r="N645" s="14" t="s">
        <v>111</v>
      </c>
      <c r="O645" s="14" t="s">
        <v>216</v>
      </c>
      <c r="P645" s="14"/>
      <c r="Q645" s="14"/>
      <c r="R645" s="14"/>
      <c r="S645" s="14" t="s">
        <v>3327</v>
      </c>
      <c r="T645" s="14"/>
      <c r="U645" s="17"/>
      <c r="V645" s="14"/>
      <c r="W645" s="14"/>
      <c r="X645" s="18"/>
      <c r="Y645" s="18"/>
      <c r="Z645" s="18"/>
      <c r="AA645" s="19">
        <f t="shared" si="1"/>
        <v>9</v>
      </c>
    </row>
    <row r="646" ht="31.5" customHeight="1">
      <c r="A646" s="12">
        <v>45193.0</v>
      </c>
      <c r="B646" s="14" t="s">
        <v>4620</v>
      </c>
      <c r="C646" s="14" t="s">
        <v>48</v>
      </c>
      <c r="D646" s="14" t="s">
        <v>3328</v>
      </c>
      <c r="E646" s="14"/>
      <c r="F646" s="142">
        <v>41593.0</v>
      </c>
      <c r="G646" s="14">
        <v>5.0</v>
      </c>
      <c r="H646" s="14"/>
      <c r="I646" s="590" t="s">
        <v>3329</v>
      </c>
      <c r="J646" s="223"/>
      <c r="K646" s="14"/>
      <c r="L646" s="204" t="s">
        <v>3330</v>
      </c>
      <c r="M646" s="223"/>
      <c r="N646" s="14" t="s">
        <v>111</v>
      </c>
      <c r="O646" s="14" t="s">
        <v>565</v>
      </c>
      <c r="P646" s="14"/>
      <c r="Q646" s="14"/>
      <c r="R646" s="14"/>
      <c r="S646" s="14" t="s">
        <v>3331</v>
      </c>
      <c r="T646" s="14"/>
      <c r="U646" s="17"/>
      <c r="V646" s="14"/>
      <c r="W646" s="14"/>
      <c r="X646" s="18"/>
      <c r="Y646" s="18"/>
      <c r="Z646" s="18"/>
      <c r="AA646" s="19">
        <f t="shared" si="1"/>
        <v>9</v>
      </c>
    </row>
    <row r="647" ht="31.5" customHeight="1">
      <c r="A647" s="12">
        <v>45193.0</v>
      </c>
      <c r="B647" s="14" t="s">
        <v>4620</v>
      </c>
      <c r="C647" s="14" t="s">
        <v>3332</v>
      </c>
      <c r="D647" s="14" t="s">
        <v>3333</v>
      </c>
      <c r="E647" s="14"/>
      <c r="F647" s="142">
        <v>41264.0</v>
      </c>
      <c r="G647" s="14" t="s">
        <v>297</v>
      </c>
      <c r="H647" s="14"/>
      <c r="I647" s="590" t="s">
        <v>3334</v>
      </c>
      <c r="J647" s="223"/>
      <c r="K647" s="14"/>
      <c r="L647" s="204" t="s">
        <v>3335</v>
      </c>
      <c r="M647" s="223"/>
      <c r="N647" s="14" t="s">
        <v>111</v>
      </c>
      <c r="O647" s="14" t="s">
        <v>565</v>
      </c>
      <c r="P647" s="14"/>
      <c r="Q647" s="14"/>
      <c r="R647" s="14"/>
      <c r="S647" s="14" t="s">
        <v>3336</v>
      </c>
      <c r="T647" s="14"/>
      <c r="U647" s="17"/>
      <c r="V647" s="14"/>
      <c r="W647" s="14"/>
      <c r="X647" s="18"/>
      <c r="Y647" s="18"/>
      <c r="Z647" s="18"/>
      <c r="AA647" s="19">
        <f t="shared" si="1"/>
        <v>9</v>
      </c>
    </row>
    <row r="648" ht="31.5" customHeight="1">
      <c r="A648" s="12">
        <v>45194.0</v>
      </c>
      <c r="B648" s="14" t="s">
        <v>4620</v>
      </c>
      <c r="C648" s="14" t="s">
        <v>3337</v>
      </c>
      <c r="D648" s="14"/>
      <c r="E648" s="14"/>
      <c r="F648" s="14"/>
      <c r="G648" s="14"/>
      <c r="H648" s="14"/>
      <c r="I648" s="590" t="s">
        <v>3338</v>
      </c>
      <c r="J648" s="223"/>
      <c r="K648" s="14"/>
      <c r="L648" s="14" t="s">
        <v>91</v>
      </c>
      <c r="M648" s="223"/>
      <c r="N648" s="14" t="s">
        <v>111</v>
      </c>
      <c r="O648" s="14" t="s">
        <v>565</v>
      </c>
      <c r="P648" s="14"/>
      <c r="Q648" s="14"/>
      <c r="R648" s="14"/>
      <c r="S648" s="14" t="s">
        <v>3339</v>
      </c>
      <c r="T648" s="14"/>
      <c r="U648" s="17"/>
      <c r="V648" s="14"/>
      <c r="W648" s="14"/>
      <c r="X648" s="18"/>
      <c r="Y648" s="18"/>
      <c r="Z648" s="18"/>
      <c r="AA648" s="19">
        <f t="shared" si="1"/>
        <v>9</v>
      </c>
    </row>
    <row r="649" ht="31.5" customHeight="1">
      <c r="A649" s="12">
        <v>45194.0</v>
      </c>
      <c r="B649" s="14" t="s">
        <v>4620</v>
      </c>
      <c r="C649" s="14" t="s">
        <v>3340</v>
      </c>
      <c r="D649" s="14"/>
      <c r="E649" s="14"/>
      <c r="F649" s="14"/>
      <c r="G649" s="14"/>
      <c r="H649" s="14"/>
      <c r="I649" s="590" t="s">
        <v>3341</v>
      </c>
      <c r="J649" s="223"/>
      <c r="K649" s="14"/>
      <c r="L649" s="14" t="s">
        <v>3342</v>
      </c>
      <c r="M649" s="223"/>
      <c r="N649" s="14" t="s">
        <v>111</v>
      </c>
      <c r="O649" s="14" t="s">
        <v>565</v>
      </c>
      <c r="P649" s="14"/>
      <c r="Q649" s="14"/>
      <c r="R649" s="14"/>
      <c r="S649" s="14" t="s">
        <v>3339</v>
      </c>
      <c r="T649" s="14"/>
      <c r="U649" s="17"/>
      <c r="V649" s="14"/>
      <c r="W649" s="14"/>
      <c r="X649" s="18"/>
      <c r="Y649" s="18"/>
      <c r="Z649" s="18"/>
      <c r="AA649" s="19">
        <f t="shared" si="1"/>
        <v>9</v>
      </c>
    </row>
    <row r="650" ht="31.5" customHeight="1">
      <c r="A650" s="12">
        <v>45194.0</v>
      </c>
      <c r="B650" s="115" t="s">
        <v>4620</v>
      </c>
      <c r="C650" s="14" t="s">
        <v>3343</v>
      </c>
      <c r="D650" s="14"/>
      <c r="E650" s="14"/>
      <c r="F650" s="14"/>
      <c r="G650" s="14"/>
      <c r="H650" s="14"/>
      <c r="I650" s="590" t="s">
        <v>3344</v>
      </c>
      <c r="J650" s="223"/>
      <c r="K650" s="14"/>
      <c r="L650" s="14" t="s">
        <v>3342</v>
      </c>
      <c r="M650" s="223"/>
      <c r="N650" s="14" t="s">
        <v>111</v>
      </c>
      <c r="O650" s="14" t="s">
        <v>565</v>
      </c>
      <c r="P650" s="14"/>
      <c r="Q650" s="14"/>
      <c r="R650" s="14"/>
      <c r="S650" s="14" t="s">
        <v>3345</v>
      </c>
      <c r="T650" s="14"/>
      <c r="U650" s="17"/>
      <c r="V650" s="14"/>
      <c r="W650" s="14"/>
      <c r="X650" s="18"/>
      <c r="Y650" s="18"/>
      <c r="Z650" s="18"/>
      <c r="AA650" s="19">
        <f t="shared" si="1"/>
        <v>9</v>
      </c>
    </row>
    <row r="651" ht="31.5" customHeight="1">
      <c r="A651" s="12">
        <v>45194.0</v>
      </c>
      <c r="B651" s="14" t="s">
        <v>201</v>
      </c>
      <c r="C651" s="14" t="s">
        <v>3346</v>
      </c>
      <c r="D651" s="14" t="s">
        <v>3347</v>
      </c>
      <c r="E651" s="14"/>
      <c r="F651" s="14">
        <v>2012.0</v>
      </c>
      <c r="G651" s="14">
        <v>6.0</v>
      </c>
      <c r="H651" s="14"/>
      <c r="I651" s="590" t="s">
        <v>3348</v>
      </c>
      <c r="J651" s="223"/>
      <c r="K651" s="14"/>
      <c r="L651" s="14"/>
      <c r="M651" s="223"/>
      <c r="N651" s="14" t="s">
        <v>111</v>
      </c>
      <c r="O651" s="14" t="s">
        <v>13</v>
      </c>
      <c r="P651" s="14" t="s">
        <v>3349</v>
      </c>
      <c r="Q651" s="14"/>
      <c r="R651" s="14"/>
      <c r="S651" s="14" t="s">
        <v>3350</v>
      </c>
      <c r="T651" s="14"/>
      <c r="U651" s="17"/>
      <c r="V651" s="14"/>
      <c r="W651" s="14"/>
      <c r="X651" s="18"/>
      <c r="Y651" s="18"/>
      <c r="Z651" s="18"/>
      <c r="AA651" s="19">
        <f t="shared" si="1"/>
        <v>9</v>
      </c>
    </row>
    <row r="652" ht="31.5" customHeight="1">
      <c r="A652" s="12">
        <v>45194.0</v>
      </c>
      <c r="B652" s="14" t="s">
        <v>201</v>
      </c>
      <c r="C652" s="14" t="s">
        <v>3346</v>
      </c>
      <c r="D652" s="14" t="s">
        <v>3351</v>
      </c>
      <c r="E652" s="14"/>
      <c r="F652" s="14">
        <v>2015.0</v>
      </c>
      <c r="G652" s="14">
        <v>3.0</v>
      </c>
      <c r="H652" s="14"/>
      <c r="I652" s="590" t="s">
        <v>3348</v>
      </c>
      <c r="J652" s="223"/>
      <c r="K652" s="14"/>
      <c r="L652" s="14"/>
      <c r="M652" s="223"/>
      <c r="N652" s="14" t="s">
        <v>111</v>
      </c>
      <c r="O652" s="14" t="s">
        <v>13</v>
      </c>
      <c r="P652" s="14" t="s">
        <v>3352</v>
      </c>
      <c r="Q652" s="14"/>
      <c r="R652" s="14"/>
      <c r="S652" s="14" t="s">
        <v>3350</v>
      </c>
      <c r="T652" s="14"/>
      <c r="U652" s="17"/>
      <c r="V652" s="14"/>
      <c r="W652" s="14"/>
      <c r="X652" s="18"/>
      <c r="Y652" s="18"/>
      <c r="Z652" s="18"/>
      <c r="AA652" s="19">
        <f t="shared" si="1"/>
        <v>9</v>
      </c>
    </row>
    <row r="653" ht="31.5" customHeight="1">
      <c r="A653" s="12">
        <v>45194.0</v>
      </c>
      <c r="B653" s="14" t="s">
        <v>4620</v>
      </c>
      <c r="C653" s="14" t="s">
        <v>3353</v>
      </c>
      <c r="D653" s="14" t="s">
        <v>3354</v>
      </c>
      <c r="E653" s="14"/>
      <c r="F653" s="59">
        <v>41438.0</v>
      </c>
      <c r="G653" s="14"/>
      <c r="H653" s="14"/>
      <c r="I653" s="590" t="s">
        <v>3355</v>
      </c>
      <c r="J653" s="223"/>
      <c r="K653" s="14"/>
      <c r="L653" s="204" t="s">
        <v>3356</v>
      </c>
      <c r="M653" s="223"/>
      <c r="N653" s="14" t="s">
        <v>111</v>
      </c>
      <c r="O653" s="14" t="s">
        <v>216</v>
      </c>
      <c r="P653" s="14"/>
      <c r="Q653" s="14"/>
      <c r="R653" s="14"/>
      <c r="S653" s="14" t="s">
        <v>3314</v>
      </c>
      <c r="T653" s="14"/>
      <c r="U653" s="17"/>
      <c r="V653" s="14"/>
      <c r="W653" s="14"/>
      <c r="X653" s="18"/>
      <c r="Y653" s="18"/>
      <c r="Z653" s="18"/>
      <c r="AA653" s="19">
        <f t="shared" si="1"/>
        <v>9</v>
      </c>
    </row>
    <row r="654" ht="31.5" customHeight="1">
      <c r="A654" s="12">
        <v>45194.0</v>
      </c>
      <c r="B654" s="14" t="s">
        <v>4620</v>
      </c>
      <c r="C654" s="14"/>
      <c r="D654" s="14" t="s">
        <v>3357</v>
      </c>
      <c r="E654" s="14"/>
      <c r="F654" s="142">
        <v>41132.0</v>
      </c>
      <c r="G654" s="14"/>
      <c r="H654" s="14"/>
      <c r="I654" s="590" t="s">
        <v>3358</v>
      </c>
      <c r="J654" s="223"/>
      <c r="K654" s="14"/>
      <c r="L654" s="204" t="s">
        <v>4545</v>
      </c>
      <c r="M654" s="223"/>
      <c r="N654" s="14" t="s">
        <v>111</v>
      </c>
      <c r="O654" s="14" t="s">
        <v>565</v>
      </c>
      <c r="P654" s="14"/>
      <c r="Q654" s="14"/>
      <c r="R654" s="14"/>
      <c r="S654" s="14" t="s">
        <v>3359</v>
      </c>
      <c r="T654" s="14"/>
      <c r="U654" s="17"/>
      <c r="V654" s="14"/>
      <c r="W654" s="14"/>
      <c r="X654" s="18"/>
      <c r="Y654" s="18"/>
      <c r="Z654" s="18"/>
      <c r="AA654" s="19">
        <f t="shared" si="1"/>
        <v>9</v>
      </c>
    </row>
    <row r="655" ht="31.5" customHeight="1">
      <c r="A655" s="12">
        <v>45195.0</v>
      </c>
      <c r="B655" s="14" t="s">
        <v>4620</v>
      </c>
      <c r="C655" s="14" t="s">
        <v>3360</v>
      </c>
      <c r="D655" s="14"/>
      <c r="E655" s="14"/>
      <c r="F655" s="14"/>
      <c r="G655" s="14"/>
      <c r="H655" s="14"/>
      <c r="I655" s="590" t="s">
        <v>3361</v>
      </c>
      <c r="J655" s="223"/>
      <c r="K655" s="14"/>
      <c r="L655" s="14" t="s">
        <v>4557</v>
      </c>
      <c r="M655" s="223"/>
      <c r="N655" s="14" t="s">
        <v>111</v>
      </c>
      <c r="O655" s="14" t="s">
        <v>565</v>
      </c>
      <c r="P655" s="14"/>
      <c r="Q655" s="14"/>
      <c r="R655" s="14"/>
      <c r="S655" s="14" t="s">
        <v>3363</v>
      </c>
      <c r="T655" s="14"/>
      <c r="U655" s="17"/>
      <c r="V655" s="14"/>
      <c r="W655" s="14"/>
      <c r="X655" s="18"/>
      <c r="Y655" s="18"/>
      <c r="Z655" s="18"/>
      <c r="AA655" s="19">
        <f t="shared" si="1"/>
        <v>9</v>
      </c>
    </row>
    <row r="656" ht="31.5" customHeight="1">
      <c r="A656" s="12">
        <v>45195.0</v>
      </c>
      <c r="B656" s="14" t="s">
        <v>4620</v>
      </c>
      <c r="C656" s="14" t="s">
        <v>3364</v>
      </c>
      <c r="D656" s="14" t="s">
        <v>3365</v>
      </c>
      <c r="E656" s="14"/>
      <c r="F656" s="14"/>
      <c r="G656" s="14">
        <v>3.0</v>
      </c>
      <c r="H656" s="14"/>
      <c r="I656" s="590" t="s">
        <v>3366</v>
      </c>
      <c r="J656" s="223"/>
      <c r="K656" s="14"/>
      <c r="L656" s="14" t="s">
        <v>4557</v>
      </c>
      <c r="M656" s="223"/>
      <c r="N656" s="14" t="s">
        <v>111</v>
      </c>
      <c r="O656" s="14" t="s">
        <v>216</v>
      </c>
      <c r="P656" s="14"/>
      <c r="Q656" s="14"/>
      <c r="R656" s="14"/>
      <c r="S656" s="14" t="s">
        <v>3367</v>
      </c>
      <c r="T656" s="14"/>
      <c r="U656" s="17"/>
      <c r="V656" s="14"/>
      <c r="W656" s="14"/>
      <c r="X656" s="18"/>
      <c r="Y656" s="18"/>
      <c r="Z656" s="18"/>
      <c r="AA656" s="19">
        <f t="shared" si="1"/>
        <v>9</v>
      </c>
    </row>
    <row r="657" ht="31.5" customHeight="1">
      <c r="A657" s="12">
        <v>45193.0</v>
      </c>
      <c r="B657" s="14" t="s">
        <v>4620</v>
      </c>
      <c r="C657" s="14" t="s">
        <v>3368</v>
      </c>
      <c r="D657" s="14" t="s">
        <v>3369</v>
      </c>
      <c r="E657" s="14"/>
      <c r="F657" s="14">
        <v>2015.0</v>
      </c>
      <c r="G657" s="14">
        <v>3.0</v>
      </c>
      <c r="H657" s="14"/>
      <c r="I657" s="590" t="s">
        <v>3370</v>
      </c>
      <c r="J657" s="223"/>
      <c r="K657" s="14"/>
      <c r="L657" s="14" t="s">
        <v>91</v>
      </c>
      <c r="M657" s="223"/>
      <c r="N657" s="14" t="s">
        <v>111</v>
      </c>
      <c r="O657" s="14" t="s">
        <v>565</v>
      </c>
      <c r="P657" s="14"/>
      <c r="Q657" s="14"/>
      <c r="R657" s="14"/>
      <c r="S657" s="14" t="s">
        <v>3371</v>
      </c>
      <c r="T657" s="14"/>
      <c r="U657" s="17"/>
      <c r="V657" s="14"/>
      <c r="W657" s="14"/>
      <c r="X657" s="18"/>
      <c r="Y657" s="18"/>
      <c r="Z657" s="18"/>
      <c r="AA657" s="19">
        <f t="shared" si="1"/>
        <v>9</v>
      </c>
    </row>
    <row r="658" ht="31.5" customHeight="1">
      <c r="A658" s="12">
        <v>45195.0</v>
      </c>
      <c r="B658" s="14" t="s">
        <v>4620</v>
      </c>
      <c r="C658" s="14" t="s">
        <v>3372</v>
      </c>
      <c r="D658" s="14"/>
      <c r="E658" s="14"/>
      <c r="F658" s="14">
        <v>2015.0</v>
      </c>
      <c r="G658" s="14">
        <v>3.0</v>
      </c>
      <c r="H658" s="14"/>
      <c r="I658" s="590" t="s">
        <v>3373</v>
      </c>
      <c r="J658" s="223"/>
      <c r="K658" s="14"/>
      <c r="L658" s="14" t="s">
        <v>3374</v>
      </c>
      <c r="M658" s="223"/>
      <c r="N658" s="14" t="s">
        <v>111</v>
      </c>
      <c r="O658" s="14" t="s">
        <v>565</v>
      </c>
      <c r="P658" s="14"/>
      <c r="Q658" s="14"/>
      <c r="R658" s="14"/>
      <c r="S658" s="14" t="s">
        <v>3375</v>
      </c>
      <c r="T658" s="14"/>
      <c r="U658" s="17"/>
      <c r="V658" s="14"/>
      <c r="W658" s="14"/>
      <c r="X658" s="18"/>
      <c r="Y658" s="18"/>
      <c r="Z658" s="18"/>
      <c r="AA658" s="19">
        <f t="shared" si="1"/>
        <v>9</v>
      </c>
    </row>
    <row r="659" ht="31.5" customHeight="1">
      <c r="A659" s="12">
        <v>45196.0</v>
      </c>
      <c r="B659" s="14" t="s">
        <v>4620</v>
      </c>
      <c r="C659" s="14" t="s">
        <v>3376</v>
      </c>
      <c r="D659" s="14" t="s">
        <v>1168</v>
      </c>
      <c r="E659" s="14"/>
      <c r="F659" s="59">
        <v>41181.0</v>
      </c>
      <c r="G659" s="14">
        <v>6.0</v>
      </c>
      <c r="H659" s="14"/>
      <c r="I659" s="590" t="s">
        <v>3377</v>
      </c>
      <c r="J659" s="223"/>
      <c r="K659" s="14"/>
      <c r="L659" s="204" t="s">
        <v>3378</v>
      </c>
      <c r="M659" s="223"/>
      <c r="N659" s="14" t="s">
        <v>111</v>
      </c>
      <c r="O659" s="14" t="s">
        <v>13</v>
      </c>
      <c r="P659" s="14" t="s">
        <v>3379</v>
      </c>
      <c r="Q659" s="14"/>
      <c r="R659" s="14"/>
      <c r="S659" s="14" t="s">
        <v>3380</v>
      </c>
      <c r="T659" s="14"/>
      <c r="U659" s="17"/>
      <c r="V659" s="14"/>
      <c r="W659" s="14"/>
      <c r="X659" s="18"/>
      <c r="Y659" s="18"/>
      <c r="Z659" s="18"/>
      <c r="AA659" s="19">
        <f t="shared" si="1"/>
        <v>9</v>
      </c>
    </row>
    <row r="660" ht="31.5" customHeight="1">
      <c r="A660" s="12">
        <v>45196.0</v>
      </c>
      <c r="B660" s="14" t="s">
        <v>4620</v>
      </c>
      <c r="C660" s="14" t="s">
        <v>3376</v>
      </c>
      <c r="D660" s="14" t="s">
        <v>3381</v>
      </c>
      <c r="E660" s="14"/>
      <c r="F660" s="59">
        <v>40235.0</v>
      </c>
      <c r="G660" s="14">
        <v>8.0</v>
      </c>
      <c r="H660" s="14"/>
      <c r="I660" s="590" t="s">
        <v>3377</v>
      </c>
      <c r="J660" s="223"/>
      <c r="K660" s="14"/>
      <c r="L660" s="204" t="s">
        <v>3378</v>
      </c>
      <c r="M660" s="223"/>
      <c r="N660" s="14" t="s">
        <v>111</v>
      </c>
      <c r="O660" s="14" t="s">
        <v>13</v>
      </c>
      <c r="P660" s="14" t="s">
        <v>3382</v>
      </c>
      <c r="Q660" s="14"/>
      <c r="R660" s="14"/>
      <c r="S660" s="14" t="s">
        <v>3383</v>
      </c>
      <c r="T660" s="14"/>
      <c r="U660" s="17"/>
      <c r="V660" s="14"/>
      <c r="W660" s="14"/>
      <c r="X660" s="18"/>
      <c r="Y660" s="18"/>
      <c r="Z660" s="18"/>
      <c r="AA660" s="19">
        <f t="shared" si="1"/>
        <v>9</v>
      </c>
    </row>
    <row r="661" ht="31.5" customHeight="1">
      <c r="A661" s="12">
        <v>45196.0</v>
      </c>
      <c r="B661" s="14" t="s">
        <v>4620</v>
      </c>
      <c r="C661" s="14" t="s">
        <v>3384</v>
      </c>
      <c r="D661" s="14"/>
      <c r="E661" s="14"/>
      <c r="F661" s="14"/>
      <c r="G661" s="14"/>
      <c r="H661" s="14"/>
      <c r="I661" s="590" t="s">
        <v>3385</v>
      </c>
      <c r="J661" s="223"/>
      <c r="K661" s="14"/>
      <c r="L661" s="14" t="s">
        <v>3386</v>
      </c>
      <c r="M661" s="223"/>
      <c r="N661" s="14" t="s">
        <v>111</v>
      </c>
      <c r="O661" s="14" t="s">
        <v>34</v>
      </c>
      <c r="P661" s="14"/>
      <c r="Q661" s="14"/>
      <c r="R661" s="14"/>
      <c r="S661" s="14" t="s">
        <v>3387</v>
      </c>
      <c r="T661" s="14"/>
      <c r="U661" s="17"/>
      <c r="V661" s="14"/>
      <c r="W661" s="14"/>
      <c r="X661" s="18"/>
      <c r="Y661" s="18"/>
      <c r="Z661" s="18"/>
      <c r="AA661" s="19">
        <f t="shared" si="1"/>
        <v>9</v>
      </c>
    </row>
    <row r="662" ht="31.5" customHeight="1">
      <c r="A662" s="12">
        <v>45196.0</v>
      </c>
      <c r="B662" s="14" t="s">
        <v>4620</v>
      </c>
      <c r="C662" s="14" t="s">
        <v>3388</v>
      </c>
      <c r="D662" s="14"/>
      <c r="E662" s="14"/>
      <c r="F662" s="59">
        <v>42792.0</v>
      </c>
      <c r="G662" s="14">
        <v>1.0</v>
      </c>
      <c r="H662" s="14"/>
      <c r="I662" s="590" t="s">
        <v>3389</v>
      </c>
      <c r="J662" s="223"/>
      <c r="K662" s="14"/>
      <c r="L662" s="14" t="s">
        <v>3390</v>
      </c>
      <c r="M662" s="223"/>
      <c r="N662" s="14" t="s">
        <v>111</v>
      </c>
      <c r="O662" s="14" t="s">
        <v>565</v>
      </c>
      <c r="P662" s="14"/>
      <c r="Q662" s="14"/>
      <c r="R662" s="14"/>
      <c r="S662" s="14" t="s">
        <v>3391</v>
      </c>
      <c r="T662" s="14"/>
      <c r="U662" s="17"/>
      <c r="V662" s="14"/>
      <c r="W662" s="14"/>
      <c r="X662" s="18"/>
      <c r="Y662" s="18"/>
      <c r="Z662" s="18"/>
      <c r="AA662" s="19">
        <f t="shared" si="1"/>
        <v>9</v>
      </c>
    </row>
    <row r="663" ht="31.5" customHeight="1">
      <c r="A663" s="12">
        <v>45196.0</v>
      </c>
      <c r="B663" s="14" t="s">
        <v>4620</v>
      </c>
      <c r="C663" s="14" t="s">
        <v>3392</v>
      </c>
      <c r="D663" s="14" t="s">
        <v>3393</v>
      </c>
      <c r="E663" s="14"/>
      <c r="F663" s="14">
        <v>2015.0</v>
      </c>
      <c r="G663" s="14">
        <v>3.0</v>
      </c>
      <c r="H663" s="14"/>
      <c r="I663" s="175" t="s">
        <v>3394</v>
      </c>
      <c r="J663" s="223"/>
      <c r="K663" s="14"/>
      <c r="L663" s="14"/>
      <c r="M663" s="223"/>
      <c r="N663" s="14" t="s">
        <v>111</v>
      </c>
      <c r="O663" s="14" t="s">
        <v>565</v>
      </c>
      <c r="P663" s="14"/>
      <c r="Q663" s="14"/>
      <c r="R663" s="14"/>
      <c r="S663" s="14" t="s">
        <v>3395</v>
      </c>
      <c r="T663" s="14" t="s">
        <v>4197</v>
      </c>
      <c r="U663" s="17"/>
      <c r="V663" s="14"/>
      <c r="W663" s="14"/>
      <c r="X663" s="18"/>
      <c r="Y663" s="18"/>
      <c r="Z663" s="18"/>
      <c r="AA663" s="19">
        <f t="shared" si="1"/>
        <v>9</v>
      </c>
    </row>
    <row r="664" ht="31.5" customHeight="1">
      <c r="A664" s="12">
        <v>45197.0</v>
      </c>
      <c r="B664" s="14" t="s">
        <v>4620</v>
      </c>
      <c r="C664" s="14"/>
      <c r="D664" s="14" t="s">
        <v>3396</v>
      </c>
      <c r="E664" s="14"/>
      <c r="F664" s="132" t="s">
        <v>4558</v>
      </c>
      <c r="G664" s="14"/>
      <c r="H664" s="14"/>
      <c r="I664" s="646" t="s">
        <v>3397</v>
      </c>
      <c r="J664" s="223"/>
      <c r="K664" s="14"/>
      <c r="L664" s="204" t="s">
        <v>4545</v>
      </c>
      <c r="M664" s="223"/>
      <c r="N664" s="14" t="s">
        <v>111</v>
      </c>
      <c r="O664" s="14" t="s">
        <v>216</v>
      </c>
      <c r="P664" s="14"/>
      <c r="Q664" s="14"/>
      <c r="R664" s="14"/>
      <c r="S664" s="14" t="s">
        <v>3398</v>
      </c>
      <c r="T664" s="14"/>
      <c r="U664" s="17"/>
      <c r="V664" s="14"/>
      <c r="W664" s="14"/>
      <c r="X664" s="18"/>
      <c r="Y664" s="18"/>
      <c r="Z664" s="18"/>
      <c r="AA664" s="19">
        <f t="shared" si="1"/>
        <v>9</v>
      </c>
    </row>
    <row r="665" ht="31.5" customHeight="1">
      <c r="A665" s="12">
        <v>45197.0</v>
      </c>
      <c r="B665" s="14" t="s">
        <v>4620</v>
      </c>
      <c r="C665" s="14"/>
      <c r="D665" s="14" t="s">
        <v>2588</v>
      </c>
      <c r="E665" s="14"/>
      <c r="F665" s="132" t="s">
        <v>4559</v>
      </c>
      <c r="G665" s="14"/>
      <c r="H665" s="14"/>
      <c r="I665" s="646" t="s">
        <v>2589</v>
      </c>
      <c r="J665" s="223"/>
      <c r="K665" s="14"/>
      <c r="L665" s="204" t="s">
        <v>4545</v>
      </c>
      <c r="M665" s="223"/>
      <c r="N665" s="14" t="s">
        <v>111</v>
      </c>
      <c r="O665" s="14" t="s">
        <v>565</v>
      </c>
      <c r="P665" s="14"/>
      <c r="Q665" s="14"/>
      <c r="R665" s="14"/>
      <c r="S665" s="14" t="s">
        <v>3399</v>
      </c>
      <c r="T665" s="14"/>
      <c r="U665" s="17"/>
      <c r="V665" s="14"/>
      <c r="W665" s="14"/>
      <c r="X665" s="18"/>
      <c r="Y665" s="18"/>
      <c r="Z665" s="18"/>
      <c r="AA665" s="19">
        <f t="shared" si="1"/>
        <v>9</v>
      </c>
    </row>
    <row r="666" ht="31.5" customHeight="1">
      <c r="A666" s="12">
        <v>45197.0</v>
      </c>
      <c r="B666" s="14" t="s">
        <v>4620</v>
      </c>
      <c r="C666" s="14" t="s">
        <v>3400</v>
      </c>
      <c r="D666" s="14" t="s">
        <v>3401</v>
      </c>
      <c r="E666" s="14"/>
      <c r="F666" s="14"/>
      <c r="G666" s="14">
        <v>8.0</v>
      </c>
      <c r="H666" s="14"/>
      <c r="I666" s="590" t="s">
        <v>3402</v>
      </c>
      <c r="J666" s="223"/>
      <c r="K666" s="14">
        <v>9.64919782E8</v>
      </c>
      <c r="L666" s="14" t="s">
        <v>91</v>
      </c>
      <c r="M666" s="223"/>
      <c r="N666" s="14" t="s">
        <v>111</v>
      </c>
      <c r="O666" s="14" t="s">
        <v>13</v>
      </c>
      <c r="P666" s="14" t="s">
        <v>3403</v>
      </c>
      <c r="Q666" s="14"/>
      <c r="R666" s="14"/>
      <c r="S666" s="14" t="s">
        <v>3404</v>
      </c>
      <c r="T666" s="14" t="s">
        <v>4432</v>
      </c>
      <c r="U666" s="17"/>
      <c r="V666" s="14"/>
      <c r="W666" s="14"/>
      <c r="X666" s="18"/>
      <c r="Y666" s="18"/>
      <c r="Z666" s="18"/>
      <c r="AA666" s="19">
        <f t="shared" si="1"/>
        <v>9</v>
      </c>
    </row>
    <row r="667" ht="31.5" customHeight="1">
      <c r="A667" s="12">
        <v>45197.0</v>
      </c>
      <c r="B667" s="14" t="s">
        <v>4620</v>
      </c>
      <c r="C667" s="14" t="s">
        <v>3405</v>
      </c>
      <c r="D667" s="14" t="s">
        <v>3406</v>
      </c>
      <c r="E667" s="14"/>
      <c r="F667" s="142">
        <v>42695.0</v>
      </c>
      <c r="G667" s="14"/>
      <c r="H667" s="14"/>
      <c r="I667" s="596" t="s">
        <v>3407</v>
      </c>
      <c r="J667" s="223"/>
      <c r="K667" s="14"/>
      <c r="L667" s="14" t="s">
        <v>3408</v>
      </c>
      <c r="M667" s="223"/>
      <c r="N667" s="14" t="s">
        <v>111</v>
      </c>
      <c r="O667" s="14" t="s">
        <v>216</v>
      </c>
      <c r="P667" s="14"/>
      <c r="Q667" s="14"/>
      <c r="R667" s="14"/>
      <c r="S667" s="14" t="s">
        <v>3409</v>
      </c>
      <c r="T667" s="14" t="s">
        <v>4096</v>
      </c>
      <c r="U667" s="17"/>
      <c r="V667" s="14"/>
      <c r="W667" s="14"/>
      <c r="X667" s="18"/>
      <c r="Y667" s="18"/>
      <c r="Z667" s="18"/>
      <c r="AA667" s="19">
        <f t="shared" si="1"/>
        <v>9</v>
      </c>
    </row>
    <row r="668" ht="31.5" customHeight="1">
      <c r="A668" s="12">
        <v>45197.0</v>
      </c>
      <c r="B668" s="14" t="s">
        <v>4620</v>
      </c>
      <c r="C668" s="14" t="s">
        <v>3410</v>
      </c>
      <c r="D668" s="14" t="s">
        <v>3411</v>
      </c>
      <c r="E668" s="14"/>
      <c r="F668" s="142">
        <v>43084.0</v>
      </c>
      <c r="G668" s="14" t="s">
        <v>1073</v>
      </c>
      <c r="H668" s="14"/>
      <c r="I668" s="590" t="s">
        <v>3412</v>
      </c>
      <c r="J668" s="223"/>
      <c r="K668" s="14"/>
      <c r="L668" s="14" t="s">
        <v>3413</v>
      </c>
      <c r="M668" s="223"/>
      <c r="N668" s="14" t="s">
        <v>111</v>
      </c>
      <c r="O668" s="14" t="s">
        <v>565</v>
      </c>
      <c r="P668" s="14"/>
      <c r="Q668" s="14"/>
      <c r="R668" s="14"/>
      <c r="S668" s="14" t="s">
        <v>3414</v>
      </c>
      <c r="T668" s="14" t="s">
        <v>4096</v>
      </c>
      <c r="U668" s="17"/>
      <c r="V668" s="14"/>
      <c r="W668" s="14"/>
      <c r="X668" s="18"/>
      <c r="Y668" s="18"/>
      <c r="Z668" s="18"/>
      <c r="AA668" s="19">
        <f t="shared" si="1"/>
        <v>9</v>
      </c>
    </row>
    <row r="669" ht="31.5" customHeight="1">
      <c r="A669" s="12">
        <v>45197.0</v>
      </c>
      <c r="B669" s="14" t="s">
        <v>84</v>
      </c>
      <c r="C669" s="14" t="s">
        <v>3415</v>
      </c>
      <c r="D669" s="14" t="s">
        <v>3416</v>
      </c>
      <c r="E669" s="14"/>
      <c r="F669" s="14">
        <v>2015.0</v>
      </c>
      <c r="G669" s="14">
        <v>3.0</v>
      </c>
      <c r="H669" s="14"/>
      <c r="I669" s="590" t="s">
        <v>3417</v>
      </c>
      <c r="J669" s="223"/>
      <c r="K669" s="14"/>
      <c r="L669" s="14" t="s">
        <v>3418</v>
      </c>
      <c r="M669" s="223"/>
      <c r="N669" s="14" t="s">
        <v>111</v>
      </c>
      <c r="O669" s="14" t="s">
        <v>565</v>
      </c>
      <c r="P669" s="14"/>
      <c r="Q669" s="14"/>
      <c r="R669" s="14"/>
      <c r="S669" s="14" t="s">
        <v>3419</v>
      </c>
      <c r="T669" s="14" t="s">
        <v>4197</v>
      </c>
      <c r="U669" s="17"/>
      <c r="V669" s="14"/>
      <c r="W669" s="14"/>
      <c r="X669" s="18"/>
      <c r="Y669" s="18"/>
      <c r="Z669" s="18"/>
      <c r="AA669" s="19">
        <f t="shared" si="1"/>
        <v>9</v>
      </c>
    </row>
    <row r="670" ht="31.5" customHeight="1">
      <c r="A670" s="12">
        <v>45197.0</v>
      </c>
      <c r="B670" s="14" t="s">
        <v>4620</v>
      </c>
      <c r="C670" s="14" t="s">
        <v>3420</v>
      </c>
      <c r="D670" s="14" t="s">
        <v>2644</v>
      </c>
      <c r="E670" s="14"/>
      <c r="F670" s="142">
        <v>40833.0</v>
      </c>
      <c r="G670" s="14"/>
      <c r="H670" s="14"/>
      <c r="I670" s="590" t="s">
        <v>3421</v>
      </c>
      <c r="J670" s="223"/>
      <c r="K670" s="14"/>
      <c r="L670" s="204" t="s">
        <v>3422</v>
      </c>
      <c r="M670" s="223"/>
      <c r="N670" s="14" t="s">
        <v>111</v>
      </c>
      <c r="O670" s="14" t="s">
        <v>565</v>
      </c>
      <c r="P670" s="14"/>
      <c r="Q670" s="14"/>
      <c r="R670" s="14"/>
      <c r="S670" s="14" t="s">
        <v>3423</v>
      </c>
      <c r="T670" s="14" t="s">
        <v>4197</v>
      </c>
      <c r="U670" s="17"/>
      <c r="V670" s="14"/>
      <c r="W670" s="14"/>
      <c r="X670" s="18"/>
      <c r="Y670" s="18"/>
      <c r="Z670" s="18"/>
      <c r="AA670" s="19">
        <f t="shared" si="1"/>
        <v>9</v>
      </c>
    </row>
    <row r="671" ht="31.5" customHeight="1">
      <c r="A671" s="12">
        <v>45198.0</v>
      </c>
      <c r="B671" s="14" t="s">
        <v>4620</v>
      </c>
      <c r="C671" s="14" t="s">
        <v>3429</v>
      </c>
      <c r="D671" s="14"/>
      <c r="E671" s="14"/>
      <c r="F671" s="14"/>
      <c r="G671" s="14"/>
      <c r="H671" s="14"/>
      <c r="I671" s="590" t="s">
        <v>3430</v>
      </c>
      <c r="J671" s="223"/>
      <c r="K671" s="14"/>
      <c r="L671" s="14" t="s">
        <v>3431</v>
      </c>
      <c r="M671" s="223"/>
      <c r="N671" s="14" t="s">
        <v>111</v>
      </c>
      <c r="O671" s="14" t="s">
        <v>216</v>
      </c>
      <c r="P671" s="14"/>
      <c r="Q671" s="14"/>
      <c r="R671" s="14"/>
      <c r="S671" s="14" t="s">
        <v>3432</v>
      </c>
      <c r="T671" s="14"/>
      <c r="U671" s="17"/>
      <c r="V671" s="14"/>
      <c r="W671" s="14"/>
      <c r="X671" s="18"/>
      <c r="Y671" s="18"/>
      <c r="Z671" s="18"/>
      <c r="AA671" s="19">
        <f t="shared" si="1"/>
        <v>9</v>
      </c>
    </row>
    <row r="672" ht="31.5" customHeight="1">
      <c r="A672" s="12">
        <v>45198.0</v>
      </c>
      <c r="B672" s="14" t="s">
        <v>201</v>
      </c>
      <c r="C672" s="14" t="s">
        <v>4561</v>
      </c>
      <c r="D672" s="14"/>
      <c r="E672" s="14"/>
      <c r="F672" s="14"/>
      <c r="G672" s="14"/>
      <c r="H672" s="14"/>
      <c r="I672" s="590" t="s">
        <v>3434</v>
      </c>
      <c r="J672" s="223"/>
      <c r="K672" s="14"/>
      <c r="L672" s="14"/>
      <c r="M672" s="223"/>
      <c r="N672" s="14" t="s">
        <v>111</v>
      </c>
      <c r="O672" s="14" t="s">
        <v>216</v>
      </c>
      <c r="P672" s="14"/>
      <c r="Q672" s="14"/>
      <c r="R672" s="14"/>
      <c r="S672" s="14" t="s">
        <v>3435</v>
      </c>
      <c r="T672" s="14"/>
      <c r="U672" s="17"/>
      <c r="V672" s="14"/>
      <c r="W672" s="14"/>
      <c r="X672" s="18"/>
      <c r="Y672" s="18"/>
      <c r="Z672" s="18"/>
      <c r="AA672" s="19">
        <f t="shared" si="1"/>
        <v>9</v>
      </c>
    </row>
    <row r="673" ht="31.5" customHeight="1">
      <c r="A673" s="12">
        <v>45198.0</v>
      </c>
      <c r="B673" s="14" t="s">
        <v>4621</v>
      </c>
      <c r="C673" s="14"/>
      <c r="D673" s="14" t="s">
        <v>3436</v>
      </c>
      <c r="E673" s="14"/>
      <c r="F673" s="14"/>
      <c r="G673" s="14"/>
      <c r="H673" s="14"/>
      <c r="I673" s="590" t="s">
        <v>3437</v>
      </c>
      <c r="J673" s="223"/>
      <c r="K673" s="14"/>
      <c r="L673" s="14"/>
      <c r="M673" s="223"/>
      <c r="N673" s="14" t="s">
        <v>111</v>
      </c>
      <c r="O673" s="14" t="s">
        <v>34</v>
      </c>
      <c r="P673" s="14"/>
      <c r="Q673" s="14"/>
      <c r="R673" s="14"/>
      <c r="S673" s="14" t="s">
        <v>3438</v>
      </c>
      <c r="T673" s="14" t="s">
        <v>4069</v>
      </c>
      <c r="U673" s="17"/>
      <c r="V673" s="14"/>
      <c r="W673" s="14"/>
      <c r="X673" s="18"/>
      <c r="Y673" s="18"/>
      <c r="Z673" s="18"/>
      <c r="AA673" s="19">
        <f t="shared" si="1"/>
        <v>9</v>
      </c>
    </row>
    <row r="674" ht="31.5" customHeight="1">
      <c r="A674" s="12">
        <v>45199.0</v>
      </c>
      <c r="B674" s="14" t="s">
        <v>4620</v>
      </c>
      <c r="C674" s="14" t="s">
        <v>3439</v>
      </c>
      <c r="D674" s="14"/>
      <c r="E674" s="14"/>
      <c r="F674" s="14">
        <v>2015.0</v>
      </c>
      <c r="G674" s="14">
        <v>3.0</v>
      </c>
      <c r="H674" s="14"/>
      <c r="I674" s="590" t="s">
        <v>3440</v>
      </c>
      <c r="J674" s="223"/>
      <c r="K674" s="14"/>
      <c r="L674" s="14"/>
      <c r="M674" s="223"/>
      <c r="N674" s="14" t="s">
        <v>111</v>
      </c>
      <c r="O674" s="14" t="s">
        <v>565</v>
      </c>
      <c r="P674" s="14"/>
      <c r="Q674" s="14"/>
      <c r="R674" s="14"/>
      <c r="S674" s="14" t="s">
        <v>3441</v>
      </c>
      <c r="T674" s="14"/>
      <c r="U674" s="17"/>
      <c r="V674" s="14"/>
      <c r="W674" s="14"/>
      <c r="X674" s="18"/>
      <c r="Y674" s="18"/>
      <c r="Z674" s="18"/>
      <c r="AA674" s="19">
        <f t="shared" si="1"/>
        <v>9</v>
      </c>
    </row>
    <row r="675" ht="31.5" customHeight="1">
      <c r="A675" s="12">
        <v>45199.0</v>
      </c>
      <c r="B675" s="14" t="s">
        <v>4620</v>
      </c>
      <c r="C675" s="14"/>
      <c r="D675" s="14" t="s">
        <v>3442</v>
      </c>
      <c r="E675" s="14"/>
      <c r="F675" s="59">
        <v>40408.0</v>
      </c>
      <c r="G675" s="14"/>
      <c r="H675" s="14"/>
      <c r="I675" s="590" t="s">
        <v>3443</v>
      </c>
      <c r="J675" s="223"/>
      <c r="K675" s="14"/>
      <c r="L675" s="14" t="s">
        <v>3444</v>
      </c>
      <c r="M675" s="223"/>
      <c r="N675" s="14" t="s">
        <v>111</v>
      </c>
      <c r="O675" s="14" t="s">
        <v>565</v>
      </c>
      <c r="P675" s="14"/>
      <c r="Q675" s="14"/>
      <c r="R675" s="14"/>
      <c r="S675" s="14" t="s">
        <v>3445</v>
      </c>
      <c r="T675" s="14"/>
      <c r="U675" s="17"/>
      <c r="V675" s="14"/>
      <c r="W675" s="14"/>
      <c r="X675" s="18"/>
      <c r="Y675" s="18"/>
      <c r="Z675" s="18"/>
      <c r="AA675" s="19">
        <f t="shared" si="1"/>
        <v>9</v>
      </c>
    </row>
    <row r="676" ht="31.5" customHeight="1">
      <c r="A676" s="12">
        <v>45199.0</v>
      </c>
      <c r="B676" s="14" t="s">
        <v>4620</v>
      </c>
      <c r="C676" s="14"/>
      <c r="D676" s="14" t="s">
        <v>3446</v>
      </c>
      <c r="E676" s="14"/>
      <c r="F676" s="59">
        <v>41990.0</v>
      </c>
      <c r="G676" s="14"/>
      <c r="H676" s="14"/>
      <c r="I676" s="590" t="s">
        <v>3443</v>
      </c>
      <c r="J676" s="223"/>
      <c r="K676" s="14"/>
      <c r="L676" s="14" t="s">
        <v>3444</v>
      </c>
      <c r="M676" s="223"/>
      <c r="N676" s="14" t="s">
        <v>111</v>
      </c>
      <c r="O676" s="14" t="s">
        <v>565</v>
      </c>
      <c r="P676" s="14"/>
      <c r="Q676" s="14"/>
      <c r="R676" s="14"/>
      <c r="S676" s="14" t="s">
        <v>3445</v>
      </c>
      <c r="T676" s="14"/>
      <c r="U676" s="17"/>
      <c r="V676" s="14"/>
      <c r="W676" s="14"/>
      <c r="X676" s="18"/>
      <c r="Y676" s="18"/>
      <c r="Z676" s="18"/>
      <c r="AA676" s="19">
        <f t="shared" si="1"/>
        <v>9</v>
      </c>
    </row>
    <row r="677" ht="31.5" customHeight="1">
      <c r="A677" s="12">
        <v>45200.0</v>
      </c>
      <c r="B677" s="14" t="s">
        <v>4620</v>
      </c>
      <c r="C677" s="14" t="s">
        <v>3447</v>
      </c>
      <c r="D677" s="14"/>
      <c r="E677" s="14"/>
      <c r="F677" s="14">
        <v>2012.0</v>
      </c>
      <c r="G677" s="14">
        <v>6.0</v>
      </c>
      <c r="H677" s="14"/>
      <c r="I677" s="590" t="s">
        <v>3448</v>
      </c>
      <c r="J677" s="223"/>
      <c r="K677" s="14"/>
      <c r="L677" s="14"/>
      <c r="M677" s="223"/>
      <c r="N677" s="14" t="s">
        <v>111</v>
      </c>
      <c r="O677" s="14" t="s">
        <v>565</v>
      </c>
      <c r="P677" s="14"/>
      <c r="Q677" s="14"/>
      <c r="R677" s="14"/>
      <c r="S677" s="14" t="s">
        <v>3449</v>
      </c>
      <c r="T677" s="14"/>
      <c r="U677" s="17"/>
      <c r="V677" s="14"/>
      <c r="W677" s="14"/>
      <c r="X677" s="18"/>
      <c r="Y677" s="18"/>
      <c r="Z677" s="18"/>
      <c r="AA677" s="19">
        <f t="shared" si="1"/>
        <v>10</v>
      </c>
    </row>
    <row r="678" ht="31.5" customHeight="1">
      <c r="A678" s="12">
        <v>45201.0</v>
      </c>
      <c r="B678" s="14" t="s">
        <v>4620</v>
      </c>
      <c r="C678" s="14" t="s">
        <v>3450</v>
      </c>
      <c r="D678" s="14"/>
      <c r="E678" s="14"/>
      <c r="F678" s="14"/>
      <c r="G678" s="14"/>
      <c r="H678" s="14"/>
      <c r="I678" s="590" t="s">
        <v>3451</v>
      </c>
      <c r="J678" s="223"/>
      <c r="K678" s="14"/>
      <c r="L678" s="14"/>
      <c r="M678" s="223"/>
      <c r="N678" s="14" t="s">
        <v>111</v>
      </c>
      <c r="O678" s="14" t="s">
        <v>216</v>
      </c>
      <c r="P678" s="14"/>
      <c r="Q678" s="14"/>
      <c r="R678" s="14"/>
      <c r="S678" s="14" t="s">
        <v>3452</v>
      </c>
      <c r="T678" s="14"/>
      <c r="U678" s="17"/>
      <c r="V678" s="14"/>
      <c r="W678" s="14"/>
      <c r="X678" s="18"/>
      <c r="Y678" s="18"/>
      <c r="Z678" s="18"/>
      <c r="AA678" s="19">
        <f t="shared" si="1"/>
        <v>10</v>
      </c>
    </row>
    <row r="679" ht="31.5" customHeight="1">
      <c r="A679" s="12">
        <v>45201.0</v>
      </c>
      <c r="B679" s="14" t="s">
        <v>4620</v>
      </c>
      <c r="C679" s="14" t="s">
        <v>3453</v>
      </c>
      <c r="D679" s="14" t="s">
        <v>3454</v>
      </c>
      <c r="E679" s="14"/>
      <c r="F679" s="14">
        <v>2013.0</v>
      </c>
      <c r="G679" s="14">
        <v>5.0</v>
      </c>
      <c r="H679" s="14"/>
      <c r="I679" s="590" t="s">
        <v>3455</v>
      </c>
      <c r="J679" s="223"/>
      <c r="K679" s="14"/>
      <c r="L679" s="14" t="s">
        <v>3456</v>
      </c>
      <c r="M679" s="591" t="s">
        <v>5951</v>
      </c>
      <c r="N679" s="14" t="s">
        <v>111</v>
      </c>
      <c r="O679" s="14" t="s">
        <v>13</v>
      </c>
      <c r="P679" s="14" t="s">
        <v>3457</v>
      </c>
      <c r="Q679" s="14"/>
      <c r="R679" s="14"/>
      <c r="S679" s="14" t="s">
        <v>3458</v>
      </c>
      <c r="T679" s="14" t="s">
        <v>4197</v>
      </c>
      <c r="U679" s="17"/>
      <c r="V679" s="14"/>
      <c r="W679" s="14"/>
      <c r="X679" s="18"/>
      <c r="Y679" s="18"/>
      <c r="Z679" s="18"/>
      <c r="AA679" s="19">
        <f t="shared" si="1"/>
        <v>10</v>
      </c>
    </row>
    <row r="680" ht="31.5" customHeight="1">
      <c r="A680" s="12">
        <v>45201.0</v>
      </c>
      <c r="B680" s="14" t="s">
        <v>4620</v>
      </c>
      <c r="C680" s="14" t="s">
        <v>3453</v>
      </c>
      <c r="D680" s="14" t="s">
        <v>3459</v>
      </c>
      <c r="E680" s="14"/>
      <c r="F680" s="14">
        <v>2015.0</v>
      </c>
      <c r="G680" s="14">
        <v>3.0</v>
      </c>
      <c r="H680" s="14"/>
      <c r="I680" s="590" t="s">
        <v>3455</v>
      </c>
      <c r="J680" s="223"/>
      <c r="K680" s="14"/>
      <c r="L680" s="14" t="s">
        <v>3456</v>
      </c>
      <c r="M680" s="591" t="s">
        <v>5951</v>
      </c>
      <c r="N680" s="14" t="s">
        <v>111</v>
      </c>
      <c r="O680" s="14" t="s">
        <v>13</v>
      </c>
      <c r="P680" s="14" t="s">
        <v>3460</v>
      </c>
      <c r="Q680" s="14"/>
      <c r="R680" s="14"/>
      <c r="S680" s="14" t="s">
        <v>3458</v>
      </c>
      <c r="T680" s="14" t="s">
        <v>4197</v>
      </c>
      <c r="U680" s="17"/>
      <c r="V680" s="14"/>
      <c r="W680" s="14"/>
      <c r="X680" s="18"/>
      <c r="Y680" s="18"/>
      <c r="Z680" s="18"/>
      <c r="AA680" s="19">
        <f t="shared" si="1"/>
        <v>10</v>
      </c>
    </row>
    <row r="681" ht="31.5" customHeight="1">
      <c r="A681" s="12">
        <v>45201.0</v>
      </c>
      <c r="B681" s="14" t="s">
        <v>4620</v>
      </c>
      <c r="C681" s="14"/>
      <c r="D681" s="14" t="s">
        <v>3461</v>
      </c>
      <c r="E681" s="14"/>
      <c r="F681" s="59">
        <v>41878.0</v>
      </c>
      <c r="G681" s="14"/>
      <c r="H681" s="14"/>
      <c r="I681" s="590" t="s">
        <v>3462</v>
      </c>
      <c r="J681" s="223"/>
      <c r="K681" s="14"/>
      <c r="L681" s="14" t="s">
        <v>3444</v>
      </c>
      <c r="M681" s="223"/>
      <c r="N681" s="14" t="s">
        <v>111</v>
      </c>
      <c r="O681" s="14" t="s">
        <v>216</v>
      </c>
      <c r="P681" s="14"/>
      <c r="Q681" s="14"/>
      <c r="R681" s="14"/>
      <c r="S681" s="14" t="s">
        <v>3463</v>
      </c>
      <c r="T681" s="14" t="s">
        <v>4096</v>
      </c>
      <c r="U681" s="17"/>
      <c r="V681" s="14"/>
      <c r="W681" s="14"/>
      <c r="X681" s="18"/>
      <c r="Y681" s="18"/>
      <c r="Z681" s="18"/>
      <c r="AA681" s="19">
        <f t="shared" si="1"/>
        <v>10</v>
      </c>
    </row>
    <row r="682" ht="31.5" customHeight="1">
      <c r="A682" s="12">
        <v>45201.0</v>
      </c>
      <c r="B682" s="14" t="s">
        <v>201</v>
      </c>
      <c r="C682" s="14" t="s">
        <v>4562</v>
      </c>
      <c r="D682" s="14"/>
      <c r="E682" s="14" t="s">
        <v>4563</v>
      </c>
      <c r="F682" s="14">
        <v>2017.0</v>
      </c>
      <c r="G682" s="14">
        <v>1.0</v>
      </c>
      <c r="H682" s="14"/>
      <c r="I682" s="590" t="s">
        <v>3465</v>
      </c>
      <c r="J682" s="223"/>
      <c r="K682" s="14"/>
      <c r="L682" s="14"/>
      <c r="M682" s="223"/>
      <c r="N682" s="14" t="s">
        <v>111</v>
      </c>
      <c r="O682" s="14" t="s">
        <v>34</v>
      </c>
      <c r="P682" s="14" t="s">
        <v>3466</v>
      </c>
      <c r="Q682" s="14"/>
      <c r="R682" s="14"/>
      <c r="S682" s="14" t="s">
        <v>3467</v>
      </c>
      <c r="T682" s="14" t="s">
        <v>4069</v>
      </c>
      <c r="U682" s="17"/>
      <c r="V682" s="14"/>
      <c r="W682" s="14"/>
      <c r="X682" s="18"/>
      <c r="Y682" s="18"/>
      <c r="Z682" s="18"/>
      <c r="AA682" s="19">
        <f t="shared" si="1"/>
        <v>10</v>
      </c>
    </row>
    <row r="683" ht="31.5" customHeight="1">
      <c r="A683" s="12">
        <v>45202.0</v>
      </c>
      <c r="B683" s="14" t="s">
        <v>4620</v>
      </c>
      <c r="C683" s="14" t="s">
        <v>3468</v>
      </c>
      <c r="D683" s="14"/>
      <c r="E683" s="14"/>
      <c r="F683" s="14"/>
      <c r="G683" s="14"/>
      <c r="H683" s="14"/>
      <c r="I683" s="590" t="s">
        <v>3469</v>
      </c>
      <c r="J683" s="223"/>
      <c r="K683" s="14"/>
      <c r="L683" s="14"/>
      <c r="M683" s="223"/>
      <c r="N683" s="14" t="s">
        <v>111</v>
      </c>
      <c r="O683" s="14" t="s">
        <v>565</v>
      </c>
      <c r="P683" s="14"/>
      <c r="Q683" s="14"/>
      <c r="R683" s="14"/>
      <c r="S683" s="14" t="s">
        <v>3470</v>
      </c>
      <c r="T683" s="14"/>
      <c r="U683" s="17"/>
      <c r="V683" s="14"/>
      <c r="W683" s="14"/>
      <c r="X683" s="18"/>
      <c r="Y683" s="18"/>
      <c r="Z683" s="18"/>
      <c r="AA683" s="19">
        <f t="shared" si="1"/>
        <v>10</v>
      </c>
    </row>
    <row r="684" ht="31.5" customHeight="1">
      <c r="A684" s="12">
        <v>45202.0</v>
      </c>
      <c r="B684" s="14" t="s">
        <v>4620</v>
      </c>
      <c r="C684" s="14" t="s">
        <v>3471</v>
      </c>
      <c r="D684" s="14" t="s">
        <v>3472</v>
      </c>
      <c r="E684" s="14"/>
      <c r="F684" s="142">
        <v>42319.0</v>
      </c>
      <c r="G684" s="14" t="s">
        <v>176</v>
      </c>
      <c r="H684" s="14"/>
      <c r="I684" s="590" t="s">
        <v>3473</v>
      </c>
      <c r="J684" s="223"/>
      <c r="K684" s="14"/>
      <c r="L684" s="14" t="s">
        <v>5952</v>
      </c>
      <c r="M684" s="223"/>
      <c r="N684" s="14" t="s">
        <v>111</v>
      </c>
      <c r="O684" s="14" t="s">
        <v>216</v>
      </c>
      <c r="P684" s="14"/>
      <c r="Q684" s="14"/>
      <c r="R684" s="14"/>
      <c r="S684" s="14" t="s">
        <v>3475</v>
      </c>
      <c r="T684" s="14"/>
      <c r="U684" s="17"/>
      <c r="V684" s="14"/>
      <c r="W684" s="14"/>
      <c r="X684" s="18"/>
      <c r="Y684" s="18"/>
      <c r="Z684" s="18"/>
      <c r="AA684" s="19">
        <f t="shared" si="1"/>
        <v>10</v>
      </c>
    </row>
    <row r="685" ht="31.5" customHeight="1">
      <c r="A685" s="12">
        <v>45202.0</v>
      </c>
      <c r="B685" s="14" t="s">
        <v>4620</v>
      </c>
      <c r="C685" s="14" t="s">
        <v>3476</v>
      </c>
      <c r="D685" s="14" t="s">
        <v>3477</v>
      </c>
      <c r="E685" s="14"/>
      <c r="F685" s="59">
        <v>41791.0</v>
      </c>
      <c r="G685" s="14">
        <v>4.0</v>
      </c>
      <c r="H685" s="14"/>
      <c r="I685" s="590" t="s">
        <v>3478</v>
      </c>
      <c r="J685" s="223"/>
      <c r="K685" s="14"/>
      <c r="L685" s="14" t="s">
        <v>5953</v>
      </c>
      <c r="M685" s="223"/>
      <c r="N685" s="14" t="s">
        <v>111</v>
      </c>
      <c r="O685" s="14" t="s">
        <v>565</v>
      </c>
      <c r="P685" s="14"/>
      <c r="Q685" s="14"/>
      <c r="R685" s="14"/>
      <c r="S685" s="14" t="s">
        <v>3480</v>
      </c>
      <c r="T685" s="14"/>
      <c r="U685" s="17"/>
      <c r="V685" s="14"/>
      <c r="W685" s="14"/>
      <c r="X685" s="18"/>
      <c r="Y685" s="18"/>
      <c r="Z685" s="18"/>
      <c r="AA685" s="19">
        <f t="shared" si="1"/>
        <v>10</v>
      </c>
    </row>
    <row r="686" ht="31.5" customHeight="1">
      <c r="A686" s="12">
        <v>45202.0</v>
      </c>
      <c r="B686" s="14" t="s">
        <v>4620</v>
      </c>
      <c r="C686" s="14" t="s">
        <v>3481</v>
      </c>
      <c r="D686" s="14" t="s">
        <v>3482</v>
      </c>
      <c r="E686" s="14"/>
      <c r="F686" s="59">
        <v>40332.0</v>
      </c>
      <c r="G686" s="14" t="s">
        <v>625</v>
      </c>
      <c r="H686" s="14"/>
      <c r="I686" s="590" t="s">
        <v>3483</v>
      </c>
      <c r="J686" s="223"/>
      <c r="K686" s="14"/>
      <c r="L686" s="14" t="s">
        <v>5954</v>
      </c>
      <c r="M686" s="223"/>
      <c r="N686" s="14" t="s">
        <v>111</v>
      </c>
      <c r="O686" s="14" t="s">
        <v>565</v>
      </c>
      <c r="P686" s="14"/>
      <c r="Q686" s="14"/>
      <c r="R686" s="14"/>
      <c r="S686" s="14" t="s">
        <v>3485</v>
      </c>
      <c r="T686" s="14"/>
      <c r="U686" s="17"/>
      <c r="V686" s="14"/>
      <c r="W686" s="14"/>
      <c r="X686" s="18"/>
      <c r="Y686" s="18"/>
      <c r="Z686" s="18"/>
      <c r="AA686" s="19">
        <f t="shared" si="1"/>
        <v>10</v>
      </c>
    </row>
    <row r="687" ht="31.5" customHeight="1">
      <c r="A687" s="12">
        <v>45202.0</v>
      </c>
      <c r="B687" s="14" t="s">
        <v>4621</v>
      </c>
      <c r="C687" s="14"/>
      <c r="D687" s="14" t="s">
        <v>3486</v>
      </c>
      <c r="E687" s="14"/>
      <c r="F687" s="14"/>
      <c r="G687" s="14"/>
      <c r="H687" s="14"/>
      <c r="I687" s="590" t="s">
        <v>3487</v>
      </c>
      <c r="J687" s="223"/>
      <c r="K687" s="14"/>
      <c r="L687" s="14" t="s">
        <v>3488</v>
      </c>
      <c r="M687" s="223"/>
      <c r="N687" s="14" t="s">
        <v>111</v>
      </c>
      <c r="O687" s="14" t="s">
        <v>216</v>
      </c>
      <c r="P687" s="14"/>
      <c r="Q687" s="14"/>
      <c r="R687" s="14"/>
      <c r="S687" s="14" t="s">
        <v>3475</v>
      </c>
      <c r="T687" s="14"/>
      <c r="U687" s="17"/>
      <c r="V687" s="14"/>
      <c r="W687" s="14"/>
      <c r="X687" s="18"/>
      <c r="Y687" s="18"/>
      <c r="Z687" s="18"/>
      <c r="AA687" s="19">
        <f t="shared" si="1"/>
        <v>10</v>
      </c>
    </row>
    <row r="688" ht="31.5" customHeight="1">
      <c r="A688" s="12">
        <v>45202.0</v>
      </c>
      <c r="B688" s="14" t="s">
        <v>4621</v>
      </c>
      <c r="C688" s="14"/>
      <c r="D688" s="14" t="s">
        <v>3489</v>
      </c>
      <c r="E688" s="14"/>
      <c r="F688" s="14"/>
      <c r="G688" s="14"/>
      <c r="H688" s="14"/>
      <c r="I688" s="590" t="s">
        <v>3490</v>
      </c>
      <c r="J688" s="223"/>
      <c r="K688" s="14"/>
      <c r="L688" s="14" t="s">
        <v>3491</v>
      </c>
      <c r="M688" s="223"/>
      <c r="N688" s="14" t="s">
        <v>111</v>
      </c>
      <c r="O688" s="14" t="s">
        <v>216</v>
      </c>
      <c r="P688" s="14"/>
      <c r="Q688" s="14"/>
      <c r="R688" s="14"/>
      <c r="S688" s="14" t="s">
        <v>3475</v>
      </c>
      <c r="T688" s="14"/>
      <c r="U688" s="17"/>
      <c r="V688" s="14"/>
      <c r="W688" s="14"/>
      <c r="X688" s="18"/>
      <c r="Y688" s="18"/>
      <c r="Z688" s="18"/>
      <c r="AA688" s="19">
        <f t="shared" si="1"/>
        <v>10</v>
      </c>
    </row>
    <row r="689" ht="31.5" customHeight="1">
      <c r="A689" s="12">
        <v>45202.0</v>
      </c>
      <c r="B689" s="14" t="s">
        <v>4620</v>
      </c>
      <c r="C689" s="14" t="s">
        <v>3492</v>
      </c>
      <c r="D689" s="14"/>
      <c r="E689" s="14"/>
      <c r="F689" s="14"/>
      <c r="G689" s="14"/>
      <c r="H689" s="14"/>
      <c r="I689" s="590" t="s">
        <v>3493</v>
      </c>
      <c r="J689" s="223"/>
      <c r="K689" s="14"/>
      <c r="L689" s="14"/>
      <c r="M689" s="223"/>
      <c r="N689" s="14" t="s">
        <v>111</v>
      </c>
      <c r="O689" s="14" t="s">
        <v>565</v>
      </c>
      <c r="P689" s="14"/>
      <c r="Q689" s="14"/>
      <c r="R689" s="14"/>
      <c r="S689" s="14" t="s">
        <v>3494</v>
      </c>
      <c r="T689" s="14"/>
      <c r="U689" s="17"/>
      <c r="V689" s="14"/>
      <c r="W689" s="14"/>
      <c r="X689" s="18"/>
      <c r="Y689" s="18"/>
      <c r="Z689" s="18"/>
      <c r="AA689" s="19">
        <f t="shared" si="1"/>
        <v>10</v>
      </c>
    </row>
    <row r="690" ht="31.5" customHeight="1">
      <c r="A690" s="12">
        <v>45202.0</v>
      </c>
      <c r="B690" s="14" t="s">
        <v>4620</v>
      </c>
      <c r="C690" s="14" t="s">
        <v>3495</v>
      </c>
      <c r="D690" s="14" t="s">
        <v>3496</v>
      </c>
      <c r="E690" s="14"/>
      <c r="F690" s="14">
        <v>2014.0</v>
      </c>
      <c r="G690" s="14">
        <v>4.0</v>
      </c>
      <c r="H690" s="14"/>
      <c r="I690" s="590" t="s">
        <v>3497</v>
      </c>
      <c r="J690" s="223"/>
      <c r="K690" s="14"/>
      <c r="L690" s="14" t="s">
        <v>5955</v>
      </c>
      <c r="M690" s="223"/>
      <c r="N690" s="14" t="s">
        <v>111</v>
      </c>
      <c r="O690" s="14" t="s">
        <v>565</v>
      </c>
      <c r="P690" s="14"/>
      <c r="Q690" s="14"/>
      <c r="R690" s="14"/>
      <c r="S690" s="14" t="s">
        <v>3494</v>
      </c>
      <c r="T690" s="14"/>
      <c r="U690" s="17"/>
      <c r="V690" s="14"/>
      <c r="W690" s="14"/>
      <c r="X690" s="18"/>
      <c r="Y690" s="18"/>
      <c r="Z690" s="18"/>
      <c r="AA690" s="19">
        <f t="shared" si="1"/>
        <v>10</v>
      </c>
    </row>
    <row r="691" ht="31.5" customHeight="1">
      <c r="A691" s="12">
        <v>45202.0</v>
      </c>
      <c r="B691" s="14" t="s">
        <v>4620</v>
      </c>
      <c r="C691" s="14" t="s">
        <v>3499</v>
      </c>
      <c r="D691" s="14" t="s">
        <v>3500</v>
      </c>
      <c r="E691" s="14"/>
      <c r="F691" s="14"/>
      <c r="G691" s="14"/>
      <c r="H691" s="14"/>
      <c r="I691" s="590" t="s">
        <v>3501</v>
      </c>
      <c r="J691" s="223"/>
      <c r="K691" s="14"/>
      <c r="L691" s="14" t="s">
        <v>3502</v>
      </c>
      <c r="M691" s="223"/>
      <c r="N691" s="14" t="s">
        <v>111</v>
      </c>
      <c r="O691" s="14" t="s">
        <v>565</v>
      </c>
      <c r="P691" s="14"/>
      <c r="Q691" s="14"/>
      <c r="R691" s="14"/>
      <c r="S691" s="14" t="s">
        <v>3494</v>
      </c>
      <c r="T691" s="14"/>
      <c r="U691" s="17"/>
      <c r="V691" s="14"/>
      <c r="W691" s="14"/>
      <c r="X691" s="18"/>
      <c r="Y691" s="18"/>
      <c r="Z691" s="18"/>
      <c r="AA691" s="19">
        <f t="shared" si="1"/>
        <v>10</v>
      </c>
    </row>
    <row r="692" ht="31.5" customHeight="1">
      <c r="A692" s="12">
        <v>45202.0</v>
      </c>
      <c r="B692" s="14" t="s">
        <v>4620</v>
      </c>
      <c r="C692" s="14" t="s">
        <v>3503</v>
      </c>
      <c r="D692" s="14"/>
      <c r="E692" s="14"/>
      <c r="F692" s="14"/>
      <c r="G692" s="14"/>
      <c r="H692" s="14"/>
      <c r="I692" s="590" t="s">
        <v>3504</v>
      </c>
      <c r="J692" s="223"/>
      <c r="K692" s="14"/>
      <c r="L692" s="14"/>
      <c r="M692" s="223"/>
      <c r="N692" s="14" t="s">
        <v>111</v>
      </c>
      <c r="O692" s="14" t="s">
        <v>565</v>
      </c>
      <c r="P692" s="14"/>
      <c r="Q692" s="14"/>
      <c r="R692" s="14"/>
      <c r="S692" s="14" t="s">
        <v>3494</v>
      </c>
      <c r="T692" s="14"/>
      <c r="U692" s="17"/>
      <c r="V692" s="14"/>
      <c r="W692" s="14"/>
      <c r="X692" s="18"/>
      <c r="Y692" s="18"/>
      <c r="Z692" s="18"/>
      <c r="AA692" s="19">
        <f t="shared" si="1"/>
        <v>10</v>
      </c>
    </row>
    <row r="693" ht="31.5" customHeight="1">
      <c r="A693" s="12">
        <v>45202.0</v>
      </c>
      <c r="B693" s="14" t="s">
        <v>703</v>
      </c>
      <c r="C693" s="14" t="s">
        <v>3505</v>
      </c>
      <c r="D693" s="14" t="s">
        <v>3506</v>
      </c>
      <c r="E693" s="14"/>
      <c r="F693" s="14" t="s">
        <v>4180</v>
      </c>
      <c r="G693" s="14"/>
      <c r="H693" s="14"/>
      <c r="I693" s="590" t="s">
        <v>3507</v>
      </c>
      <c r="J693" s="223"/>
      <c r="K693" s="14"/>
      <c r="L693" s="14" t="s">
        <v>3508</v>
      </c>
      <c r="M693" s="223"/>
      <c r="N693" s="14" t="s">
        <v>111</v>
      </c>
      <c r="O693" s="14" t="s">
        <v>565</v>
      </c>
      <c r="P693" s="14"/>
      <c r="Q693" s="14"/>
      <c r="R693" s="14"/>
      <c r="S693" s="14" t="s">
        <v>3509</v>
      </c>
      <c r="T693" s="14"/>
      <c r="U693" s="17"/>
      <c r="V693" s="14"/>
      <c r="W693" s="14"/>
      <c r="X693" s="18"/>
      <c r="Y693" s="18"/>
      <c r="Z693" s="18"/>
      <c r="AA693" s="19">
        <f t="shared" si="1"/>
        <v>10</v>
      </c>
    </row>
    <row r="694" ht="31.5" customHeight="1">
      <c r="A694" s="12">
        <v>45202.0</v>
      </c>
      <c r="B694" s="14" t="s">
        <v>703</v>
      </c>
      <c r="C694" s="14" t="s">
        <v>3505</v>
      </c>
      <c r="D694" s="14" t="s">
        <v>3510</v>
      </c>
      <c r="E694" s="14"/>
      <c r="F694" s="14" t="s">
        <v>4349</v>
      </c>
      <c r="G694" s="14"/>
      <c r="H694" s="14"/>
      <c r="I694" s="590" t="s">
        <v>3507</v>
      </c>
      <c r="J694" s="223"/>
      <c r="K694" s="14"/>
      <c r="L694" s="14" t="s">
        <v>3508</v>
      </c>
      <c r="M694" s="223"/>
      <c r="N694" s="14" t="s">
        <v>111</v>
      </c>
      <c r="O694" s="14" t="s">
        <v>565</v>
      </c>
      <c r="P694" s="14"/>
      <c r="Q694" s="14"/>
      <c r="R694" s="14"/>
      <c r="S694" s="14" t="s">
        <v>3509</v>
      </c>
      <c r="T694" s="14"/>
      <c r="U694" s="17"/>
      <c r="V694" s="14"/>
      <c r="W694" s="14"/>
      <c r="X694" s="18"/>
      <c r="Y694" s="18"/>
      <c r="Z694" s="18"/>
      <c r="AA694" s="19">
        <f t="shared" si="1"/>
        <v>10</v>
      </c>
    </row>
    <row r="695" ht="31.5" customHeight="1">
      <c r="A695" s="12">
        <v>45202.0</v>
      </c>
      <c r="B695" s="14" t="s">
        <v>703</v>
      </c>
      <c r="C695" s="14" t="s">
        <v>3505</v>
      </c>
      <c r="D695" s="14" t="s">
        <v>3511</v>
      </c>
      <c r="E695" s="14"/>
      <c r="F695" s="14" t="s">
        <v>4349</v>
      </c>
      <c r="G695" s="14"/>
      <c r="H695" s="14"/>
      <c r="I695" s="590" t="s">
        <v>3507</v>
      </c>
      <c r="J695" s="223"/>
      <c r="K695" s="14"/>
      <c r="L695" s="14" t="s">
        <v>3508</v>
      </c>
      <c r="M695" s="223"/>
      <c r="N695" s="14" t="s">
        <v>111</v>
      </c>
      <c r="O695" s="14" t="s">
        <v>565</v>
      </c>
      <c r="P695" s="14"/>
      <c r="Q695" s="14"/>
      <c r="R695" s="14"/>
      <c r="S695" s="14" t="s">
        <v>3509</v>
      </c>
      <c r="T695" s="14"/>
      <c r="U695" s="17"/>
      <c r="V695" s="14"/>
      <c r="W695" s="14"/>
      <c r="X695" s="18"/>
      <c r="Y695" s="18"/>
      <c r="Z695" s="18"/>
      <c r="AA695" s="19">
        <f t="shared" si="1"/>
        <v>10</v>
      </c>
    </row>
    <row r="696" ht="31.5" customHeight="1">
      <c r="A696" s="12">
        <v>45202.0</v>
      </c>
      <c r="B696" s="14" t="s">
        <v>4620</v>
      </c>
      <c r="C696" s="14" t="s">
        <v>3512</v>
      </c>
      <c r="D696" s="14"/>
      <c r="E696" s="14"/>
      <c r="F696" s="14"/>
      <c r="G696" s="14">
        <v>9.0</v>
      </c>
      <c r="H696" s="14"/>
      <c r="I696" s="590" t="s">
        <v>3513</v>
      </c>
      <c r="J696" s="223"/>
      <c r="K696" s="14"/>
      <c r="L696" s="14" t="s">
        <v>3514</v>
      </c>
      <c r="M696" s="223"/>
      <c r="N696" s="14" t="s">
        <v>111</v>
      </c>
      <c r="O696" s="14" t="s">
        <v>216</v>
      </c>
      <c r="P696" s="14"/>
      <c r="Q696" s="14"/>
      <c r="R696" s="14"/>
      <c r="S696" s="14"/>
      <c r="T696" s="14"/>
      <c r="U696" s="17"/>
      <c r="V696" s="14"/>
      <c r="W696" s="14"/>
      <c r="X696" s="18"/>
      <c r="Y696" s="18"/>
      <c r="Z696" s="18"/>
      <c r="AA696" s="19">
        <f t="shared" si="1"/>
        <v>10</v>
      </c>
    </row>
    <row r="697" ht="31.5" customHeight="1">
      <c r="A697" s="12">
        <v>45203.0</v>
      </c>
      <c r="B697" s="14" t="s">
        <v>4620</v>
      </c>
      <c r="C697" s="14" t="s">
        <v>3515</v>
      </c>
      <c r="D697" s="14"/>
      <c r="E697" s="14"/>
      <c r="F697" s="14"/>
      <c r="G697" s="14"/>
      <c r="H697" s="14"/>
      <c r="I697" s="590" t="s">
        <v>3516</v>
      </c>
      <c r="J697" s="223"/>
      <c r="K697" s="14"/>
      <c r="L697" s="14" t="s">
        <v>3517</v>
      </c>
      <c r="M697" s="223"/>
      <c r="N697" s="14" t="s">
        <v>111</v>
      </c>
      <c r="O697" s="14" t="s">
        <v>216</v>
      </c>
      <c r="P697" s="14"/>
      <c r="Q697" s="14"/>
      <c r="R697" s="14"/>
      <c r="S697" s="14" t="s">
        <v>3518</v>
      </c>
      <c r="T697" s="14"/>
      <c r="U697" s="17"/>
      <c r="V697" s="14"/>
      <c r="W697" s="14"/>
      <c r="X697" s="18"/>
      <c r="Y697" s="18"/>
      <c r="Z697" s="18"/>
      <c r="AA697" s="19">
        <f t="shared" si="1"/>
        <v>10</v>
      </c>
    </row>
    <row r="698" ht="31.5" customHeight="1">
      <c r="A698" s="12">
        <v>45203.0</v>
      </c>
      <c r="B698" s="14" t="s">
        <v>4620</v>
      </c>
      <c r="C698" s="14"/>
      <c r="D698" s="14" t="s">
        <v>3519</v>
      </c>
      <c r="E698" s="14"/>
      <c r="F698" s="59">
        <v>40818.0</v>
      </c>
      <c r="G698" s="14"/>
      <c r="H698" s="14"/>
      <c r="I698" s="590" t="s">
        <v>3520</v>
      </c>
      <c r="J698" s="223"/>
      <c r="K698" s="14"/>
      <c r="L698" s="14" t="s">
        <v>3521</v>
      </c>
      <c r="M698" s="223"/>
      <c r="N698" s="14" t="s">
        <v>111</v>
      </c>
      <c r="O698" s="14" t="s">
        <v>216</v>
      </c>
      <c r="P698" s="14"/>
      <c r="Q698" s="14"/>
      <c r="R698" s="14"/>
      <c r="S698" s="14" t="s">
        <v>3522</v>
      </c>
      <c r="T698" s="14"/>
      <c r="U698" s="17"/>
      <c r="V698" s="14"/>
      <c r="W698" s="14"/>
      <c r="X698" s="18"/>
      <c r="Y698" s="18"/>
      <c r="Z698" s="18"/>
      <c r="AA698" s="19">
        <f t="shared" si="1"/>
        <v>10</v>
      </c>
    </row>
    <row r="699" ht="31.5" customHeight="1">
      <c r="A699" s="12">
        <v>45204.0</v>
      </c>
      <c r="B699" s="14" t="s">
        <v>4620</v>
      </c>
      <c r="C699" s="14" t="s">
        <v>3523</v>
      </c>
      <c r="D699" s="14" t="s">
        <v>3524</v>
      </c>
      <c r="E699" s="14"/>
      <c r="F699" s="59">
        <v>40286.0</v>
      </c>
      <c r="G699" s="14"/>
      <c r="H699" s="14"/>
      <c r="I699" s="590" t="s">
        <v>3525</v>
      </c>
      <c r="J699" s="223"/>
      <c r="K699" s="14"/>
      <c r="L699" s="14" t="s">
        <v>3526</v>
      </c>
      <c r="M699" s="223"/>
      <c r="N699" s="14" t="s">
        <v>111</v>
      </c>
      <c r="O699" s="14" t="s">
        <v>565</v>
      </c>
      <c r="P699" s="14"/>
      <c r="Q699" s="14"/>
      <c r="R699" s="14"/>
      <c r="S699" s="14"/>
      <c r="T699" s="14"/>
      <c r="U699" s="17"/>
      <c r="V699" s="14"/>
      <c r="W699" s="14"/>
      <c r="X699" s="18"/>
      <c r="Y699" s="18"/>
      <c r="Z699" s="18"/>
      <c r="AA699" s="19">
        <f t="shared" si="1"/>
        <v>10</v>
      </c>
    </row>
    <row r="700" ht="31.5" customHeight="1">
      <c r="A700" s="12">
        <v>45204.0</v>
      </c>
      <c r="B700" s="14" t="s">
        <v>340</v>
      </c>
      <c r="C700" s="14"/>
      <c r="D700" s="14" t="s">
        <v>672</v>
      </c>
      <c r="E700" s="14"/>
      <c r="F700" s="14">
        <v>2005.0</v>
      </c>
      <c r="G700" s="14"/>
      <c r="H700" s="14"/>
      <c r="I700" s="590" t="s">
        <v>3532</v>
      </c>
      <c r="J700" s="223"/>
      <c r="K700" s="14"/>
      <c r="L700" s="14" t="s">
        <v>3533</v>
      </c>
      <c r="M700" s="223"/>
      <c r="N700" s="14" t="s">
        <v>111</v>
      </c>
      <c r="O700" s="14" t="s">
        <v>34</v>
      </c>
      <c r="P700" s="14" t="s">
        <v>3534</v>
      </c>
      <c r="Q700" s="14"/>
      <c r="R700" s="14"/>
      <c r="S700" s="14" t="s">
        <v>3535</v>
      </c>
      <c r="T700" s="14"/>
      <c r="U700" s="17"/>
      <c r="V700" s="14"/>
      <c r="W700" s="14"/>
      <c r="X700" s="18"/>
      <c r="Y700" s="18"/>
      <c r="Z700" s="18"/>
      <c r="AA700" s="19">
        <f t="shared" si="1"/>
        <v>10</v>
      </c>
    </row>
    <row r="701" ht="31.5" customHeight="1">
      <c r="A701" s="12">
        <v>45205.0</v>
      </c>
      <c r="B701" s="14" t="s">
        <v>4620</v>
      </c>
      <c r="C701" s="14" t="s">
        <v>3536</v>
      </c>
      <c r="D701" s="14"/>
      <c r="E701" s="14"/>
      <c r="F701" s="14"/>
      <c r="G701" s="14"/>
      <c r="H701" s="14"/>
      <c r="I701" s="590" t="s">
        <v>3537</v>
      </c>
      <c r="J701" s="223"/>
      <c r="K701" s="14"/>
      <c r="L701" s="14"/>
      <c r="M701" s="223"/>
      <c r="N701" s="14" t="s">
        <v>111</v>
      </c>
      <c r="O701" s="14" t="s">
        <v>565</v>
      </c>
      <c r="P701" s="14"/>
      <c r="Q701" s="14"/>
      <c r="R701" s="14"/>
      <c r="S701" s="14" t="s">
        <v>3538</v>
      </c>
      <c r="T701" s="14" t="s">
        <v>4197</v>
      </c>
      <c r="U701" s="17">
        <v>45210.0</v>
      </c>
      <c r="V701" s="14"/>
      <c r="W701" s="14"/>
      <c r="X701" s="18"/>
      <c r="Y701" s="18"/>
      <c r="Z701" s="18"/>
      <c r="AA701" s="19">
        <f t="shared" si="1"/>
        <v>10</v>
      </c>
    </row>
    <row r="702" ht="31.5" customHeight="1">
      <c r="A702" s="12">
        <v>45205.0</v>
      </c>
      <c r="B702" s="14" t="s">
        <v>4620</v>
      </c>
      <c r="C702" s="14" t="s">
        <v>3539</v>
      </c>
      <c r="D702" s="14"/>
      <c r="E702" s="14"/>
      <c r="F702" s="14">
        <v>2012.0</v>
      </c>
      <c r="G702" s="14">
        <v>6.0</v>
      </c>
      <c r="H702" s="14"/>
      <c r="I702" s="590" t="s">
        <v>3540</v>
      </c>
      <c r="J702" s="223"/>
      <c r="K702" s="14"/>
      <c r="L702" s="14" t="s">
        <v>3541</v>
      </c>
      <c r="M702" s="223"/>
      <c r="N702" s="14" t="s">
        <v>111</v>
      </c>
      <c r="O702" s="14" t="s">
        <v>34</v>
      </c>
      <c r="P702" s="14"/>
      <c r="Q702" s="14"/>
      <c r="R702" s="14"/>
      <c r="S702" s="14" t="s">
        <v>3542</v>
      </c>
      <c r="T702" s="14" t="s">
        <v>4197</v>
      </c>
      <c r="U702" s="17">
        <v>45214.0</v>
      </c>
      <c r="V702" s="14"/>
      <c r="W702" s="14"/>
      <c r="X702" s="18"/>
      <c r="Y702" s="18"/>
      <c r="Z702" s="18"/>
      <c r="AA702" s="19">
        <f t="shared" si="1"/>
        <v>10</v>
      </c>
    </row>
    <row r="703" ht="31.5" customHeight="1">
      <c r="A703" s="12">
        <v>45206.0</v>
      </c>
      <c r="B703" s="14" t="s">
        <v>84</v>
      </c>
      <c r="C703" s="14" t="s">
        <v>3543</v>
      </c>
      <c r="D703" s="14"/>
      <c r="E703" s="14"/>
      <c r="F703" s="14"/>
      <c r="G703" s="14"/>
      <c r="H703" s="14"/>
      <c r="I703" s="590" t="s">
        <v>3544</v>
      </c>
      <c r="J703" s="223"/>
      <c r="K703" s="14"/>
      <c r="L703" s="14" t="s">
        <v>3541</v>
      </c>
      <c r="M703" s="223"/>
      <c r="N703" s="14" t="s">
        <v>111</v>
      </c>
      <c r="O703" s="14" t="s">
        <v>34</v>
      </c>
      <c r="P703" s="14"/>
      <c r="Q703" s="14"/>
      <c r="R703" s="14"/>
      <c r="S703" s="14" t="s">
        <v>3545</v>
      </c>
      <c r="T703" s="14" t="s">
        <v>4069</v>
      </c>
      <c r="U703" s="17"/>
      <c r="V703" s="14"/>
      <c r="W703" s="14"/>
      <c r="X703" s="18"/>
      <c r="Y703" s="18"/>
      <c r="Z703" s="18"/>
      <c r="AA703" s="19">
        <f t="shared" si="1"/>
        <v>10</v>
      </c>
    </row>
    <row r="704" ht="31.5" customHeight="1">
      <c r="A704" s="12">
        <v>45206.0</v>
      </c>
      <c r="B704" s="14" t="s">
        <v>4620</v>
      </c>
      <c r="C704" s="14" t="s">
        <v>3546</v>
      </c>
      <c r="D704" s="14"/>
      <c r="E704" s="14"/>
      <c r="F704" s="14">
        <v>2007.0</v>
      </c>
      <c r="G704" s="14">
        <v>10.0</v>
      </c>
      <c r="H704" s="14"/>
      <c r="I704" s="590" t="s">
        <v>3547</v>
      </c>
      <c r="J704" s="223"/>
      <c r="K704" s="14">
        <v>8.62118208E8</v>
      </c>
      <c r="L704" s="14"/>
      <c r="M704" s="223"/>
      <c r="N704" s="14" t="s">
        <v>111</v>
      </c>
      <c r="O704" s="14" t="s">
        <v>565</v>
      </c>
      <c r="P704" s="14"/>
      <c r="Q704" s="14"/>
      <c r="R704" s="14"/>
      <c r="S704" s="14" t="s">
        <v>3548</v>
      </c>
      <c r="T704" s="14" t="s">
        <v>4096</v>
      </c>
      <c r="U704" s="17"/>
      <c r="V704" s="14"/>
      <c r="W704" s="14"/>
      <c r="X704" s="18"/>
      <c r="Y704" s="18"/>
      <c r="Z704" s="18"/>
      <c r="AA704" s="19">
        <f t="shared" si="1"/>
        <v>10</v>
      </c>
    </row>
    <row r="705" ht="31.5" customHeight="1">
      <c r="A705" s="12">
        <v>45208.0</v>
      </c>
      <c r="B705" s="14" t="s">
        <v>84</v>
      </c>
      <c r="C705" s="14" t="s">
        <v>3549</v>
      </c>
      <c r="D705" s="14" t="s">
        <v>3552</v>
      </c>
      <c r="E705" s="14"/>
      <c r="F705" s="14">
        <v>2019.0</v>
      </c>
      <c r="G705" s="14"/>
      <c r="H705" s="14"/>
      <c r="I705" s="590" t="s">
        <v>3550</v>
      </c>
      <c r="J705" s="223"/>
      <c r="K705" s="14"/>
      <c r="L705" s="14" t="s">
        <v>2989</v>
      </c>
      <c r="M705" s="223"/>
      <c r="N705" s="14" t="s">
        <v>111</v>
      </c>
      <c r="O705" s="14" t="s">
        <v>34</v>
      </c>
      <c r="P705" s="14"/>
      <c r="Q705" s="14"/>
      <c r="R705" s="14"/>
      <c r="S705" s="14" t="s">
        <v>3553</v>
      </c>
      <c r="T705" s="14"/>
      <c r="U705" s="17"/>
      <c r="V705" s="142"/>
      <c r="W705" s="14"/>
      <c r="X705" s="18"/>
      <c r="Y705" s="18"/>
      <c r="Z705" s="18"/>
      <c r="AA705" s="19">
        <f t="shared" si="1"/>
        <v>10</v>
      </c>
    </row>
    <row r="706" ht="31.5" customHeight="1">
      <c r="A706" s="12">
        <v>45208.0</v>
      </c>
      <c r="B706" s="14" t="s">
        <v>4621</v>
      </c>
      <c r="C706" s="14" t="s">
        <v>3554</v>
      </c>
      <c r="D706" s="14"/>
      <c r="E706" s="14"/>
      <c r="F706" s="14"/>
      <c r="G706" s="14"/>
      <c r="H706" s="14"/>
      <c r="I706" s="590" t="s">
        <v>3555</v>
      </c>
      <c r="J706" s="223"/>
      <c r="K706" s="14"/>
      <c r="L706" s="14" t="s">
        <v>3556</v>
      </c>
      <c r="M706" s="223"/>
      <c r="N706" s="14" t="s">
        <v>111</v>
      </c>
      <c r="O706" s="14" t="s">
        <v>565</v>
      </c>
      <c r="P706" s="14"/>
      <c r="Q706" s="14"/>
      <c r="R706" s="14"/>
      <c r="S706" s="14" t="s">
        <v>3557</v>
      </c>
      <c r="T706" s="14" t="s">
        <v>4096</v>
      </c>
      <c r="U706" s="17">
        <v>45212.0</v>
      </c>
      <c r="V706" s="14"/>
      <c r="W706" s="14"/>
      <c r="X706" s="18"/>
      <c r="Y706" s="18"/>
      <c r="Z706" s="18"/>
      <c r="AA706" s="19">
        <f t="shared" si="1"/>
        <v>10</v>
      </c>
    </row>
    <row r="707" ht="31.5" customHeight="1">
      <c r="A707" s="12">
        <v>45208.0</v>
      </c>
      <c r="B707" s="14" t="s">
        <v>4620</v>
      </c>
      <c r="C707" s="14" t="s">
        <v>3571</v>
      </c>
      <c r="D707" s="14"/>
      <c r="E707" s="14"/>
      <c r="F707" s="14"/>
      <c r="G707" s="14"/>
      <c r="H707" s="14"/>
      <c r="I707" s="590"/>
      <c r="J707" s="223"/>
      <c r="K707" s="14">
        <v>9.06919729E8</v>
      </c>
      <c r="L707" s="14" t="s">
        <v>91</v>
      </c>
      <c r="M707" s="223"/>
      <c r="N707" s="14" t="s">
        <v>111</v>
      </c>
      <c r="O707" s="14" t="s">
        <v>565</v>
      </c>
      <c r="P707" s="14"/>
      <c r="Q707" s="14"/>
      <c r="R707" s="14"/>
      <c r="S707" s="14" t="s">
        <v>3572</v>
      </c>
      <c r="T707" s="14" t="s">
        <v>4096</v>
      </c>
      <c r="U707" s="17">
        <v>45211.0</v>
      </c>
      <c r="V707" s="14"/>
      <c r="W707" s="14"/>
      <c r="X707" s="18"/>
      <c r="Y707" s="18"/>
      <c r="Z707" s="18"/>
      <c r="AA707" s="19">
        <f t="shared" si="1"/>
        <v>10</v>
      </c>
    </row>
    <row r="708" ht="31.5" customHeight="1">
      <c r="A708" s="12">
        <v>45208.0</v>
      </c>
      <c r="B708" s="14" t="s">
        <v>4620</v>
      </c>
      <c r="C708" s="14" t="s">
        <v>3573</v>
      </c>
      <c r="D708" s="14"/>
      <c r="E708" s="14"/>
      <c r="F708" s="14"/>
      <c r="G708" s="14"/>
      <c r="H708" s="14"/>
      <c r="I708" s="590" t="s">
        <v>3574</v>
      </c>
      <c r="J708" s="223"/>
      <c r="K708" s="14"/>
      <c r="L708" s="14" t="s">
        <v>91</v>
      </c>
      <c r="M708" s="223"/>
      <c r="N708" s="14" t="s">
        <v>111</v>
      </c>
      <c r="O708" s="14" t="s">
        <v>565</v>
      </c>
      <c r="P708" s="14"/>
      <c r="Q708" s="14"/>
      <c r="R708" s="14"/>
      <c r="S708" s="14" t="s">
        <v>3575</v>
      </c>
      <c r="T708" s="14" t="s">
        <v>4096</v>
      </c>
      <c r="U708" s="17">
        <v>45211.0</v>
      </c>
      <c r="V708" s="14"/>
      <c r="W708" s="14"/>
      <c r="X708" s="18"/>
      <c r="Y708" s="18"/>
      <c r="Z708" s="18"/>
      <c r="AA708" s="19">
        <f t="shared" si="1"/>
        <v>10</v>
      </c>
    </row>
    <row r="709" ht="31.5" customHeight="1">
      <c r="A709" s="12">
        <v>45208.0</v>
      </c>
      <c r="B709" s="14" t="s">
        <v>4620</v>
      </c>
      <c r="C709" s="14" t="s">
        <v>3576</v>
      </c>
      <c r="D709" s="14"/>
      <c r="E709" s="14"/>
      <c r="F709" s="14">
        <v>2014.0</v>
      </c>
      <c r="G709" s="14">
        <v>4.0</v>
      </c>
      <c r="H709" s="14"/>
      <c r="I709" s="590" t="s">
        <v>3577</v>
      </c>
      <c r="J709" s="223"/>
      <c r="K709" s="14"/>
      <c r="L709" s="14"/>
      <c r="M709" s="223"/>
      <c r="N709" s="14" t="s">
        <v>111</v>
      </c>
      <c r="O709" s="14" t="s">
        <v>565</v>
      </c>
      <c r="P709" s="14"/>
      <c r="Q709" s="14"/>
      <c r="R709" s="14"/>
      <c r="S709" s="14" t="s">
        <v>4572</v>
      </c>
      <c r="T709" s="14" t="s">
        <v>4197</v>
      </c>
      <c r="U709" s="17">
        <v>45214.0</v>
      </c>
      <c r="V709" s="14"/>
      <c r="W709" s="14"/>
      <c r="X709" s="18"/>
      <c r="Y709" s="18"/>
      <c r="Z709" s="18"/>
      <c r="AA709" s="19">
        <f t="shared" si="1"/>
        <v>10</v>
      </c>
    </row>
    <row r="710" ht="31.5" customHeight="1">
      <c r="A710" s="12">
        <v>45208.0</v>
      </c>
      <c r="B710" s="14" t="s">
        <v>4620</v>
      </c>
      <c r="C710" s="14" t="s">
        <v>3579</v>
      </c>
      <c r="D710" s="14" t="s">
        <v>3580</v>
      </c>
      <c r="E710" s="14"/>
      <c r="F710" s="14">
        <v>2010.0</v>
      </c>
      <c r="G710" s="14">
        <v>8.0</v>
      </c>
      <c r="H710" s="14"/>
      <c r="I710" s="590" t="s">
        <v>3581</v>
      </c>
      <c r="J710" s="223"/>
      <c r="K710" s="14"/>
      <c r="L710" s="14" t="s">
        <v>3582</v>
      </c>
      <c r="M710" s="223"/>
      <c r="N710" s="14" t="s">
        <v>111</v>
      </c>
      <c r="O710" s="14" t="s">
        <v>565</v>
      </c>
      <c r="P710" s="14"/>
      <c r="Q710" s="14"/>
      <c r="R710" s="14"/>
      <c r="S710" s="14" t="s">
        <v>3583</v>
      </c>
      <c r="T710" s="14" t="s">
        <v>4197</v>
      </c>
      <c r="U710" s="17">
        <v>45218.0</v>
      </c>
      <c r="V710" s="14"/>
      <c r="W710" s="14"/>
      <c r="X710" s="18"/>
      <c r="Y710" s="18"/>
      <c r="Z710" s="18"/>
      <c r="AA710" s="19">
        <f t="shared" si="1"/>
        <v>10</v>
      </c>
    </row>
    <row r="711" ht="31.5" customHeight="1">
      <c r="A711" s="12">
        <v>45209.0</v>
      </c>
      <c r="B711" s="14" t="s">
        <v>4620</v>
      </c>
      <c r="C711" s="14" t="s">
        <v>3590</v>
      </c>
      <c r="D711" s="14" t="s">
        <v>3591</v>
      </c>
      <c r="E711" s="14"/>
      <c r="F711" s="14">
        <v>2015.0</v>
      </c>
      <c r="G711" s="14">
        <v>8.0</v>
      </c>
      <c r="H711" s="14"/>
      <c r="I711" s="590" t="s">
        <v>3592</v>
      </c>
      <c r="J711" s="223"/>
      <c r="K711" s="14"/>
      <c r="L711" s="14" t="s">
        <v>4207</v>
      </c>
      <c r="M711" s="223"/>
      <c r="N711" s="14" t="s">
        <v>111</v>
      </c>
      <c r="O711" s="14" t="s">
        <v>565</v>
      </c>
      <c r="P711" s="14"/>
      <c r="Q711" s="14"/>
      <c r="R711" s="14"/>
      <c r="S711" s="14" t="s">
        <v>3593</v>
      </c>
      <c r="T711" s="14" t="s">
        <v>4197</v>
      </c>
      <c r="U711" s="17"/>
      <c r="V711" s="14"/>
      <c r="W711" s="14"/>
      <c r="X711" s="18"/>
      <c r="Y711" s="18"/>
      <c r="Z711" s="18"/>
      <c r="AA711" s="19">
        <f t="shared" si="1"/>
        <v>10</v>
      </c>
    </row>
    <row r="712" ht="31.5" customHeight="1">
      <c r="A712" s="12">
        <v>45209.0</v>
      </c>
      <c r="B712" s="14" t="s">
        <v>4620</v>
      </c>
      <c r="C712" s="14" t="s">
        <v>3590</v>
      </c>
      <c r="D712" s="14" t="s">
        <v>3594</v>
      </c>
      <c r="E712" s="14"/>
      <c r="F712" s="14">
        <v>2018.0</v>
      </c>
      <c r="G712" s="14" t="s">
        <v>457</v>
      </c>
      <c r="H712" s="14"/>
      <c r="I712" s="590" t="s">
        <v>3592</v>
      </c>
      <c r="J712" s="223"/>
      <c r="K712" s="14"/>
      <c r="L712" s="14" t="s">
        <v>4207</v>
      </c>
      <c r="M712" s="223"/>
      <c r="N712" s="14" t="s">
        <v>111</v>
      </c>
      <c r="O712" s="14" t="s">
        <v>565</v>
      </c>
      <c r="P712" s="14"/>
      <c r="Q712" s="14"/>
      <c r="R712" s="14"/>
      <c r="S712" s="14" t="s">
        <v>3595</v>
      </c>
      <c r="T712" s="14" t="s">
        <v>4197</v>
      </c>
      <c r="U712" s="17"/>
      <c r="V712" s="14"/>
      <c r="W712" s="14"/>
      <c r="X712" s="18"/>
      <c r="Y712" s="18"/>
      <c r="Z712" s="18"/>
      <c r="AA712" s="19">
        <f t="shared" si="1"/>
        <v>10</v>
      </c>
    </row>
    <row r="713" ht="31.5" customHeight="1">
      <c r="A713" s="12">
        <v>45210.0</v>
      </c>
      <c r="B713" s="14" t="s">
        <v>4620</v>
      </c>
      <c r="C713" s="14" t="s">
        <v>3596</v>
      </c>
      <c r="D713" s="14"/>
      <c r="E713" s="14"/>
      <c r="F713" s="14" t="s">
        <v>419</v>
      </c>
      <c r="G713" s="14"/>
      <c r="H713" s="14"/>
      <c r="I713" s="590" t="s">
        <v>3597</v>
      </c>
      <c r="J713" s="223"/>
      <c r="K713" s="14"/>
      <c r="L713" s="14" t="s">
        <v>4207</v>
      </c>
      <c r="M713" s="223"/>
      <c r="N713" s="14" t="s">
        <v>111</v>
      </c>
      <c r="O713" s="14" t="s">
        <v>565</v>
      </c>
      <c r="P713" s="14"/>
      <c r="Q713" s="14"/>
      <c r="R713" s="14"/>
      <c r="S713" s="14" t="s">
        <v>3598</v>
      </c>
      <c r="T713" s="14" t="s">
        <v>4326</v>
      </c>
      <c r="U713" s="17"/>
      <c r="V713" s="14"/>
      <c r="W713" s="14"/>
      <c r="X713" s="18"/>
      <c r="Y713" s="18"/>
      <c r="Z713" s="18"/>
      <c r="AA713" s="19">
        <f t="shared" si="1"/>
        <v>10</v>
      </c>
    </row>
    <row r="714" ht="31.5" customHeight="1">
      <c r="A714" s="12">
        <v>45210.0</v>
      </c>
      <c r="B714" s="14" t="s">
        <v>4620</v>
      </c>
      <c r="C714" s="14" t="s">
        <v>3599</v>
      </c>
      <c r="D714" s="14" t="s">
        <v>3600</v>
      </c>
      <c r="E714" s="14"/>
      <c r="F714" s="142">
        <v>41130.0</v>
      </c>
      <c r="G714" s="14">
        <v>6.0</v>
      </c>
      <c r="H714" s="14"/>
      <c r="I714" s="590" t="s">
        <v>3601</v>
      </c>
      <c r="J714" s="223"/>
      <c r="K714" s="14"/>
      <c r="L714" s="14" t="s">
        <v>3602</v>
      </c>
      <c r="M714" s="223"/>
      <c r="N714" s="14" t="s">
        <v>111</v>
      </c>
      <c r="O714" s="14" t="s">
        <v>13</v>
      </c>
      <c r="P714" s="14" t="s">
        <v>3603</v>
      </c>
      <c r="Q714" s="14"/>
      <c r="R714" s="14"/>
      <c r="S714" s="14" t="s">
        <v>3604</v>
      </c>
      <c r="T714" s="14" t="s">
        <v>4326</v>
      </c>
      <c r="U714" s="17"/>
      <c r="V714" s="14"/>
      <c r="W714" s="14"/>
      <c r="X714" s="18"/>
      <c r="Y714" s="18"/>
      <c r="Z714" s="18"/>
      <c r="AA714" s="19">
        <f t="shared" si="1"/>
        <v>10</v>
      </c>
    </row>
    <row r="715" ht="31.5" customHeight="1">
      <c r="A715" s="12">
        <v>45210.0</v>
      </c>
      <c r="B715" s="14" t="s">
        <v>4620</v>
      </c>
      <c r="C715" s="14" t="s">
        <v>3605</v>
      </c>
      <c r="D715" s="14" t="s">
        <v>3606</v>
      </c>
      <c r="E715" s="14"/>
      <c r="F715" s="59">
        <v>41545.0</v>
      </c>
      <c r="G715" s="14" t="s">
        <v>155</v>
      </c>
      <c r="H715" s="14"/>
      <c r="I715" s="590" t="s">
        <v>3607</v>
      </c>
      <c r="J715" s="223"/>
      <c r="K715" s="14"/>
      <c r="L715" s="14" t="s">
        <v>3608</v>
      </c>
      <c r="M715" s="223"/>
      <c r="N715" s="14" t="s">
        <v>111</v>
      </c>
      <c r="O715" s="14" t="s">
        <v>565</v>
      </c>
      <c r="P715" s="14"/>
      <c r="Q715" s="14"/>
      <c r="R715" s="14"/>
      <c r="S715" s="14" t="s">
        <v>3609</v>
      </c>
      <c r="T715" s="14"/>
      <c r="U715" s="17"/>
      <c r="V715" s="14"/>
      <c r="W715" s="14"/>
      <c r="X715" s="18"/>
      <c r="Y715" s="18"/>
      <c r="Z715" s="18"/>
      <c r="AA715" s="19">
        <f t="shared" si="1"/>
        <v>10</v>
      </c>
    </row>
    <row r="716" ht="31.5" customHeight="1">
      <c r="A716" s="12">
        <v>45210.0</v>
      </c>
      <c r="B716" s="14" t="s">
        <v>201</v>
      </c>
      <c r="C716" s="14" t="s">
        <v>4574</v>
      </c>
      <c r="D716" s="14" t="s">
        <v>289</v>
      </c>
      <c r="E716" s="14"/>
      <c r="F716" s="14"/>
      <c r="G716" s="14"/>
      <c r="H716" s="14"/>
      <c r="I716" s="590" t="s">
        <v>3611</v>
      </c>
      <c r="J716" s="223"/>
      <c r="K716" s="14"/>
      <c r="L716" s="14" t="s">
        <v>3612</v>
      </c>
      <c r="M716" s="223"/>
      <c r="N716" s="14" t="s">
        <v>111</v>
      </c>
      <c r="O716" s="14" t="s">
        <v>34</v>
      </c>
      <c r="P716" s="14"/>
      <c r="Q716" s="14"/>
      <c r="R716" s="14"/>
      <c r="S716" s="14" t="s">
        <v>3613</v>
      </c>
      <c r="T716" s="14" t="s">
        <v>4096</v>
      </c>
      <c r="U716" s="17"/>
      <c r="V716" s="14"/>
      <c r="W716" s="14"/>
      <c r="X716" s="18"/>
      <c r="Y716" s="18"/>
      <c r="Z716" s="18"/>
      <c r="AA716" s="19">
        <f t="shared" si="1"/>
        <v>10</v>
      </c>
    </row>
    <row r="717" ht="31.5" customHeight="1">
      <c r="A717" s="12">
        <v>45211.0</v>
      </c>
      <c r="B717" s="14" t="s">
        <v>4620</v>
      </c>
      <c r="C717" s="14" t="s">
        <v>3614</v>
      </c>
      <c r="D717" s="14"/>
      <c r="E717" s="14"/>
      <c r="F717" s="14">
        <v>2016.0</v>
      </c>
      <c r="G717" s="14">
        <v>2.0</v>
      </c>
      <c r="H717" s="14"/>
      <c r="I717" s="590" t="s">
        <v>3615</v>
      </c>
      <c r="J717" s="223"/>
      <c r="K717" s="14"/>
      <c r="L717" s="14"/>
      <c r="M717" s="223"/>
      <c r="N717" s="14" t="s">
        <v>111</v>
      </c>
      <c r="O717" s="14" t="s">
        <v>565</v>
      </c>
      <c r="P717" s="14"/>
      <c r="Q717" s="14"/>
      <c r="R717" s="14"/>
      <c r="S717" s="14" t="s">
        <v>3616</v>
      </c>
      <c r="T717" s="14"/>
      <c r="U717" s="17"/>
      <c r="V717" s="14"/>
      <c r="W717" s="14"/>
      <c r="X717" s="18"/>
      <c r="Y717" s="18"/>
      <c r="Z717" s="18"/>
      <c r="AA717" s="19">
        <f t="shared" si="1"/>
        <v>10</v>
      </c>
    </row>
    <row r="718" ht="31.5" customHeight="1">
      <c r="A718" s="12">
        <v>45212.0</v>
      </c>
      <c r="B718" s="14" t="s">
        <v>4620</v>
      </c>
      <c r="C718" s="14" t="s">
        <v>3617</v>
      </c>
      <c r="D718" s="14"/>
      <c r="E718" s="14"/>
      <c r="F718" s="14"/>
      <c r="G718" s="14"/>
      <c r="H718" s="14"/>
      <c r="I718" s="590" t="s">
        <v>3618</v>
      </c>
      <c r="J718" s="223"/>
      <c r="K718" s="14"/>
      <c r="L718" s="14"/>
      <c r="M718" s="223"/>
      <c r="N718" s="14" t="s">
        <v>111</v>
      </c>
      <c r="O718" s="14" t="s">
        <v>34</v>
      </c>
      <c r="P718" s="14"/>
      <c r="Q718" s="14"/>
      <c r="R718" s="14"/>
      <c r="S718" s="14" t="s">
        <v>3619</v>
      </c>
      <c r="T718" s="14"/>
      <c r="U718" s="17"/>
      <c r="V718" s="14"/>
      <c r="W718" s="14"/>
      <c r="X718" s="18"/>
      <c r="Y718" s="18"/>
      <c r="Z718" s="18"/>
      <c r="AA718" s="19">
        <f t="shared" si="1"/>
        <v>10</v>
      </c>
    </row>
    <row r="719" ht="31.5" customHeight="1">
      <c r="A719" s="12">
        <v>45215.0</v>
      </c>
      <c r="B719" s="14" t="s">
        <v>4620</v>
      </c>
      <c r="C719" s="14" t="s">
        <v>3620</v>
      </c>
      <c r="D719" s="14" t="s">
        <v>3621</v>
      </c>
      <c r="E719" s="14"/>
      <c r="F719" s="59">
        <v>41951.0</v>
      </c>
      <c r="G719" s="14"/>
      <c r="H719" s="14"/>
      <c r="I719" s="590" t="s">
        <v>3622</v>
      </c>
      <c r="J719" s="223"/>
      <c r="K719" s="14"/>
      <c r="L719" s="14" t="s">
        <v>3623</v>
      </c>
      <c r="M719" s="223"/>
      <c r="N719" s="14" t="s">
        <v>111</v>
      </c>
      <c r="O719" s="14" t="s">
        <v>565</v>
      </c>
      <c r="P719" s="14"/>
      <c r="Q719" s="14"/>
      <c r="R719" s="14"/>
      <c r="S719" s="14" t="s">
        <v>3624</v>
      </c>
      <c r="T719" s="14"/>
      <c r="U719" s="17"/>
      <c r="V719" s="14"/>
      <c r="W719" s="14"/>
      <c r="X719" s="18"/>
      <c r="Y719" s="18"/>
      <c r="Z719" s="18"/>
      <c r="AA719" s="19">
        <f t="shared" si="1"/>
        <v>10</v>
      </c>
    </row>
    <row r="720" ht="31.5" customHeight="1">
      <c r="A720" s="12">
        <v>45216.0</v>
      </c>
      <c r="B720" s="14" t="s">
        <v>4620</v>
      </c>
      <c r="C720" s="14" t="s">
        <v>3631</v>
      </c>
      <c r="D720" s="14" t="s">
        <v>3632</v>
      </c>
      <c r="E720" s="14"/>
      <c r="F720" s="14">
        <v>2014.0</v>
      </c>
      <c r="G720" s="14">
        <v>4.0</v>
      </c>
      <c r="H720" s="14"/>
      <c r="I720" s="590" t="s">
        <v>3633</v>
      </c>
      <c r="J720" s="223"/>
      <c r="K720" s="14"/>
      <c r="L720" s="14"/>
      <c r="M720" s="223"/>
      <c r="N720" s="14" t="s">
        <v>111</v>
      </c>
      <c r="O720" s="14" t="s">
        <v>13</v>
      </c>
      <c r="P720" s="14" t="s">
        <v>3634</v>
      </c>
      <c r="Q720" s="14"/>
      <c r="R720" s="14"/>
      <c r="S720" s="14" t="s">
        <v>3635</v>
      </c>
      <c r="T720" s="14"/>
      <c r="U720" s="17"/>
      <c r="V720" s="14"/>
      <c r="W720" s="14"/>
      <c r="X720" s="18"/>
      <c r="Y720" s="18"/>
      <c r="Z720" s="18"/>
      <c r="AA720" s="19">
        <f t="shared" si="1"/>
        <v>10</v>
      </c>
    </row>
    <row r="721" ht="31.5" customHeight="1">
      <c r="A721" s="12">
        <v>45216.0</v>
      </c>
      <c r="B721" s="14" t="s">
        <v>4620</v>
      </c>
      <c r="C721" s="14" t="s">
        <v>3636</v>
      </c>
      <c r="D721" s="14"/>
      <c r="E721" s="14"/>
      <c r="F721" s="14"/>
      <c r="G721" s="14"/>
      <c r="H721" s="14"/>
      <c r="I721" s="590" t="s">
        <v>3637</v>
      </c>
      <c r="J721" s="223"/>
      <c r="K721" s="14"/>
      <c r="L721" s="14" t="s">
        <v>3638</v>
      </c>
      <c r="M721" s="223"/>
      <c r="N721" s="14" t="s">
        <v>111</v>
      </c>
      <c r="O721" s="14" t="s">
        <v>34</v>
      </c>
      <c r="P721" s="14"/>
      <c r="Q721" s="14"/>
      <c r="R721" s="14"/>
      <c r="S721" s="14" t="s">
        <v>3639</v>
      </c>
      <c r="T721" s="14"/>
      <c r="U721" s="17"/>
      <c r="V721" s="14"/>
      <c r="W721" s="14"/>
      <c r="X721" s="18"/>
      <c r="Y721" s="18"/>
      <c r="Z721" s="18"/>
      <c r="AA721" s="19">
        <f t="shared" si="1"/>
        <v>10</v>
      </c>
    </row>
    <row r="722" ht="31.5" customHeight="1">
      <c r="A722" s="12">
        <v>45216.0</v>
      </c>
      <c r="B722" s="14" t="s">
        <v>4620</v>
      </c>
      <c r="C722" s="14"/>
      <c r="D722" s="14" t="s">
        <v>3645</v>
      </c>
      <c r="E722" s="14"/>
      <c r="F722" s="14"/>
      <c r="G722" s="14"/>
      <c r="H722" s="14"/>
      <c r="I722" s="590" t="s">
        <v>3646</v>
      </c>
      <c r="J722" s="223"/>
      <c r="K722" s="14"/>
      <c r="L722" s="14" t="s">
        <v>3647</v>
      </c>
      <c r="M722" s="223"/>
      <c r="N722" s="14" t="s">
        <v>111</v>
      </c>
      <c r="O722" s="14" t="s">
        <v>565</v>
      </c>
      <c r="P722" s="14"/>
      <c r="Q722" s="14"/>
      <c r="R722" s="14"/>
      <c r="S722" s="14" t="s">
        <v>4575</v>
      </c>
      <c r="T722" s="14"/>
      <c r="U722" s="17"/>
      <c r="V722" s="14"/>
      <c r="W722" s="14"/>
      <c r="X722" s="18"/>
      <c r="Y722" s="18"/>
      <c r="Z722" s="18"/>
      <c r="AA722" s="19">
        <f t="shared" si="1"/>
        <v>10</v>
      </c>
    </row>
    <row r="723" ht="31.5" customHeight="1">
      <c r="A723" s="12">
        <v>45218.0</v>
      </c>
      <c r="B723" s="14" t="s">
        <v>4620</v>
      </c>
      <c r="C723" s="14" t="s">
        <v>3655</v>
      </c>
      <c r="D723" s="14" t="s">
        <v>3656</v>
      </c>
      <c r="E723" s="14"/>
      <c r="F723" s="14" t="s">
        <v>297</v>
      </c>
      <c r="G723" s="14"/>
      <c r="H723" s="14"/>
      <c r="I723" s="590" t="s">
        <v>3657</v>
      </c>
      <c r="J723" s="223"/>
      <c r="K723" s="14"/>
      <c r="L723" s="14" t="s">
        <v>3658</v>
      </c>
      <c r="M723" s="223"/>
      <c r="N723" s="14" t="s">
        <v>111</v>
      </c>
      <c r="O723" s="14" t="s">
        <v>13</v>
      </c>
      <c r="P723" s="14" t="s">
        <v>3659</v>
      </c>
      <c r="Q723" s="14"/>
      <c r="R723" s="14"/>
      <c r="S723" s="14" t="s">
        <v>3660</v>
      </c>
      <c r="T723" s="14" t="s">
        <v>4197</v>
      </c>
      <c r="U723" s="17">
        <v>45268.0</v>
      </c>
      <c r="V723" s="14"/>
      <c r="W723" s="14"/>
      <c r="X723" s="18"/>
      <c r="Y723" s="18"/>
      <c r="Z723" s="18"/>
      <c r="AA723" s="19">
        <f t="shared" si="1"/>
        <v>10</v>
      </c>
    </row>
    <row r="724" ht="31.5" customHeight="1">
      <c r="A724" s="12">
        <v>45218.0</v>
      </c>
      <c r="B724" s="14" t="s">
        <v>4620</v>
      </c>
      <c r="C724" s="14" t="s">
        <v>3655</v>
      </c>
      <c r="D724" s="14" t="s">
        <v>3661</v>
      </c>
      <c r="E724" s="14"/>
      <c r="F724" s="14" t="s">
        <v>234</v>
      </c>
      <c r="G724" s="14"/>
      <c r="H724" s="14"/>
      <c r="I724" s="590" t="s">
        <v>3657</v>
      </c>
      <c r="J724" s="223"/>
      <c r="K724" s="14"/>
      <c r="L724" s="14" t="s">
        <v>3658</v>
      </c>
      <c r="M724" s="223"/>
      <c r="N724" s="14" t="s">
        <v>111</v>
      </c>
      <c r="O724" s="14" t="s">
        <v>13</v>
      </c>
      <c r="P724" s="14" t="s">
        <v>3662</v>
      </c>
      <c r="Q724" s="14"/>
      <c r="R724" s="14"/>
      <c r="S724" s="14" t="s">
        <v>3663</v>
      </c>
      <c r="T724" s="14" t="s">
        <v>4197</v>
      </c>
      <c r="U724" s="17">
        <v>45268.0</v>
      </c>
      <c r="V724" s="14"/>
      <c r="W724" s="14"/>
      <c r="X724" s="18"/>
      <c r="Y724" s="18"/>
      <c r="Z724" s="18"/>
      <c r="AA724" s="19">
        <f t="shared" si="1"/>
        <v>10</v>
      </c>
    </row>
    <row r="725" ht="31.5" customHeight="1">
      <c r="A725" s="12">
        <v>45218.0</v>
      </c>
      <c r="B725" s="14" t="s">
        <v>4620</v>
      </c>
      <c r="C725" s="14"/>
      <c r="D725" s="14" t="s">
        <v>3664</v>
      </c>
      <c r="E725" s="14"/>
      <c r="F725" s="14"/>
      <c r="G725" s="14"/>
      <c r="H725" s="14"/>
      <c r="I725" s="590" t="s">
        <v>3665</v>
      </c>
      <c r="J725" s="223"/>
      <c r="K725" s="14"/>
      <c r="L725" s="14" t="s">
        <v>3666</v>
      </c>
      <c r="M725" s="223"/>
      <c r="N725" s="14" t="s">
        <v>111</v>
      </c>
      <c r="O725" s="14" t="s">
        <v>565</v>
      </c>
      <c r="P725" s="14"/>
      <c r="Q725" s="14"/>
      <c r="R725" s="14"/>
      <c r="S725" s="14" t="s">
        <v>3667</v>
      </c>
      <c r="T725" s="14"/>
      <c r="U725" s="17"/>
      <c r="V725" s="14"/>
      <c r="W725" s="14"/>
      <c r="X725" s="18"/>
      <c r="Y725" s="18"/>
      <c r="Z725" s="18"/>
      <c r="AA725" s="19">
        <f t="shared" si="1"/>
        <v>10</v>
      </c>
    </row>
    <row r="726" ht="31.5" customHeight="1">
      <c r="A726" s="12">
        <v>45218.0</v>
      </c>
      <c r="B726" s="14" t="s">
        <v>4620</v>
      </c>
      <c r="C726" s="14" t="s">
        <v>3668</v>
      </c>
      <c r="D726" s="14"/>
      <c r="E726" s="14"/>
      <c r="F726" s="14">
        <v>2015.0</v>
      </c>
      <c r="G726" s="14">
        <v>3.0</v>
      </c>
      <c r="H726" s="14"/>
      <c r="I726" s="590" t="s">
        <v>3669</v>
      </c>
      <c r="J726" s="223"/>
      <c r="K726" s="14"/>
      <c r="L726" s="14"/>
      <c r="M726" s="223"/>
      <c r="N726" s="14" t="s">
        <v>111</v>
      </c>
      <c r="O726" s="14" t="s">
        <v>565</v>
      </c>
      <c r="P726" s="14"/>
      <c r="Q726" s="14"/>
      <c r="R726" s="14"/>
      <c r="S726" s="14" t="s">
        <v>3670</v>
      </c>
      <c r="T726" s="14"/>
      <c r="U726" s="17"/>
      <c r="V726" s="14"/>
      <c r="W726" s="14"/>
      <c r="X726" s="18"/>
      <c r="Y726" s="18"/>
      <c r="Z726" s="18"/>
      <c r="AA726" s="19">
        <f t="shared" si="1"/>
        <v>10</v>
      </c>
    </row>
    <row r="727" ht="31.5" customHeight="1">
      <c r="A727" s="12">
        <v>45218.0</v>
      </c>
      <c r="B727" s="14" t="s">
        <v>4620</v>
      </c>
      <c r="C727" s="14" t="s">
        <v>3668</v>
      </c>
      <c r="D727" s="14"/>
      <c r="E727" s="14"/>
      <c r="F727" s="14">
        <v>2017.0</v>
      </c>
      <c r="G727" s="14">
        <v>1.0</v>
      </c>
      <c r="H727" s="14"/>
      <c r="I727" s="590" t="s">
        <v>3669</v>
      </c>
      <c r="J727" s="223"/>
      <c r="K727" s="14"/>
      <c r="L727" s="14"/>
      <c r="M727" s="223"/>
      <c r="N727" s="14" t="s">
        <v>111</v>
      </c>
      <c r="O727" s="14" t="s">
        <v>565</v>
      </c>
      <c r="P727" s="14"/>
      <c r="Q727" s="14"/>
      <c r="R727" s="14"/>
      <c r="S727" s="14" t="s">
        <v>3670</v>
      </c>
      <c r="T727" s="14"/>
      <c r="U727" s="17"/>
      <c r="V727" s="14"/>
      <c r="W727" s="14"/>
      <c r="X727" s="18"/>
      <c r="Y727" s="18"/>
      <c r="Z727" s="18"/>
      <c r="AA727" s="19">
        <f t="shared" si="1"/>
        <v>10</v>
      </c>
    </row>
    <row r="728" ht="31.5" customHeight="1">
      <c r="A728" s="12">
        <v>45219.0</v>
      </c>
      <c r="B728" s="14" t="s">
        <v>4620</v>
      </c>
      <c r="C728" s="14" t="s">
        <v>3671</v>
      </c>
      <c r="D728" s="14"/>
      <c r="E728" s="14"/>
      <c r="F728" s="14"/>
      <c r="G728" s="14"/>
      <c r="H728" s="14"/>
      <c r="I728" s="590" t="s">
        <v>3672</v>
      </c>
      <c r="J728" s="223"/>
      <c r="K728" s="14"/>
      <c r="L728" s="14"/>
      <c r="M728" s="223"/>
      <c r="N728" s="14" t="s">
        <v>111</v>
      </c>
      <c r="O728" s="14" t="s">
        <v>565</v>
      </c>
      <c r="P728" s="14"/>
      <c r="Q728" s="14"/>
      <c r="R728" s="14"/>
      <c r="S728" s="14" t="s">
        <v>3673</v>
      </c>
      <c r="T728" s="14"/>
      <c r="U728" s="17"/>
      <c r="V728" s="14"/>
      <c r="W728" s="14"/>
      <c r="X728" s="18"/>
      <c r="Y728" s="18"/>
      <c r="Z728" s="18"/>
      <c r="AA728" s="19">
        <f t="shared" si="1"/>
        <v>10</v>
      </c>
    </row>
    <row r="729" ht="31.5" customHeight="1">
      <c r="A729" s="12">
        <v>45189.0</v>
      </c>
      <c r="B729" s="14" t="s">
        <v>4620</v>
      </c>
      <c r="C729" s="14" t="s">
        <v>3674</v>
      </c>
      <c r="D729" s="14" t="s">
        <v>3228</v>
      </c>
      <c r="E729" s="14"/>
      <c r="F729" s="14">
        <v>2015.0</v>
      </c>
      <c r="G729" s="14">
        <v>3.0</v>
      </c>
      <c r="H729" s="14"/>
      <c r="I729" s="590" t="s">
        <v>3675</v>
      </c>
      <c r="J729" s="223"/>
      <c r="K729" s="14"/>
      <c r="L729" s="14"/>
      <c r="M729" s="223"/>
      <c r="N729" s="14" t="s">
        <v>111</v>
      </c>
      <c r="O729" s="14" t="s">
        <v>13</v>
      </c>
      <c r="P729" s="14" t="s">
        <v>3676</v>
      </c>
      <c r="Q729" s="14"/>
      <c r="R729" s="14"/>
      <c r="S729" s="14" t="s">
        <v>4577</v>
      </c>
      <c r="T729" s="14" t="s">
        <v>4197</v>
      </c>
      <c r="U729" s="17"/>
      <c r="V729" s="14"/>
      <c r="W729" s="14"/>
      <c r="X729" s="18"/>
      <c r="Y729" s="18"/>
      <c r="Z729" s="18"/>
      <c r="AA729" s="19">
        <f t="shared" si="1"/>
        <v>9</v>
      </c>
    </row>
    <row r="730" ht="31.5" customHeight="1">
      <c r="A730" s="12">
        <v>45190.0</v>
      </c>
      <c r="B730" s="14" t="s">
        <v>84</v>
      </c>
      <c r="C730" s="14" t="s">
        <v>3678</v>
      </c>
      <c r="D730" s="14" t="s">
        <v>3678</v>
      </c>
      <c r="E730" s="14"/>
      <c r="F730" s="14"/>
      <c r="G730" s="14"/>
      <c r="H730" s="14"/>
      <c r="I730" s="590" t="s">
        <v>3646</v>
      </c>
      <c r="J730" s="223"/>
      <c r="K730" s="14"/>
      <c r="L730" s="14" t="s">
        <v>3679</v>
      </c>
      <c r="M730" s="223"/>
      <c r="N730" s="14" t="s">
        <v>111</v>
      </c>
      <c r="O730" s="14" t="s">
        <v>565</v>
      </c>
      <c r="P730" s="14"/>
      <c r="Q730" s="14"/>
      <c r="R730" s="14"/>
      <c r="S730" s="14" t="s">
        <v>3680</v>
      </c>
      <c r="T730" s="14" t="s">
        <v>4197</v>
      </c>
      <c r="U730" s="17"/>
      <c r="V730" s="14"/>
      <c r="W730" s="14"/>
      <c r="X730" s="18"/>
      <c r="Y730" s="18"/>
      <c r="Z730" s="18"/>
      <c r="AA730" s="19">
        <f t="shared" si="1"/>
        <v>9</v>
      </c>
    </row>
    <row r="731" ht="31.5" customHeight="1">
      <c r="A731" s="12">
        <v>45190.0</v>
      </c>
      <c r="B731" s="14" t="s">
        <v>4620</v>
      </c>
      <c r="C731" s="14" t="s">
        <v>3681</v>
      </c>
      <c r="D731" s="14"/>
      <c r="E731" s="14"/>
      <c r="F731" s="14"/>
      <c r="G731" s="14"/>
      <c r="H731" s="14"/>
      <c r="I731" s="590" t="s">
        <v>3682</v>
      </c>
      <c r="J731" s="223"/>
      <c r="K731" s="14"/>
      <c r="L731" s="14" t="s">
        <v>3431</v>
      </c>
      <c r="M731" s="223"/>
      <c r="N731" s="14" t="s">
        <v>111</v>
      </c>
      <c r="O731" s="14" t="s">
        <v>565</v>
      </c>
      <c r="P731" s="14" t="s">
        <v>3683</v>
      </c>
      <c r="Q731" s="14"/>
      <c r="R731" s="14"/>
      <c r="S731" s="14" t="s">
        <v>3684</v>
      </c>
      <c r="T731" s="14" t="s">
        <v>4197</v>
      </c>
      <c r="U731" s="17"/>
      <c r="V731" s="14"/>
      <c r="W731" s="14"/>
      <c r="X731" s="18"/>
      <c r="Y731" s="18"/>
      <c r="Z731" s="18"/>
      <c r="AA731" s="19">
        <f t="shared" si="1"/>
        <v>9</v>
      </c>
    </row>
    <row r="732" ht="31.5" customHeight="1">
      <c r="A732" s="12">
        <v>45190.0</v>
      </c>
      <c r="B732" s="14" t="s">
        <v>4620</v>
      </c>
      <c r="C732" s="14" t="s">
        <v>3685</v>
      </c>
      <c r="D732" s="14"/>
      <c r="E732" s="14"/>
      <c r="F732" s="14">
        <v>2014.0</v>
      </c>
      <c r="G732" s="14">
        <v>4.0</v>
      </c>
      <c r="H732" s="14"/>
      <c r="I732" s="590" t="s">
        <v>3686</v>
      </c>
      <c r="J732" s="223"/>
      <c r="K732" s="14"/>
      <c r="L732" s="120" t="s">
        <v>5956</v>
      </c>
      <c r="M732" s="223"/>
      <c r="N732" s="14" t="s">
        <v>111</v>
      </c>
      <c r="O732" s="14" t="s">
        <v>158</v>
      </c>
      <c r="P732" s="14"/>
      <c r="Q732" s="14"/>
      <c r="R732" s="14"/>
      <c r="S732" s="14" t="s">
        <v>3688</v>
      </c>
      <c r="T732" s="14" t="s">
        <v>4069</v>
      </c>
      <c r="U732" s="17"/>
      <c r="V732" s="14"/>
      <c r="W732" s="14"/>
      <c r="X732" s="18"/>
      <c r="Y732" s="18"/>
      <c r="Z732" s="18"/>
      <c r="AA732" s="19">
        <f t="shared" si="1"/>
        <v>9</v>
      </c>
    </row>
    <row r="733" ht="31.5" customHeight="1">
      <c r="A733" s="12">
        <v>45190.0</v>
      </c>
      <c r="B733" s="14" t="s">
        <v>4620</v>
      </c>
      <c r="C733" s="14" t="s">
        <v>3689</v>
      </c>
      <c r="D733" s="14"/>
      <c r="E733" s="14"/>
      <c r="F733" s="14"/>
      <c r="G733" s="14"/>
      <c r="H733" s="14"/>
      <c r="I733" s="590" t="s">
        <v>3690</v>
      </c>
      <c r="J733" s="223"/>
      <c r="K733" s="14"/>
      <c r="L733" s="14" t="s">
        <v>3691</v>
      </c>
      <c r="M733" s="223"/>
      <c r="N733" s="14" t="s">
        <v>111</v>
      </c>
      <c r="O733" s="14" t="s">
        <v>565</v>
      </c>
      <c r="P733" s="14"/>
      <c r="Q733" s="14"/>
      <c r="R733" s="14"/>
      <c r="S733" s="14" t="s">
        <v>3692</v>
      </c>
      <c r="T733" s="14" t="s">
        <v>4096</v>
      </c>
      <c r="U733" s="17"/>
      <c r="V733" s="14"/>
      <c r="W733" s="14"/>
      <c r="X733" s="18"/>
      <c r="Y733" s="18"/>
      <c r="Z733" s="18"/>
      <c r="AA733" s="19">
        <f t="shared" si="1"/>
        <v>9</v>
      </c>
    </row>
    <row r="734" ht="31.5" customHeight="1">
      <c r="A734" s="12">
        <v>45223.0</v>
      </c>
      <c r="B734" s="14" t="s">
        <v>4620</v>
      </c>
      <c r="C734" s="14" t="s">
        <v>3699</v>
      </c>
      <c r="D734" s="14"/>
      <c r="E734" s="14"/>
      <c r="F734" s="14"/>
      <c r="G734" s="14"/>
      <c r="H734" s="14"/>
      <c r="I734" s="590" t="s">
        <v>3700</v>
      </c>
      <c r="J734" s="223"/>
      <c r="K734" s="14"/>
      <c r="L734" s="14" t="s">
        <v>3701</v>
      </c>
      <c r="M734" s="223"/>
      <c r="N734" s="14" t="s">
        <v>111</v>
      </c>
      <c r="O734" s="14" t="s">
        <v>216</v>
      </c>
      <c r="P734" s="14"/>
      <c r="Q734" s="14"/>
      <c r="R734" s="14"/>
      <c r="S734" s="14" t="s">
        <v>3702</v>
      </c>
      <c r="T734" s="14"/>
      <c r="U734" s="17"/>
      <c r="V734" s="14"/>
      <c r="W734" s="14"/>
      <c r="X734" s="18"/>
      <c r="Y734" s="18"/>
      <c r="Z734" s="18"/>
      <c r="AA734" s="19">
        <f t="shared" si="1"/>
        <v>10</v>
      </c>
    </row>
    <row r="735" ht="31.5" customHeight="1">
      <c r="A735" s="17">
        <v>45223.0</v>
      </c>
      <c r="B735" s="61" t="s">
        <v>84</v>
      </c>
      <c r="C735" s="61" t="s">
        <v>3703</v>
      </c>
      <c r="D735" s="61" t="s">
        <v>3708</v>
      </c>
      <c r="E735" s="61"/>
      <c r="F735" s="61" t="s">
        <v>4582</v>
      </c>
      <c r="G735" s="61"/>
      <c r="H735" s="61"/>
      <c r="I735" s="673" t="s">
        <v>3705</v>
      </c>
      <c r="J735" s="618"/>
      <c r="K735" s="61"/>
      <c r="L735" s="61"/>
      <c r="M735" s="618"/>
      <c r="N735" s="61" t="s">
        <v>111</v>
      </c>
      <c r="O735" s="61" t="s">
        <v>13</v>
      </c>
      <c r="P735" s="61" t="s">
        <v>3709</v>
      </c>
      <c r="Q735" s="61"/>
      <c r="R735" s="61"/>
      <c r="S735" s="61" t="s">
        <v>3710</v>
      </c>
      <c r="T735" s="61" t="s">
        <v>4517</v>
      </c>
      <c r="U735" s="17"/>
      <c r="V735" s="41"/>
      <c r="W735" s="61"/>
      <c r="X735" s="211"/>
      <c r="Y735" s="211"/>
      <c r="Z735" s="211"/>
      <c r="AA735" s="19">
        <f t="shared" si="1"/>
        <v>10</v>
      </c>
    </row>
    <row r="736" ht="31.5" customHeight="1">
      <c r="A736" s="12">
        <v>45223.0</v>
      </c>
      <c r="B736" s="14" t="s">
        <v>4620</v>
      </c>
      <c r="C736" s="14" t="s">
        <v>3711</v>
      </c>
      <c r="D736" s="14" t="s">
        <v>3712</v>
      </c>
      <c r="E736" s="14"/>
      <c r="F736" s="14">
        <v>2015.0</v>
      </c>
      <c r="G736" s="14">
        <v>3.0</v>
      </c>
      <c r="H736" s="14"/>
      <c r="I736" s="590" t="s">
        <v>3713</v>
      </c>
      <c r="J736" s="223"/>
      <c r="K736" s="14"/>
      <c r="L736" s="14"/>
      <c r="M736" s="223"/>
      <c r="N736" s="14" t="s">
        <v>111</v>
      </c>
      <c r="O736" s="14" t="s">
        <v>13</v>
      </c>
      <c r="P736" s="14" t="s">
        <v>3714</v>
      </c>
      <c r="Q736" s="14"/>
      <c r="R736" s="14"/>
      <c r="S736" s="14" t="s">
        <v>3715</v>
      </c>
      <c r="T736" s="14" t="s">
        <v>4197</v>
      </c>
      <c r="U736" s="17"/>
      <c r="V736" s="14"/>
      <c r="W736" s="14"/>
      <c r="X736" s="18"/>
      <c r="Y736" s="18"/>
      <c r="Z736" s="18"/>
      <c r="AA736" s="19">
        <f t="shared" si="1"/>
        <v>10</v>
      </c>
    </row>
    <row r="737" ht="31.5" customHeight="1">
      <c r="A737" s="12">
        <v>45224.0</v>
      </c>
      <c r="B737" s="14" t="s">
        <v>4620</v>
      </c>
      <c r="C737" s="14" t="s">
        <v>3716</v>
      </c>
      <c r="D737" s="14"/>
      <c r="E737" s="14"/>
      <c r="F737" s="14">
        <v>2015.0</v>
      </c>
      <c r="G737" s="14">
        <v>3.0</v>
      </c>
      <c r="H737" s="14"/>
      <c r="I737" s="590" t="s">
        <v>3717</v>
      </c>
      <c r="J737" s="223"/>
      <c r="K737" s="14"/>
      <c r="L737" s="14"/>
      <c r="M737" s="223"/>
      <c r="N737" s="14" t="s">
        <v>111</v>
      </c>
      <c r="O737" s="14" t="s">
        <v>565</v>
      </c>
      <c r="P737" s="14"/>
      <c r="Q737" s="14"/>
      <c r="R737" s="14"/>
      <c r="S737" s="14" t="s">
        <v>4583</v>
      </c>
      <c r="T737" s="14" t="s">
        <v>4197</v>
      </c>
      <c r="U737" s="17"/>
      <c r="V737" s="14"/>
      <c r="W737" s="14"/>
      <c r="X737" s="18"/>
      <c r="Y737" s="18"/>
      <c r="Z737" s="18"/>
      <c r="AA737" s="19">
        <f t="shared" si="1"/>
        <v>10</v>
      </c>
    </row>
    <row r="738" ht="31.5" customHeight="1">
      <c r="A738" s="12">
        <v>45224.0</v>
      </c>
      <c r="B738" s="14" t="s">
        <v>4620</v>
      </c>
      <c r="C738" s="14" t="s">
        <v>3719</v>
      </c>
      <c r="D738" s="14"/>
      <c r="E738" s="14"/>
      <c r="F738" s="14">
        <v>2014.0</v>
      </c>
      <c r="G738" s="14">
        <v>4.0</v>
      </c>
      <c r="H738" s="14"/>
      <c r="I738" s="590" t="s">
        <v>3720</v>
      </c>
      <c r="J738" s="223"/>
      <c r="K738" s="14"/>
      <c r="L738" s="14"/>
      <c r="M738" s="223"/>
      <c r="N738" s="14" t="s">
        <v>111</v>
      </c>
      <c r="O738" s="14" t="s">
        <v>565</v>
      </c>
      <c r="P738" s="14"/>
      <c r="Q738" s="14"/>
      <c r="R738" s="14"/>
      <c r="S738" s="14" t="s">
        <v>4584</v>
      </c>
      <c r="T738" s="14"/>
      <c r="U738" s="17"/>
      <c r="V738" s="14"/>
      <c r="W738" s="14"/>
      <c r="X738" s="18"/>
      <c r="Y738" s="18"/>
      <c r="Z738" s="18"/>
      <c r="AA738" s="19">
        <f t="shared" si="1"/>
        <v>10</v>
      </c>
    </row>
    <row r="739" ht="31.5" customHeight="1">
      <c r="A739" s="12">
        <v>45226.0</v>
      </c>
      <c r="B739" s="14" t="s">
        <v>703</v>
      </c>
      <c r="C739" s="14" t="s">
        <v>3722</v>
      </c>
      <c r="D739" s="14"/>
      <c r="E739" s="14"/>
      <c r="F739" s="14"/>
      <c r="G739" s="14"/>
      <c r="H739" s="14"/>
      <c r="I739" s="590" t="s">
        <v>3723</v>
      </c>
      <c r="J739" s="223"/>
      <c r="K739" s="14"/>
      <c r="L739" s="14"/>
      <c r="M739" s="223"/>
      <c r="N739" s="14" t="s">
        <v>111</v>
      </c>
      <c r="O739" s="14" t="s">
        <v>34</v>
      </c>
      <c r="P739" s="14"/>
      <c r="Q739" s="14"/>
      <c r="R739" s="14"/>
      <c r="S739" s="14" t="s">
        <v>3724</v>
      </c>
      <c r="T739" s="14"/>
      <c r="U739" s="17"/>
      <c r="V739" s="14"/>
      <c r="W739" s="14"/>
      <c r="X739" s="18"/>
      <c r="Y739" s="18"/>
      <c r="Z739" s="18"/>
      <c r="AA739" s="19">
        <f t="shared" si="1"/>
        <v>10</v>
      </c>
    </row>
    <row r="740" ht="31.5" customHeight="1">
      <c r="A740" s="12">
        <v>45226.0</v>
      </c>
      <c r="B740" s="14" t="s">
        <v>703</v>
      </c>
      <c r="C740" s="14" t="s">
        <v>3725</v>
      </c>
      <c r="D740" s="14"/>
      <c r="E740" s="14"/>
      <c r="F740" s="14"/>
      <c r="G740" s="14"/>
      <c r="H740" s="14"/>
      <c r="I740" s="590" t="s">
        <v>3726</v>
      </c>
      <c r="J740" s="223"/>
      <c r="K740" s="14"/>
      <c r="L740" s="14"/>
      <c r="M740" s="223"/>
      <c r="N740" s="14" t="s">
        <v>111</v>
      </c>
      <c r="O740" s="14" t="s">
        <v>34</v>
      </c>
      <c r="P740" s="14"/>
      <c r="Q740" s="14"/>
      <c r="R740" s="14"/>
      <c r="S740" s="14" t="s">
        <v>3727</v>
      </c>
      <c r="T740" s="14"/>
      <c r="U740" s="17"/>
      <c r="V740" s="14"/>
      <c r="W740" s="14"/>
      <c r="X740" s="18"/>
      <c r="Y740" s="18"/>
      <c r="Z740" s="18"/>
      <c r="AA740" s="19">
        <f t="shared" si="1"/>
        <v>10</v>
      </c>
    </row>
    <row r="741" ht="31.5" customHeight="1">
      <c r="A741" s="12">
        <v>45226.0</v>
      </c>
      <c r="B741" s="14" t="s">
        <v>703</v>
      </c>
      <c r="C741" s="14" t="s">
        <v>3728</v>
      </c>
      <c r="D741" s="14"/>
      <c r="E741" s="14"/>
      <c r="F741" s="14"/>
      <c r="G741" s="14"/>
      <c r="H741" s="14"/>
      <c r="I741" s="590" t="s">
        <v>3729</v>
      </c>
      <c r="J741" s="223"/>
      <c r="K741" s="14"/>
      <c r="L741" s="14"/>
      <c r="M741" s="223"/>
      <c r="N741" s="14" t="s">
        <v>111</v>
      </c>
      <c r="O741" s="14" t="s">
        <v>34</v>
      </c>
      <c r="P741" s="14"/>
      <c r="Q741" s="14"/>
      <c r="R741" s="14"/>
      <c r="S741" s="14" t="s">
        <v>3730</v>
      </c>
      <c r="T741" s="14"/>
      <c r="U741" s="17"/>
      <c r="V741" s="14"/>
      <c r="W741" s="14"/>
      <c r="X741" s="18"/>
      <c r="Y741" s="18"/>
      <c r="Z741" s="18"/>
      <c r="AA741" s="19">
        <f t="shared" si="1"/>
        <v>10</v>
      </c>
    </row>
    <row r="742" ht="31.5" customHeight="1">
      <c r="A742" s="12">
        <v>45226.0</v>
      </c>
      <c r="B742" s="14" t="s">
        <v>4620</v>
      </c>
      <c r="C742" s="14" t="s">
        <v>3731</v>
      </c>
      <c r="D742" s="14"/>
      <c r="E742" s="14"/>
      <c r="F742" s="14"/>
      <c r="G742" s="14"/>
      <c r="H742" s="14"/>
      <c r="I742" s="590" t="s">
        <v>3732</v>
      </c>
      <c r="J742" s="223"/>
      <c r="K742" s="14"/>
      <c r="L742" s="14"/>
      <c r="M742" s="223"/>
      <c r="N742" s="14" t="s">
        <v>111</v>
      </c>
      <c r="O742" s="14" t="s">
        <v>565</v>
      </c>
      <c r="P742" s="14"/>
      <c r="Q742" s="14"/>
      <c r="R742" s="14"/>
      <c r="S742" s="14" t="s">
        <v>3733</v>
      </c>
      <c r="T742" s="14"/>
      <c r="U742" s="17"/>
      <c r="V742" s="14"/>
      <c r="W742" s="14"/>
      <c r="X742" s="18"/>
      <c r="Y742" s="18"/>
      <c r="Z742" s="18"/>
      <c r="AA742" s="19">
        <f t="shared" si="1"/>
        <v>10</v>
      </c>
    </row>
    <row r="743" ht="31.5" customHeight="1">
      <c r="A743" s="12">
        <v>45227.0</v>
      </c>
      <c r="B743" s="14" t="s">
        <v>4620</v>
      </c>
      <c r="C743" s="14" t="s">
        <v>3734</v>
      </c>
      <c r="D743" s="14" t="s">
        <v>3735</v>
      </c>
      <c r="E743" s="14"/>
      <c r="F743" s="14">
        <v>2011.0</v>
      </c>
      <c r="G743" s="14">
        <v>7.0</v>
      </c>
      <c r="H743" s="14"/>
      <c r="I743" s="590" t="s">
        <v>3736</v>
      </c>
      <c r="J743" s="223"/>
      <c r="K743" s="14"/>
      <c r="L743" s="14" t="s">
        <v>3737</v>
      </c>
      <c r="M743" s="223"/>
      <c r="N743" s="14" t="s">
        <v>111</v>
      </c>
      <c r="O743" s="14" t="s">
        <v>565</v>
      </c>
      <c r="P743" s="14"/>
      <c r="Q743" s="14"/>
      <c r="R743" s="14"/>
      <c r="S743" s="14" t="s">
        <v>3738</v>
      </c>
      <c r="T743" s="14" t="s">
        <v>4085</v>
      </c>
      <c r="U743" s="17"/>
      <c r="V743" s="14"/>
      <c r="W743" s="14"/>
      <c r="X743" s="18"/>
      <c r="Y743" s="18"/>
      <c r="Z743" s="18"/>
      <c r="AA743" s="19">
        <f t="shared" si="1"/>
        <v>10</v>
      </c>
    </row>
    <row r="744" ht="31.5" customHeight="1">
      <c r="A744" s="12">
        <v>45228.0</v>
      </c>
      <c r="B744" s="14" t="s">
        <v>4620</v>
      </c>
      <c r="C744" s="14" t="s">
        <v>3739</v>
      </c>
      <c r="D744" s="14"/>
      <c r="E744" s="14"/>
      <c r="F744" s="14">
        <v>2015.0</v>
      </c>
      <c r="G744" s="14">
        <v>3.0</v>
      </c>
      <c r="H744" s="14"/>
      <c r="I744" s="590" t="s">
        <v>3740</v>
      </c>
      <c r="J744" s="223"/>
      <c r="K744" s="14"/>
      <c r="L744" s="14" t="s">
        <v>3741</v>
      </c>
      <c r="M744" s="223"/>
      <c r="N744" s="14" t="s">
        <v>111</v>
      </c>
      <c r="O744" s="14" t="s">
        <v>565</v>
      </c>
      <c r="P744" s="14"/>
      <c r="Q744" s="14"/>
      <c r="R744" s="14"/>
      <c r="S744" s="14" t="s">
        <v>3742</v>
      </c>
      <c r="T744" s="14" t="s">
        <v>4096</v>
      </c>
      <c r="U744" s="17"/>
      <c r="V744" s="14"/>
      <c r="W744" s="14"/>
      <c r="X744" s="18"/>
      <c r="Y744" s="18"/>
      <c r="Z744" s="18"/>
      <c r="AA744" s="19">
        <f t="shared" si="1"/>
        <v>10</v>
      </c>
    </row>
    <row r="745" ht="31.5" customHeight="1">
      <c r="A745" s="12">
        <v>45229.0</v>
      </c>
      <c r="B745" s="14" t="s">
        <v>4620</v>
      </c>
      <c r="C745" s="14" t="s">
        <v>3743</v>
      </c>
      <c r="D745" s="14" t="s">
        <v>3744</v>
      </c>
      <c r="E745" s="14"/>
      <c r="F745" s="14">
        <v>2012.0</v>
      </c>
      <c r="G745" s="14">
        <v>6.0</v>
      </c>
      <c r="H745" s="14"/>
      <c r="I745" s="590" t="s">
        <v>3745</v>
      </c>
      <c r="J745" s="223"/>
      <c r="K745" s="14"/>
      <c r="L745" s="14" t="s">
        <v>3746</v>
      </c>
      <c r="M745" s="223"/>
      <c r="N745" s="14" t="s">
        <v>111</v>
      </c>
      <c r="O745" s="14" t="s">
        <v>13</v>
      </c>
      <c r="P745" s="14" t="s">
        <v>3747</v>
      </c>
      <c r="Q745" s="14" t="s">
        <v>289</v>
      </c>
      <c r="R745" s="14"/>
      <c r="S745" s="14" t="s">
        <v>5957</v>
      </c>
      <c r="T745" s="14" t="s">
        <v>4432</v>
      </c>
      <c r="U745" s="17">
        <v>45240.0</v>
      </c>
      <c r="V745" s="14"/>
      <c r="W745" s="14"/>
      <c r="X745" s="18"/>
      <c r="Y745" s="18"/>
      <c r="Z745" s="18"/>
      <c r="AA745" s="19">
        <f t="shared" si="1"/>
        <v>10</v>
      </c>
    </row>
    <row r="746" ht="31.5" customHeight="1">
      <c r="A746" s="12">
        <v>45229.0</v>
      </c>
      <c r="B746" s="14" t="s">
        <v>4620</v>
      </c>
      <c r="C746" s="14" t="s">
        <v>3749</v>
      </c>
      <c r="D746" s="14"/>
      <c r="E746" s="14"/>
      <c r="F746" s="14">
        <v>2013.0</v>
      </c>
      <c r="G746" s="14">
        <v>5.0</v>
      </c>
      <c r="H746" s="14"/>
      <c r="I746" s="590" t="s">
        <v>3750</v>
      </c>
      <c r="J746" s="223"/>
      <c r="K746" s="14"/>
      <c r="L746" s="14"/>
      <c r="M746" s="223"/>
      <c r="N746" s="14" t="s">
        <v>111</v>
      </c>
      <c r="O746" s="14" t="s">
        <v>565</v>
      </c>
      <c r="P746" s="14"/>
      <c r="Q746" s="14"/>
      <c r="R746" s="14"/>
      <c r="S746" s="14" t="s">
        <v>3751</v>
      </c>
      <c r="T746" s="14"/>
      <c r="U746" s="17"/>
      <c r="V746" s="14"/>
      <c r="W746" s="14"/>
      <c r="X746" s="18"/>
      <c r="Y746" s="18"/>
      <c r="Z746" s="18"/>
      <c r="AA746" s="19">
        <f t="shared" si="1"/>
        <v>10</v>
      </c>
    </row>
    <row r="747" ht="31.5" customHeight="1">
      <c r="A747" s="12">
        <v>45231.0</v>
      </c>
      <c r="B747" s="14" t="s">
        <v>201</v>
      </c>
      <c r="C747" s="14" t="s">
        <v>3757</v>
      </c>
      <c r="D747" s="14"/>
      <c r="E747" s="14"/>
      <c r="F747" s="14">
        <v>2014.0</v>
      </c>
      <c r="G747" s="14">
        <v>5.0</v>
      </c>
      <c r="H747" s="14"/>
      <c r="I747" s="590" t="s">
        <v>3758</v>
      </c>
      <c r="J747" s="223"/>
      <c r="K747" s="14"/>
      <c r="L747" s="223" t="s">
        <v>4586</v>
      </c>
      <c r="M747" s="223"/>
      <c r="N747" s="14" t="s">
        <v>111</v>
      </c>
      <c r="O747" s="14" t="s">
        <v>565</v>
      </c>
      <c r="P747" s="14"/>
      <c r="Q747" s="14"/>
      <c r="R747" s="14"/>
      <c r="S747" s="14" t="s">
        <v>3759</v>
      </c>
      <c r="T747" s="14"/>
      <c r="U747" s="17"/>
      <c r="V747" s="14"/>
      <c r="W747" s="14"/>
      <c r="X747" s="18"/>
      <c r="Y747" s="18"/>
      <c r="Z747" s="18"/>
      <c r="AA747" s="19">
        <f t="shared" si="1"/>
        <v>11</v>
      </c>
    </row>
    <row r="748" ht="31.5" customHeight="1">
      <c r="A748" s="12">
        <v>45231.0</v>
      </c>
      <c r="B748" s="14" t="s">
        <v>201</v>
      </c>
      <c r="C748" s="14" t="s">
        <v>3760</v>
      </c>
      <c r="D748" s="14"/>
      <c r="E748" s="14"/>
      <c r="F748" s="14">
        <v>2015.0</v>
      </c>
      <c r="G748" s="14">
        <v>3.0</v>
      </c>
      <c r="H748" s="14"/>
      <c r="I748" s="590" t="s">
        <v>3761</v>
      </c>
      <c r="J748" s="223"/>
      <c r="K748" s="14"/>
      <c r="L748" s="223" t="s">
        <v>4586</v>
      </c>
      <c r="M748" s="223"/>
      <c r="N748" s="14" t="s">
        <v>111</v>
      </c>
      <c r="O748" s="14" t="s">
        <v>565</v>
      </c>
      <c r="P748" s="14"/>
      <c r="Q748" s="14"/>
      <c r="R748" s="14"/>
      <c r="S748" s="14" t="s">
        <v>3762</v>
      </c>
      <c r="T748" s="14"/>
      <c r="U748" s="17"/>
      <c r="V748" s="14"/>
      <c r="W748" s="14"/>
      <c r="X748" s="18"/>
      <c r="Y748" s="18"/>
      <c r="Z748" s="18"/>
      <c r="AA748" s="19">
        <f t="shared" si="1"/>
        <v>11</v>
      </c>
    </row>
    <row r="749" ht="31.5" customHeight="1">
      <c r="A749" s="12">
        <v>45236.0</v>
      </c>
      <c r="B749" s="14" t="s">
        <v>4620</v>
      </c>
      <c r="C749" s="14" t="s">
        <v>3768</v>
      </c>
      <c r="D749" s="14"/>
      <c r="E749" s="14"/>
      <c r="F749" s="14"/>
      <c r="G749" s="14">
        <v>7.0</v>
      </c>
      <c r="H749" s="14"/>
      <c r="I749" s="590" t="s">
        <v>3769</v>
      </c>
      <c r="J749" s="223"/>
      <c r="K749" s="14"/>
      <c r="L749" s="14"/>
      <c r="M749" s="223"/>
      <c r="N749" s="27" t="s">
        <v>111</v>
      </c>
      <c r="O749" s="14" t="s">
        <v>565</v>
      </c>
      <c r="P749" s="14"/>
      <c r="Q749" s="14"/>
      <c r="R749" s="14"/>
      <c r="S749" s="14" t="s">
        <v>3770</v>
      </c>
      <c r="T749" s="14"/>
      <c r="U749" s="17"/>
      <c r="V749" s="14"/>
      <c r="W749" s="14"/>
      <c r="X749" s="18"/>
      <c r="Y749" s="18"/>
      <c r="Z749" s="18"/>
      <c r="AA749" s="19">
        <f t="shared" si="1"/>
        <v>11</v>
      </c>
    </row>
    <row r="750" ht="31.5" customHeight="1">
      <c r="A750" s="12">
        <v>45236.0</v>
      </c>
      <c r="B750" s="14" t="s">
        <v>4620</v>
      </c>
      <c r="C750" s="14" t="s">
        <v>3768</v>
      </c>
      <c r="D750" s="14"/>
      <c r="E750" s="14"/>
      <c r="F750" s="14"/>
      <c r="G750" s="14">
        <v>5.0</v>
      </c>
      <c r="H750" s="14"/>
      <c r="I750" s="590" t="s">
        <v>3769</v>
      </c>
      <c r="J750" s="223"/>
      <c r="K750" s="14"/>
      <c r="L750" s="14"/>
      <c r="M750" s="223"/>
      <c r="N750" s="27" t="s">
        <v>111</v>
      </c>
      <c r="O750" s="14" t="s">
        <v>565</v>
      </c>
      <c r="P750" s="14"/>
      <c r="Q750" s="14"/>
      <c r="R750" s="14"/>
      <c r="S750" s="14" t="s">
        <v>3770</v>
      </c>
      <c r="T750" s="14"/>
      <c r="U750" s="17"/>
      <c r="V750" s="14"/>
      <c r="W750" s="14"/>
      <c r="X750" s="18"/>
      <c r="Y750" s="18"/>
      <c r="Z750" s="18"/>
      <c r="AA750" s="19">
        <f t="shared" si="1"/>
        <v>11</v>
      </c>
    </row>
    <row r="751" ht="31.5" customHeight="1">
      <c r="A751" s="12">
        <v>45237.0</v>
      </c>
      <c r="B751" s="14" t="s">
        <v>4620</v>
      </c>
      <c r="C751" s="14" t="s">
        <v>3776</v>
      </c>
      <c r="D751" s="14"/>
      <c r="E751" s="14"/>
      <c r="F751" s="14"/>
      <c r="G751" s="14"/>
      <c r="H751" s="14"/>
      <c r="I751" s="590" t="s">
        <v>3777</v>
      </c>
      <c r="J751" s="223"/>
      <c r="K751" s="14"/>
      <c r="L751" s="14"/>
      <c r="M751" s="223"/>
      <c r="N751" s="27" t="s">
        <v>111</v>
      </c>
      <c r="O751" s="14" t="s">
        <v>13</v>
      </c>
      <c r="P751" s="14" t="s">
        <v>3778</v>
      </c>
      <c r="Q751" s="14"/>
      <c r="R751" s="14"/>
      <c r="S751" s="14" t="s">
        <v>5958</v>
      </c>
      <c r="T751" s="14"/>
      <c r="U751" s="17"/>
      <c r="V751" s="14"/>
      <c r="W751" s="14"/>
      <c r="X751" s="18"/>
      <c r="Y751" s="18"/>
      <c r="Z751" s="18"/>
      <c r="AA751" s="19">
        <f t="shared" si="1"/>
        <v>11</v>
      </c>
    </row>
    <row r="752" ht="31.5" customHeight="1">
      <c r="A752" s="12">
        <v>45238.0</v>
      </c>
      <c r="B752" s="14" t="s">
        <v>4620</v>
      </c>
      <c r="C752" s="14" t="s">
        <v>3780</v>
      </c>
      <c r="D752" s="14" t="s">
        <v>3781</v>
      </c>
      <c r="E752" s="14"/>
      <c r="F752" s="14" t="s">
        <v>4589</v>
      </c>
      <c r="G752" s="14"/>
      <c r="H752" s="14"/>
      <c r="I752" s="590" t="s">
        <v>3782</v>
      </c>
      <c r="J752" s="223"/>
      <c r="K752" s="14"/>
      <c r="L752" s="14"/>
      <c r="M752" s="223"/>
      <c r="N752" s="27" t="s">
        <v>111</v>
      </c>
      <c r="O752" s="14" t="s">
        <v>565</v>
      </c>
      <c r="P752" s="14"/>
      <c r="Q752" s="14"/>
      <c r="R752" s="14"/>
      <c r="S752" s="14" t="s">
        <v>3783</v>
      </c>
      <c r="T752" s="14"/>
      <c r="U752" s="17"/>
      <c r="V752" s="14"/>
      <c r="W752" s="14"/>
      <c r="X752" s="18"/>
      <c r="Y752" s="18"/>
      <c r="Z752" s="18"/>
      <c r="AA752" s="19">
        <f t="shared" si="1"/>
        <v>11</v>
      </c>
    </row>
    <row r="753" ht="31.5" customHeight="1">
      <c r="A753" s="12">
        <v>45240.0</v>
      </c>
      <c r="B753" s="14" t="s">
        <v>84</v>
      </c>
      <c r="C753" s="14" t="s">
        <v>3784</v>
      </c>
      <c r="D753" s="14"/>
      <c r="E753" s="14"/>
      <c r="F753" s="14">
        <v>2014.0</v>
      </c>
      <c r="G753" s="14">
        <v>4.0</v>
      </c>
      <c r="H753" s="14"/>
      <c r="I753" s="590" t="s">
        <v>3785</v>
      </c>
      <c r="J753" s="223"/>
      <c r="K753" s="14"/>
      <c r="L753" s="14"/>
      <c r="M753" s="223"/>
      <c r="N753" s="27" t="s">
        <v>111</v>
      </c>
      <c r="O753" s="14" t="s">
        <v>565</v>
      </c>
      <c r="P753" s="14"/>
      <c r="Q753" s="14"/>
      <c r="R753" s="14"/>
      <c r="S753" s="14" t="s">
        <v>3786</v>
      </c>
      <c r="T753" s="14" t="s">
        <v>4197</v>
      </c>
      <c r="U753" s="17"/>
      <c r="V753" s="14"/>
      <c r="W753" s="14"/>
      <c r="X753" s="18"/>
      <c r="Y753" s="18"/>
      <c r="Z753" s="18"/>
      <c r="AA753" s="19">
        <f t="shared" si="1"/>
        <v>11</v>
      </c>
    </row>
    <row r="754" ht="31.5" customHeight="1">
      <c r="A754" s="12">
        <v>45240.0</v>
      </c>
      <c r="B754" s="14" t="s">
        <v>4620</v>
      </c>
      <c r="C754" s="14" t="s">
        <v>3787</v>
      </c>
      <c r="D754" s="14" t="s">
        <v>3788</v>
      </c>
      <c r="E754" s="14"/>
      <c r="F754" s="14">
        <v>2013.0</v>
      </c>
      <c r="G754" s="14">
        <v>5.0</v>
      </c>
      <c r="H754" s="14"/>
      <c r="I754" s="590" t="s">
        <v>3789</v>
      </c>
      <c r="J754" s="223"/>
      <c r="K754" s="14"/>
      <c r="L754" s="14"/>
      <c r="M754" s="223"/>
      <c r="N754" s="27" t="s">
        <v>111</v>
      </c>
      <c r="O754" s="14" t="s">
        <v>565</v>
      </c>
      <c r="P754" s="14"/>
      <c r="Q754" s="14"/>
      <c r="R754" s="14"/>
      <c r="S754" s="14" t="s">
        <v>3790</v>
      </c>
      <c r="T754" s="14" t="s">
        <v>4197</v>
      </c>
      <c r="U754" s="17"/>
      <c r="V754" s="14"/>
      <c r="W754" s="14"/>
      <c r="X754" s="18"/>
      <c r="Y754" s="18"/>
      <c r="Z754" s="18"/>
      <c r="AA754" s="19">
        <f t="shared" si="1"/>
        <v>11</v>
      </c>
    </row>
    <row r="755" ht="31.5" customHeight="1">
      <c r="A755" s="12">
        <v>45243.0</v>
      </c>
      <c r="B755" s="14" t="s">
        <v>4620</v>
      </c>
      <c r="C755" s="14" t="s">
        <v>3791</v>
      </c>
      <c r="D755" s="14" t="s">
        <v>3792</v>
      </c>
      <c r="E755" s="14"/>
      <c r="F755" s="14">
        <v>2013.0</v>
      </c>
      <c r="G755" s="14">
        <v>5.0</v>
      </c>
      <c r="H755" s="14"/>
      <c r="I755" s="590" t="s">
        <v>3793</v>
      </c>
      <c r="J755" s="223"/>
      <c r="K755" s="14"/>
      <c r="L755" s="14"/>
      <c r="M755" s="223"/>
      <c r="N755" s="27" t="s">
        <v>111</v>
      </c>
      <c r="O755" s="14" t="s">
        <v>13</v>
      </c>
      <c r="P755" s="14" t="s">
        <v>3794</v>
      </c>
      <c r="Q755" s="14"/>
      <c r="R755" s="14"/>
      <c r="S755" s="14" t="s">
        <v>3795</v>
      </c>
      <c r="T755" s="14" t="s">
        <v>4507</v>
      </c>
      <c r="U755" s="17"/>
      <c r="V755" s="14"/>
      <c r="W755" s="14"/>
      <c r="X755" s="18"/>
      <c r="Y755" s="18"/>
      <c r="Z755" s="18"/>
      <c r="AA755" s="19">
        <f t="shared" si="1"/>
        <v>11</v>
      </c>
    </row>
    <row r="756" ht="31.5" customHeight="1">
      <c r="A756" s="12">
        <v>45244.0</v>
      </c>
      <c r="B756" s="14" t="s">
        <v>4620</v>
      </c>
      <c r="C756" s="14" t="s">
        <v>3796</v>
      </c>
      <c r="D756" s="674"/>
      <c r="E756" s="14"/>
      <c r="F756" s="14">
        <v>2012.0</v>
      </c>
      <c r="G756" s="14">
        <v>6.0</v>
      </c>
      <c r="H756" s="14"/>
      <c r="I756" s="590">
        <v>9.05881786E8</v>
      </c>
      <c r="J756" s="223"/>
      <c r="K756" s="14"/>
      <c r="L756" s="14"/>
      <c r="M756" s="223"/>
      <c r="N756" s="27" t="s">
        <v>111</v>
      </c>
      <c r="O756" s="14" t="s">
        <v>565</v>
      </c>
      <c r="P756" s="14"/>
      <c r="Q756" s="14"/>
      <c r="R756" s="14"/>
      <c r="S756" s="14" t="s">
        <v>3797</v>
      </c>
      <c r="T756" s="14"/>
      <c r="U756" s="17"/>
      <c r="V756" s="14"/>
      <c r="W756" s="14"/>
      <c r="X756" s="18"/>
      <c r="Y756" s="18"/>
      <c r="Z756" s="18"/>
      <c r="AA756" s="19">
        <f t="shared" si="1"/>
        <v>11</v>
      </c>
    </row>
    <row r="757" ht="31.5" customHeight="1">
      <c r="A757" s="12">
        <v>45246.0</v>
      </c>
      <c r="B757" s="14" t="s">
        <v>4620</v>
      </c>
      <c r="C757" s="14" t="s">
        <v>3803</v>
      </c>
      <c r="D757" s="14" t="s">
        <v>3804</v>
      </c>
      <c r="E757" s="14"/>
      <c r="F757" s="14">
        <v>2012.0</v>
      </c>
      <c r="G757" s="14">
        <v>6.0</v>
      </c>
      <c r="H757" s="14"/>
      <c r="I757" s="590" t="s">
        <v>3805</v>
      </c>
      <c r="J757" s="223"/>
      <c r="K757" s="14"/>
      <c r="L757" s="14"/>
      <c r="M757" s="223"/>
      <c r="N757" s="27" t="s">
        <v>111</v>
      </c>
      <c r="O757" s="14" t="s">
        <v>565</v>
      </c>
      <c r="P757" s="14"/>
      <c r="Q757" s="14"/>
      <c r="R757" s="14"/>
      <c r="S757" s="14" t="s">
        <v>3806</v>
      </c>
      <c r="T757" s="14" t="s">
        <v>4507</v>
      </c>
      <c r="U757" s="17"/>
      <c r="V757" s="14"/>
      <c r="W757" s="14"/>
      <c r="X757" s="18"/>
      <c r="Y757" s="18"/>
      <c r="Z757" s="18"/>
      <c r="AA757" s="19">
        <f t="shared" si="1"/>
        <v>11</v>
      </c>
    </row>
    <row r="758" ht="31.5" customHeight="1">
      <c r="A758" s="12">
        <v>45246.0</v>
      </c>
      <c r="B758" s="14" t="s">
        <v>201</v>
      </c>
      <c r="C758" s="14" t="s">
        <v>4590</v>
      </c>
      <c r="D758" s="14"/>
      <c r="E758" s="14"/>
      <c r="F758" s="14"/>
      <c r="G758" s="14"/>
      <c r="H758" s="14"/>
      <c r="I758" s="590" t="s">
        <v>3808</v>
      </c>
      <c r="J758" s="223"/>
      <c r="K758" s="14"/>
      <c r="L758" s="14"/>
      <c r="M758" s="223"/>
      <c r="N758" s="27" t="s">
        <v>111</v>
      </c>
      <c r="O758" s="14" t="s">
        <v>216</v>
      </c>
      <c r="P758" s="14"/>
      <c r="Q758" s="14"/>
      <c r="R758" s="14"/>
      <c r="S758" s="14" t="s">
        <v>5959</v>
      </c>
      <c r="T758" s="14"/>
      <c r="U758" s="17"/>
      <c r="V758" s="14"/>
      <c r="W758" s="14"/>
      <c r="X758" s="18"/>
      <c r="Y758" s="18"/>
      <c r="Z758" s="18"/>
      <c r="AA758" s="19">
        <f t="shared" si="1"/>
        <v>11</v>
      </c>
    </row>
    <row r="759" ht="31.5" customHeight="1">
      <c r="A759" s="12">
        <v>45250.0</v>
      </c>
      <c r="B759" s="14" t="s">
        <v>4620</v>
      </c>
      <c r="C759" s="14" t="s">
        <v>1214</v>
      </c>
      <c r="D759" s="14" t="s">
        <v>3814</v>
      </c>
      <c r="E759" s="14"/>
      <c r="F759" s="14">
        <v>2017.0</v>
      </c>
      <c r="G759" s="14">
        <v>1.0</v>
      </c>
      <c r="H759" s="14"/>
      <c r="I759" s="590" t="s">
        <v>1216</v>
      </c>
      <c r="J759" s="223"/>
      <c r="K759" s="14"/>
      <c r="L759" s="14"/>
      <c r="M759" s="223"/>
      <c r="N759" s="27" t="s">
        <v>111</v>
      </c>
      <c r="O759" s="14" t="s">
        <v>565</v>
      </c>
      <c r="P759" s="14"/>
      <c r="Q759" s="14"/>
      <c r="R759" s="14"/>
      <c r="S759" s="14" t="s">
        <v>3815</v>
      </c>
      <c r="T759" s="14"/>
      <c r="U759" s="17"/>
      <c r="V759" s="14"/>
      <c r="W759" s="14"/>
      <c r="X759" s="18"/>
      <c r="Y759" s="18"/>
      <c r="Z759" s="18"/>
      <c r="AA759" s="19">
        <f t="shared" si="1"/>
        <v>11</v>
      </c>
    </row>
    <row r="760" ht="31.5" customHeight="1">
      <c r="A760" s="12">
        <v>45249.0</v>
      </c>
      <c r="B760" s="14" t="s">
        <v>4620</v>
      </c>
      <c r="C760" s="14" t="s">
        <v>3816</v>
      </c>
      <c r="D760" s="14"/>
      <c r="E760" s="14"/>
      <c r="F760" s="14"/>
      <c r="G760" s="14"/>
      <c r="H760" s="14"/>
      <c r="I760" s="590" t="s">
        <v>3817</v>
      </c>
      <c r="J760" s="223"/>
      <c r="K760" s="14"/>
      <c r="L760" s="14"/>
      <c r="M760" s="223"/>
      <c r="N760" s="27" t="s">
        <v>111</v>
      </c>
      <c r="O760" s="14" t="s">
        <v>565</v>
      </c>
      <c r="P760" s="14"/>
      <c r="Q760" s="14"/>
      <c r="R760" s="14"/>
      <c r="S760" s="14" t="s">
        <v>3818</v>
      </c>
      <c r="T760" s="14"/>
      <c r="U760" s="17"/>
      <c r="V760" s="14"/>
      <c r="W760" s="14"/>
      <c r="X760" s="18"/>
      <c r="Y760" s="18"/>
      <c r="Z760" s="18"/>
      <c r="AA760" s="19">
        <f t="shared" si="1"/>
        <v>11</v>
      </c>
    </row>
    <row r="761" ht="31.5" customHeight="1">
      <c r="A761" s="12">
        <v>45250.0</v>
      </c>
      <c r="B761" s="14" t="s">
        <v>4620</v>
      </c>
      <c r="C761" s="14" t="s">
        <v>4591</v>
      </c>
      <c r="D761" s="14"/>
      <c r="E761" s="14"/>
      <c r="F761" s="14">
        <v>2017.0</v>
      </c>
      <c r="G761" s="14">
        <v>1.0</v>
      </c>
      <c r="H761" s="14"/>
      <c r="I761" s="590" t="s">
        <v>3824</v>
      </c>
      <c r="J761" s="223"/>
      <c r="K761" s="14"/>
      <c r="L761" s="14"/>
      <c r="M761" s="223"/>
      <c r="N761" s="27" t="s">
        <v>111</v>
      </c>
      <c r="O761" s="14" t="s">
        <v>565</v>
      </c>
      <c r="P761" s="14"/>
      <c r="Q761" s="14"/>
      <c r="R761" s="14"/>
      <c r="S761" s="14" t="s">
        <v>3825</v>
      </c>
      <c r="T761" s="14"/>
      <c r="U761" s="17"/>
      <c r="V761" s="14"/>
      <c r="W761" s="14"/>
      <c r="X761" s="18"/>
      <c r="Y761" s="18"/>
      <c r="Z761" s="18"/>
      <c r="AA761" s="19">
        <f t="shared" si="1"/>
        <v>11</v>
      </c>
    </row>
    <row r="762" ht="31.5" customHeight="1">
      <c r="A762" s="12">
        <v>45250.0</v>
      </c>
      <c r="B762" s="14" t="s">
        <v>4620</v>
      </c>
      <c r="C762" s="14" t="s">
        <v>3826</v>
      </c>
      <c r="D762" s="14" t="s">
        <v>3827</v>
      </c>
      <c r="E762" s="14"/>
      <c r="F762" s="14">
        <v>2010.0</v>
      </c>
      <c r="G762" s="14">
        <v>8.0</v>
      </c>
      <c r="H762" s="14"/>
      <c r="I762" s="590" t="s">
        <v>3828</v>
      </c>
      <c r="J762" s="223"/>
      <c r="K762" s="14"/>
      <c r="L762" s="14"/>
      <c r="M762" s="223"/>
      <c r="N762" s="27" t="s">
        <v>111</v>
      </c>
      <c r="O762" s="14" t="s">
        <v>13</v>
      </c>
      <c r="P762" s="14" t="s">
        <v>3829</v>
      </c>
      <c r="Q762" s="14"/>
      <c r="R762" s="14"/>
      <c r="S762" s="14" t="s">
        <v>3830</v>
      </c>
      <c r="T762" s="14" t="s">
        <v>4197</v>
      </c>
      <c r="U762" s="17"/>
      <c r="V762" s="14"/>
      <c r="W762" s="14"/>
      <c r="X762" s="18"/>
      <c r="Y762" s="18"/>
      <c r="Z762" s="18"/>
      <c r="AA762" s="19">
        <f t="shared" si="1"/>
        <v>11</v>
      </c>
    </row>
    <row r="763" ht="31.5" customHeight="1">
      <c r="A763" s="12">
        <v>45251.0</v>
      </c>
      <c r="B763" s="14" t="s">
        <v>4620</v>
      </c>
      <c r="C763" s="14" t="s">
        <v>3831</v>
      </c>
      <c r="D763" s="14" t="s">
        <v>3832</v>
      </c>
      <c r="E763" s="14"/>
      <c r="F763" s="14">
        <v>2018.0</v>
      </c>
      <c r="G763" s="14" t="s">
        <v>3833</v>
      </c>
      <c r="H763" s="14"/>
      <c r="I763" s="590" t="s">
        <v>3834</v>
      </c>
      <c r="J763" s="223"/>
      <c r="K763" s="14"/>
      <c r="L763" s="14"/>
      <c r="M763" s="223"/>
      <c r="N763" s="27" t="s">
        <v>111</v>
      </c>
      <c r="O763" s="14" t="s">
        <v>565</v>
      </c>
      <c r="P763" s="14"/>
      <c r="Q763" s="14"/>
      <c r="R763" s="14"/>
      <c r="S763" s="14" t="s">
        <v>3835</v>
      </c>
      <c r="T763" s="14" t="s">
        <v>4096</v>
      </c>
      <c r="U763" s="17"/>
      <c r="V763" s="14"/>
      <c r="W763" s="14"/>
      <c r="X763" s="18"/>
      <c r="Y763" s="18"/>
      <c r="Z763" s="18"/>
      <c r="AA763" s="19">
        <f t="shared" si="1"/>
        <v>11</v>
      </c>
    </row>
    <row r="764" ht="31.5" customHeight="1">
      <c r="A764" s="12">
        <v>45253.0</v>
      </c>
      <c r="B764" s="14" t="s">
        <v>4620</v>
      </c>
      <c r="C764" s="14" t="s">
        <v>3851</v>
      </c>
      <c r="D764" s="14" t="s">
        <v>3852</v>
      </c>
      <c r="E764" s="14"/>
      <c r="F764" s="14">
        <v>2012.0</v>
      </c>
      <c r="G764" s="14">
        <v>6.0</v>
      </c>
      <c r="H764" s="14"/>
      <c r="I764" s="590" t="s">
        <v>3853</v>
      </c>
      <c r="J764" s="223"/>
      <c r="K764" s="14"/>
      <c r="L764" s="14"/>
      <c r="M764" s="223"/>
      <c r="N764" s="27" t="s">
        <v>111</v>
      </c>
      <c r="O764" s="27" t="s">
        <v>13</v>
      </c>
      <c r="P764" s="14" t="s">
        <v>3854</v>
      </c>
      <c r="Q764" s="14"/>
      <c r="R764" s="14"/>
      <c r="S764" s="14" t="s">
        <v>3855</v>
      </c>
      <c r="T764" s="14" t="s">
        <v>4069</v>
      </c>
      <c r="U764" s="17"/>
      <c r="V764" s="14"/>
      <c r="W764" s="14"/>
      <c r="X764" s="18"/>
      <c r="Y764" s="18"/>
      <c r="Z764" s="18"/>
      <c r="AA764" s="19">
        <f t="shared" si="1"/>
        <v>11</v>
      </c>
    </row>
    <row r="765" ht="31.5" customHeight="1">
      <c r="A765" s="12">
        <v>45256.0</v>
      </c>
      <c r="B765" s="14" t="s">
        <v>4620</v>
      </c>
      <c r="C765" s="14" t="s">
        <v>3871</v>
      </c>
      <c r="D765" s="14"/>
      <c r="E765" s="14"/>
      <c r="F765" s="14">
        <v>2013.0</v>
      </c>
      <c r="G765" s="14">
        <v>5.0</v>
      </c>
      <c r="H765" s="14"/>
      <c r="I765" s="590" t="s">
        <v>3872</v>
      </c>
      <c r="J765" s="223"/>
      <c r="K765" s="14"/>
      <c r="L765" s="14"/>
      <c r="M765" s="223"/>
      <c r="N765" s="27" t="s">
        <v>111</v>
      </c>
      <c r="O765" s="27" t="s">
        <v>13</v>
      </c>
      <c r="P765" s="14" t="s">
        <v>3873</v>
      </c>
      <c r="Q765" s="14"/>
      <c r="R765" s="14"/>
      <c r="S765" s="14" t="s">
        <v>3874</v>
      </c>
      <c r="T765" s="14" t="s">
        <v>4197</v>
      </c>
      <c r="U765" s="17"/>
      <c r="V765" s="14"/>
      <c r="W765" s="14"/>
      <c r="X765" s="18"/>
      <c r="Y765" s="18"/>
      <c r="Z765" s="18"/>
      <c r="AA765" s="19">
        <f t="shared" si="1"/>
        <v>11</v>
      </c>
    </row>
    <row r="766" ht="31.5" customHeight="1">
      <c r="A766" s="12">
        <v>45260.0</v>
      </c>
      <c r="B766" s="14" t="s">
        <v>4620</v>
      </c>
      <c r="C766" s="14" t="s">
        <v>3889</v>
      </c>
      <c r="D766" s="14"/>
      <c r="E766" s="14"/>
      <c r="F766" s="14">
        <v>2012.0</v>
      </c>
      <c r="G766" s="14">
        <v>6.0</v>
      </c>
      <c r="H766" s="14"/>
      <c r="I766" s="590" t="s">
        <v>3890</v>
      </c>
      <c r="J766" s="223"/>
      <c r="K766" s="14"/>
      <c r="L766" s="14"/>
      <c r="M766" s="223"/>
      <c r="N766" s="27" t="s">
        <v>111</v>
      </c>
      <c r="O766" s="27" t="s">
        <v>565</v>
      </c>
      <c r="P766" s="14"/>
      <c r="Q766" s="14"/>
      <c r="R766" s="14"/>
      <c r="S766" s="14" t="s">
        <v>3891</v>
      </c>
      <c r="T766" s="14" t="s">
        <v>4096</v>
      </c>
      <c r="U766" s="17"/>
      <c r="V766" s="14"/>
      <c r="W766" s="14"/>
      <c r="X766" s="18"/>
      <c r="Y766" s="18"/>
      <c r="Z766" s="18"/>
      <c r="AA766" s="19">
        <f t="shared" si="1"/>
        <v>11</v>
      </c>
    </row>
    <row r="767" ht="31.5" customHeight="1">
      <c r="A767" s="12">
        <v>45260.0</v>
      </c>
      <c r="B767" s="14" t="s">
        <v>4620</v>
      </c>
      <c r="C767" s="14" t="s">
        <v>3892</v>
      </c>
      <c r="D767" s="14"/>
      <c r="E767" s="14"/>
      <c r="F767" s="14"/>
      <c r="G767" s="14"/>
      <c r="H767" s="14"/>
      <c r="I767" s="590" t="s">
        <v>3893</v>
      </c>
      <c r="J767" s="223"/>
      <c r="K767" s="14"/>
      <c r="L767" s="14"/>
      <c r="M767" s="223"/>
      <c r="N767" s="27" t="s">
        <v>111</v>
      </c>
      <c r="O767" s="27" t="s">
        <v>216</v>
      </c>
      <c r="P767" s="14"/>
      <c r="Q767" s="14"/>
      <c r="R767" s="14"/>
      <c r="S767" s="14" t="s">
        <v>3894</v>
      </c>
      <c r="T767" s="14"/>
      <c r="U767" s="17"/>
      <c r="V767" s="14"/>
      <c r="W767" s="14"/>
      <c r="X767" s="18"/>
      <c r="Y767" s="18"/>
      <c r="Z767" s="18"/>
      <c r="AA767" s="19">
        <f t="shared" si="1"/>
        <v>11</v>
      </c>
    </row>
    <row r="768" ht="31.5" customHeight="1">
      <c r="A768" s="12">
        <v>45261.0</v>
      </c>
      <c r="B768" s="14" t="s">
        <v>4620</v>
      </c>
      <c r="C768" s="14" t="s">
        <v>3895</v>
      </c>
      <c r="D768" s="14"/>
      <c r="E768" s="14"/>
      <c r="F768" s="14"/>
      <c r="G768" s="14"/>
      <c r="H768" s="14"/>
      <c r="I768" s="590" t="s">
        <v>3896</v>
      </c>
      <c r="J768" s="223"/>
      <c r="K768" s="14"/>
      <c r="L768" s="14" t="s">
        <v>2941</v>
      </c>
      <c r="M768" s="223"/>
      <c r="N768" s="27" t="s">
        <v>111</v>
      </c>
      <c r="O768" s="27" t="s">
        <v>216</v>
      </c>
      <c r="P768" s="14"/>
      <c r="Q768" s="14"/>
      <c r="R768" s="14"/>
      <c r="S768" s="14" t="s">
        <v>3897</v>
      </c>
      <c r="T768" s="14" t="s">
        <v>4096</v>
      </c>
      <c r="U768" s="17"/>
      <c r="V768" s="14"/>
      <c r="W768" s="14"/>
      <c r="X768" s="18"/>
      <c r="Y768" s="18"/>
      <c r="Z768" s="18"/>
      <c r="AA768" s="19">
        <f t="shared" si="1"/>
        <v>12</v>
      </c>
    </row>
    <row r="769" ht="31.5" customHeight="1">
      <c r="A769" s="12">
        <v>45264.0</v>
      </c>
      <c r="B769" s="14" t="s">
        <v>4620</v>
      </c>
      <c r="C769" s="14" t="s">
        <v>3898</v>
      </c>
      <c r="D769" s="14"/>
      <c r="E769" s="14"/>
      <c r="F769" s="14"/>
      <c r="G769" s="14"/>
      <c r="H769" s="14"/>
      <c r="I769" s="590" t="s">
        <v>3899</v>
      </c>
      <c r="J769" s="223"/>
      <c r="K769" s="14"/>
      <c r="L769" s="14" t="s">
        <v>2941</v>
      </c>
      <c r="M769" s="223"/>
      <c r="N769" s="27" t="s">
        <v>111</v>
      </c>
      <c r="O769" s="27" t="s">
        <v>216</v>
      </c>
      <c r="P769" s="14"/>
      <c r="Q769" s="14"/>
      <c r="R769" s="14"/>
      <c r="S769" s="14" t="s">
        <v>3900</v>
      </c>
      <c r="T769" s="14"/>
      <c r="U769" s="17"/>
      <c r="V769" s="14"/>
      <c r="W769" s="14"/>
      <c r="X769" s="18"/>
      <c r="Y769" s="18"/>
      <c r="Z769" s="18"/>
      <c r="AA769" s="19">
        <f t="shared" si="1"/>
        <v>12</v>
      </c>
    </row>
    <row r="770" ht="31.5" customHeight="1">
      <c r="A770" s="12">
        <v>45264.0</v>
      </c>
      <c r="B770" s="14" t="s">
        <v>4620</v>
      </c>
      <c r="C770" s="14" t="s">
        <v>3901</v>
      </c>
      <c r="D770" s="14"/>
      <c r="E770" s="14"/>
      <c r="F770" s="14" t="s">
        <v>4598</v>
      </c>
      <c r="G770" s="14"/>
      <c r="H770" s="14"/>
      <c r="I770" s="590" t="s">
        <v>3902</v>
      </c>
      <c r="J770" s="223"/>
      <c r="K770" s="14"/>
      <c r="L770" s="14" t="s">
        <v>2941</v>
      </c>
      <c r="M770" s="223"/>
      <c r="N770" s="27" t="s">
        <v>111</v>
      </c>
      <c r="O770" s="27" t="s">
        <v>565</v>
      </c>
      <c r="P770" s="14"/>
      <c r="Q770" s="14"/>
      <c r="R770" s="14"/>
      <c r="S770" s="14" t="s">
        <v>3903</v>
      </c>
      <c r="T770" s="14"/>
      <c r="U770" s="17"/>
      <c r="V770" s="14"/>
      <c r="W770" s="14"/>
      <c r="X770" s="18"/>
      <c r="Y770" s="18"/>
      <c r="Z770" s="18"/>
      <c r="AA770" s="19">
        <f t="shared" si="1"/>
        <v>12</v>
      </c>
    </row>
    <row r="771" ht="31.5" customHeight="1">
      <c r="A771" s="12">
        <v>45265.0</v>
      </c>
      <c r="B771" s="14" t="s">
        <v>4620</v>
      </c>
      <c r="C771" s="14" t="s">
        <v>3913</v>
      </c>
      <c r="D771" s="14"/>
      <c r="E771" s="14"/>
      <c r="F771" s="14"/>
      <c r="G771" s="14"/>
      <c r="H771" s="14"/>
      <c r="I771" s="590" t="s">
        <v>3914</v>
      </c>
      <c r="J771" s="223"/>
      <c r="K771" s="14"/>
      <c r="L771" s="14"/>
      <c r="M771" s="223"/>
      <c r="N771" s="27" t="s">
        <v>111</v>
      </c>
      <c r="O771" s="27" t="s">
        <v>216</v>
      </c>
      <c r="P771" s="14"/>
      <c r="Q771" s="14"/>
      <c r="R771" s="14"/>
      <c r="S771" s="14" t="s">
        <v>3915</v>
      </c>
      <c r="T771" s="14"/>
      <c r="U771" s="17"/>
      <c r="V771" s="14"/>
      <c r="W771" s="14"/>
      <c r="X771" s="18"/>
      <c r="Y771" s="18"/>
      <c r="Z771" s="18"/>
      <c r="AA771" s="19">
        <f t="shared" si="1"/>
        <v>12</v>
      </c>
    </row>
    <row r="772" ht="31.5" customHeight="1">
      <c r="I772" s="442"/>
    </row>
    <row r="773" ht="31.5" customHeight="1">
      <c r="I773" s="442"/>
    </row>
    <row r="774" ht="31.5" customHeight="1">
      <c r="I774" s="442"/>
    </row>
    <row r="775" ht="31.5" customHeight="1">
      <c r="I775" s="442"/>
    </row>
    <row r="776" ht="31.5" customHeight="1">
      <c r="I776" s="442"/>
    </row>
    <row r="777" ht="31.5" customHeight="1">
      <c r="I777" s="442"/>
    </row>
    <row r="778" ht="31.5" customHeight="1">
      <c r="I778" s="442"/>
    </row>
    <row r="779" ht="31.5" customHeight="1">
      <c r="I779" s="442"/>
    </row>
    <row r="780" ht="31.5" customHeight="1">
      <c r="I780" s="442"/>
    </row>
    <row r="781" ht="31.5" customHeight="1">
      <c r="I781" s="442"/>
    </row>
    <row r="782" ht="31.5" customHeight="1">
      <c r="I782" s="442"/>
    </row>
    <row r="783" ht="31.5" customHeight="1">
      <c r="I783" s="442"/>
    </row>
    <row r="784" ht="31.5" customHeight="1">
      <c r="I784" s="442"/>
    </row>
    <row r="785" ht="31.5" customHeight="1">
      <c r="I785" s="442"/>
    </row>
    <row r="786" ht="31.5" customHeight="1">
      <c r="I786" s="442"/>
    </row>
    <row r="787" ht="31.5" customHeight="1">
      <c r="I787" s="442"/>
    </row>
    <row r="788" ht="31.5" customHeight="1">
      <c r="I788" s="442"/>
    </row>
    <row r="789" ht="31.5" customHeight="1">
      <c r="I789" s="442"/>
    </row>
    <row r="790" ht="31.5" customHeight="1">
      <c r="I790" s="442"/>
    </row>
    <row r="791" ht="31.5" customHeight="1">
      <c r="I791" s="442"/>
    </row>
    <row r="792" ht="31.5" customHeight="1">
      <c r="I792" s="442"/>
    </row>
    <row r="793" ht="31.5" customHeight="1">
      <c r="I793" s="442"/>
    </row>
    <row r="794" ht="31.5" customHeight="1">
      <c r="I794" s="442"/>
    </row>
    <row r="795" ht="31.5" customHeight="1">
      <c r="I795" s="442"/>
    </row>
    <row r="796" ht="31.5" customHeight="1">
      <c r="I796" s="442"/>
    </row>
    <row r="797" ht="31.5" customHeight="1">
      <c r="I797" s="442"/>
    </row>
    <row r="798" ht="31.5" customHeight="1">
      <c r="I798" s="442"/>
    </row>
    <row r="799" ht="31.5" customHeight="1">
      <c r="I799" s="442"/>
    </row>
    <row r="800" ht="31.5" customHeight="1">
      <c r="I800" s="442"/>
    </row>
    <row r="801" ht="31.5" customHeight="1">
      <c r="I801" s="442"/>
    </row>
    <row r="802" ht="31.5" customHeight="1">
      <c r="I802" s="442"/>
    </row>
    <row r="803" ht="31.5" customHeight="1">
      <c r="I803" s="442"/>
    </row>
    <row r="804" ht="31.5" customHeight="1">
      <c r="I804" s="442"/>
    </row>
    <row r="805" ht="31.5" customHeight="1">
      <c r="I805" s="442"/>
    </row>
    <row r="806" ht="31.5" customHeight="1">
      <c r="I806" s="442"/>
    </row>
    <row r="807" ht="31.5" customHeight="1">
      <c r="I807" s="442"/>
    </row>
    <row r="808" ht="31.5" customHeight="1">
      <c r="I808" s="442"/>
    </row>
    <row r="809" ht="31.5" customHeight="1">
      <c r="I809" s="442"/>
    </row>
    <row r="810" ht="31.5" customHeight="1">
      <c r="I810" s="442"/>
    </row>
    <row r="811" ht="31.5" customHeight="1">
      <c r="I811" s="442"/>
    </row>
    <row r="812" ht="31.5" customHeight="1">
      <c r="I812" s="442"/>
    </row>
    <row r="813" ht="31.5" customHeight="1">
      <c r="I813" s="442"/>
    </row>
    <row r="814" ht="31.5" customHeight="1">
      <c r="I814" s="442"/>
    </row>
    <row r="815" ht="31.5" customHeight="1">
      <c r="I815" s="442"/>
    </row>
    <row r="816" ht="31.5" customHeight="1">
      <c r="I816" s="442"/>
    </row>
    <row r="817" ht="31.5" customHeight="1">
      <c r="I817" s="442"/>
    </row>
    <row r="818" ht="31.5" customHeight="1">
      <c r="I818" s="442"/>
    </row>
    <row r="819" ht="31.5" customHeight="1">
      <c r="I819" s="442"/>
    </row>
    <row r="820" ht="31.5" customHeight="1">
      <c r="I820" s="442"/>
    </row>
    <row r="821" ht="31.5" customHeight="1">
      <c r="I821" s="442"/>
    </row>
    <row r="822" ht="31.5" customHeight="1">
      <c r="I822" s="442"/>
    </row>
    <row r="823" ht="31.5" customHeight="1">
      <c r="I823" s="442"/>
    </row>
    <row r="824" ht="31.5" customHeight="1">
      <c r="I824" s="442"/>
    </row>
    <row r="825" ht="31.5" customHeight="1">
      <c r="I825" s="442"/>
    </row>
    <row r="826" ht="31.5" customHeight="1">
      <c r="I826" s="442"/>
    </row>
    <row r="827" ht="31.5" customHeight="1">
      <c r="I827" s="442"/>
    </row>
    <row r="828" ht="31.5" customHeight="1">
      <c r="I828" s="442"/>
    </row>
    <row r="829" ht="31.5" customHeight="1">
      <c r="I829" s="442"/>
    </row>
    <row r="830" ht="31.5" customHeight="1">
      <c r="I830" s="442"/>
    </row>
    <row r="831" ht="31.5" customHeight="1">
      <c r="I831" s="442"/>
    </row>
    <row r="832" ht="31.5" customHeight="1">
      <c r="I832" s="442"/>
    </row>
    <row r="833" ht="31.5" customHeight="1">
      <c r="I833" s="442"/>
    </row>
    <row r="834" ht="31.5" customHeight="1">
      <c r="I834" s="442"/>
    </row>
    <row r="835" ht="31.5" customHeight="1">
      <c r="I835" s="442"/>
    </row>
    <row r="836" ht="31.5" customHeight="1">
      <c r="I836" s="442"/>
    </row>
    <row r="837" ht="31.5" customHeight="1">
      <c r="I837" s="442"/>
    </row>
    <row r="838" ht="31.5" customHeight="1">
      <c r="I838" s="442"/>
    </row>
    <row r="839" ht="31.5" customHeight="1">
      <c r="I839" s="442"/>
    </row>
    <row r="840" ht="31.5" customHeight="1">
      <c r="I840" s="442"/>
    </row>
    <row r="841" ht="31.5" customHeight="1">
      <c r="I841" s="442"/>
    </row>
    <row r="842" ht="31.5" customHeight="1">
      <c r="I842" s="442"/>
    </row>
    <row r="843" ht="31.5" customHeight="1">
      <c r="I843" s="442"/>
    </row>
    <row r="844" ht="31.5" customHeight="1">
      <c r="I844" s="442"/>
    </row>
    <row r="845" ht="31.5" customHeight="1">
      <c r="I845" s="442"/>
    </row>
    <row r="846" ht="31.5" customHeight="1">
      <c r="I846" s="442"/>
    </row>
    <row r="847" ht="31.5" customHeight="1">
      <c r="I847" s="442"/>
    </row>
    <row r="848" ht="31.5" customHeight="1">
      <c r="I848" s="442"/>
    </row>
    <row r="849" ht="31.5" customHeight="1">
      <c r="I849" s="442"/>
    </row>
    <row r="850" ht="31.5" customHeight="1">
      <c r="I850" s="442"/>
    </row>
    <row r="851" ht="31.5" customHeight="1">
      <c r="I851" s="442"/>
    </row>
    <row r="852" ht="31.5" customHeight="1">
      <c r="I852" s="442"/>
    </row>
    <row r="853" ht="31.5" customHeight="1">
      <c r="I853" s="442"/>
    </row>
    <row r="854" ht="31.5" customHeight="1">
      <c r="I854" s="442"/>
    </row>
    <row r="855" ht="31.5" customHeight="1">
      <c r="I855" s="442"/>
    </row>
    <row r="856" ht="31.5" customHeight="1">
      <c r="I856" s="442"/>
    </row>
    <row r="857" ht="31.5" customHeight="1">
      <c r="I857" s="442"/>
    </row>
    <row r="858" ht="31.5" customHeight="1">
      <c r="I858" s="442"/>
    </row>
    <row r="859" ht="31.5" customHeight="1">
      <c r="I859" s="442"/>
    </row>
    <row r="860" ht="31.5" customHeight="1">
      <c r="I860" s="442"/>
    </row>
    <row r="861" ht="31.5" customHeight="1">
      <c r="I861" s="442"/>
    </row>
    <row r="862" ht="31.5" customHeight="1">
      <c r="I862" s="442"/>
    </row>
    <row r="863" ht="31.5" customHeight="1">
      <c r="I863" s="442"/>
    </row>
    <row r="864" ht="31.5" customHeight="1">
      <c r="I864" s="442"/>
    </row>
    <row r="865" ht="31.5" customHeight="1">
      <c r="I865" s="442"/>
    </row>
    <row r="866" ht="31.5" customHeight="1">
      <c r="I866" s="442"/>
    </row>
    <row r="867" ht="31.5" customHeight="1">
      <c r="I867" s="442"/>
    </row>
    <row r="868" ht="31.5" customHeight="1">
      <c r="I868" s="442"/>
    </row>
    <row r="869" ht="31.5" customHeight="1">
      <c r="I869" s="442"/>
    </row>
    <row r="870" ht="31.5" customHeight="1">
      <c r="I870" s="442"/>
    </row>
    <row r="871" ht="31.5" customHeight="1">
      <c r="I871" s="442"/>
    </row>
    <row r="872" ht="31.5" customHeight="1">
      <c r="I872" s="442"/>
    </row>
    <row r="873" ht="31.5" customHeight="1">
      <c r="I873" s="442"/>
    </row>
    <row r="874" ht="31.5" customHeight="1">
      <c r="I874" s="442"/>
    </row>
    <row r="875" ht="31.5" customHeight="1">
      <c r="I875" s="442"/>
    </row>
    <row r="876" ht="31.5" customHeight="1">
      <c r="I876" s="442"/>
    </row>
    <row r="877" ht="31.5" customHeight="1">
      <c r="I877" s="442"/>
    </row>
    <row r="878" ht="31.5" customHeight="1">
      <c r="I878" s="442"/>
    </row>
    <row r="879" ht="31.5" customHeight="1">
      <c r="I879" s="442"/>
    </row>
    <row r="880" ht="31.5" customHeight="1">
      <c r="I880" s="442"/>
    </row>
    <row r="881" ht="31.5" customHeight="1">
      <c r="I881" s="442"/>
    </row>
    <row r="882" ht="31.5" customHeight="1">
      <c r="I882" s="442"/>
    </row>
    <row r="883" ht="31.5" customHeight="1">
      <c r="I883" s="442"/>
    </row>
    <row r="884" ht="31.5" customHeight="1">
      <c r="I884" s="442"/>
    </row>
    <row r="885" ht="31.5" customHeight="1">
      <c r="I885" s="442"/>
    </row>
    <row r="886" ht="31.5" customHeight="1">
      <c r="I886" s="442"/>
    </row>
    <row r="887" ht="31.5" customHeight="1">
      <c r="I887" s="442"/>
    </row>
    <row r="888" ht="31.5" customHeight="1">
      <c r="I888" s="442"/>
    </row>
    <row r="889" ht="31.5" customHeight="1">
      <c r="I889" s="442"/>
    </row>
    <row r="890" ht="31.5" customHeight="1">
      <c r="I890" s="442"/>
    </row>
    <row r="891" ht="31.5" customHeight="1">
      <c r="I891" s="442"/>
    </row>
    <row r="892" ht="31.5" customHeight="1">
      <c r="I892" s="442"/>
    </row>
    <row r="893" ht="31.5" customHeight="1">
      <c r="I893" s="442"/>
    </row>
    <row r="894" ht="31.5" customHeight="1">
      <c r="I894" s="442"/>
    </row>
    <row r="895" ht="31.5" customHeight="1">
      <c r="I895" s="442"/>
    </row>
    <row r="896" ht="31.5" customHeight="1">
      <c r="I896" s="442"/>
    </row>
    <row r="897" ht="31.5" customHeight="1">
      <c r="I897" s="442"/>
    </row>
    <row r="898" ht="31.5" customHeight="1">
      <c r="I898" s="442"/>
    </row>
    <row r="899" ht="31.5" customHeight="1">
      <c r="I899" s="442"/>
    </row>
    <row r="900" ht="31.5" customHeight="1">
      <c r="I900" s="442"/>
    </row>
    <row r="901" ht="31.5" customHeight="1">
      <c r="I901" s="442"/>
    </row>
    <row r="902" ht="31.5" customHeight="1">
      <c r="I902" s="442"/>
    </row>
    <row r="903" ht="31.5" customHeight="1">
      <c r="I903" s="442"/>
    </row>
    <row r="904" ht="31.5" customHeight="1">
      <c r="I904" s="442"/>
    </row>
    <row r="905" ht="31.5" customHeight="1">
      <c r="I905" s="442"/>
    </row>
    <row r="906" ht="31.5" customHeight="1">
      <c r="I906" s="442"/>
    </row>
    <row r="907" ht="31.5" customHeight="1">
      <c r="I907" s="442"/>
    </row>
    <row r="908" ht="31.5" customHeight="1">
      <c r="I908" s="442"/>
    </row>
    <row r="909" ht="31.5" customHeight="1">
      <c r="I909" s="442"/>
    </row>
    <row r="910" ht="31.5" customHeight="1">
      <c r="I910" s="442"/>
    </row>
    <row r="911" ht="31.5" customHeight="1">
      <c r="I911" s="442"/>
    </row>
    <row r="912" ht="31.5" customHeight="1">
      <c r="I912" s="442"/>
    </row>
    <row r="913" ht="31.5" customHeight="1">
      <c r="I913" s="442"/>
    </row>
    <row r="914" ht="31.5" customHeight="1">
      <c r="I914" s="442"/>
    </row>
    <row r="915" ht="31.5" customHeight="1">
      <c r="I915" s="442"/>
    </row>
    <row r="916" ht="31.5" customHeight="1">
      <c r="I916" s="442"/>
    </row>
    <row r="917" ht="31.5" customHeight="1">
      <c r="I917" s="442"/>
    </row>
    <row r="918" ht="31.5" customHeight="1">
      <c r="I918" s="442"/>
    </row>
    <row r="919" ht="31.5" customHeight="1">
      <c r="I919" s="442"/>
    </row>
    <row r="920" ht="31.5" customHeight="1">
      <c r="I920" s="442"/>
    </row>
    <row r="921" ht="31.5" customHeight="1">
      <c r="I921" s="442"/>
    </row>
    <row r="922" ht="31.5" customHeight="1">
      <c r="I922" s="442"/>
    </row>
    <row r="923" ht="31.5" customHeight="1">
      <c r="I923" s="442"/>
    </row>
    <row r="924" ht="31.5" customHeight="1">
      <c r="I924" s="442"/>
    </row>
    <row r="925" ht="31.5" customHeight="1">
      <c r="I925" s="442"/>
    </row>
    <row r="926" ht="31.5" customHeight="1">
      <c r="I926" s="442"/>
    </row>
    <row r="927" ht="31.5" customHeight="1">
      <c r="I927" s="442"/>
    </row>
    <row r="928" ht="31.5" customHeight="1">
      <c r="I928" s="442"/>
    </row>
    <row r="929" ht="31.5" customHeight="1">
      <c r="I929" s="442"/>
    </row>
    <row r="930" ht="31.5" customHeight="1">
      <c r="I930" s="442"/>
    </row>
    <row r="931" ht="31.5" customHeight="1">
      <c r="I931" s="442"/>
    </row>
    <row r="932" ht="31.5" customHeight="1">
      <c r="I932" s="442"/>
    </row>
    <row r="933" ht="31.5" customHeight="1">
      <c r="I933" s="442"/>
    </row>
    <row r="934" ht="31.5" customHeight="1">
      <c r="I934" s="442"/>
    </row>
    <row r="935" ht="31.5" customHeight="1">
      <c r="I935" s="442"/>
    </row>
    <row r="936" ht="31.5" customHeight="1">
      <c r="I936" s="442"/>
    </row>
    <row r="937" ht="31.5" customHeight="1">
      <c r="I937" s="442"/>
    </row>
    <row r="938" ht="31.5" customHeight="1">
      <c r="I938" s="442"/>
    </row>
    <row r="939" ht="31.5" customHeight="1">
      <c r="I939" s="442"/>
    </row>
    <row r="940" ht="31.5" customHeight="1">
      <c r="I940" s="442"/>
    </row>
    <row r="941" ht="31.5" customHeight="1">
      <c r="I941" s="442"/>
    </row>
    <row r="942" ht="31.5" customHeight="1">
      <c r="I942" s="442"/>
    </row>
    <row r="943" ht="31.5" customHeight="1">
      <c r="I943" s="442"/>
    </row>
    <row r="944" ht="31.5" customHeight="1">
      <c r="I944" s="442"/>
    </row>
    <row r="945" ht="31.5" customHeight="1">
      <c r="I945" s="442"/>
    </row>
    <row r="946" ht="31.5" customHeight="1">
      <c r="I946" s="442"/>
    </row>
    <row r="947" ht="31.5" customHeight="1">
      <c r="I947" s="442"/>
    </row>
    <row r="948" ht="31.5" customHeight="1">
      <c r="I948" s="442"/>
    </row>
    <row r="949" ht="31.5" customHeight="1">
      <c r="I949" s="442"/>
    </row>
    <row r="950" ht="31.5" customHeight="1">
      <c r="I950" s="442"/>
    </row>
    <row r="951" ht="31.5" customHeight="1">
      <c r="I951" s="442"/>
    </row>
    <row r="952" ht="31.5" customHeight="1">
      <c r="I952" s="442"/>
    </row>
    <row r="953" ht="31.5" customHeight="1">
      <c r="I953" s="442"/>
    </row>
    <row r="954" ht="31.5" customHeight="1">
      <c r="I954" s="442"/>
    </row>
    <row r="955" ht="31.5" customHeight="1">
      <c r="I955" s="442"/>
    </row>
    <row r="956" ht="31.5" customHeight="1">
      <c r="I956" s="442"/>
    </row>
    <row r="957" ht="31.5" customHeight="1">
      <c r="I957" s="442"/>
    </row>
    <row r="958" ht="31.5" customHeight="1">
      <c r="I958" s="442"/>
    </row>
    <row r="959" ht="31.5" customHeight="1">
      <c r="I959" s="442"/>
    </row>
    <row r="960" ht="31.5" customHeight="1">
      <c r="I960" s="442"/>
    </row>
    <row r="961" ht="31.5" customHeight="1">
      <c r="I961" s="442"/>
    </row>
    <row r="962" ht="31.5" customHeight="1">
      <c r="I962" s="442"/>
    </row>
    <row r="963" ht="31.5" customHeight="1">
      <c r="I963" s="442"/>
    </row>
    <row r="964" ht="31.5" customHeight="1">
      <c r="I964" s="442"/>
    </row>
    <row r="965" ht="31.5" customHeight="1">
      <c r="I965" s="442"/>
    </row>
    <row r="966" ht="31.5" customHeight="1">
      <c r="I966" s="442"/>
    </row>
    <row r="967" ht="31.5" customHeight="1">
      <c r="I967" s="442"/>
    </row>
    <row r="968" ht="31.5" customHeight="1">
      <c r="I968" s="442"/>
    </row>
    <row r="969" ht="31.5" customHeight="1">
      <c r="I969" s="442"/>
    </row>
    <row r="970" ht="31.5" customHeight="1">
      <c r="I970" s="442"/>
    </row>
    <row r="971" ht="31.5" customHeight="1">
      <c r="I971" s="442"/>
    </row>
  </sheetData>
  <mergeCells count="29">
    <mergeCell ref="R2:R3"/>
    <mergeCell ref="S2:S3"/>
    <mergeCell ref="T2:T3"/>
    <mergeCell ref="U2:U3"/>
    <mergeCell ref="V2:Z2"/>
    <mergeCell ref="A2:A3"/>
    <mergeCell ref="E2:H2"/>
    <mergeCell ref="I2:K2"/>
    <mergeCell ref="L2:L3"/>
    <mergeCell ref="M2:M3"/>
    <mergeCell ref="P2:P3"/>
    <mergeCell ref="Q2:Q3"/>
    <mergeCell ref="C22:C23"/>
    <mergeCell ref="I22:I23"/>
    <mergeCell ref="J22:J23"/>
    <mergeCell ref="K22:K23"/>
    <mergeCell ref="L22:L23"/>
    <mergeCell ref="M22:M23"/>
    <mergeCell ref="S22:S23"/>
    <mergeCell ref="L135:L136"/>
    <mergeCell ref="M135:M136"/>
    <mergeCell ref="I237:I238"/>
    <mergeCell ref="T22:T23"/>
    <mergeCell ref="U22:U23"/>
    <mergeCell ref="I130:I131"/>
    <mergeCell ref="I132:I133"/>
    <mergeCell ref="I135:I136"/>
    <mergeCell ref="J135:J136"/>
    <mergeCell ref="K135:K136"/>
  </mergeCells>
  <conditionalFormatting sqref="U771">
    <cfRule type="expression" dxfId="0" priority="1">
      <formula>AND(ISNUMBER(U771),TRUNC(U771)&lt;TODAY())</formula>
    </cfRule>
  </conditionalFormatting>
  <conditionalFormatting sqref="U771">
    <cfRule type="timePeriod" dxfId="2" priority="2" timePeriod="today"/>
  </conditionalFormatting>
  <conditionalFormatting sqref="AA771">
    <cfRule type="notContainsBlanks" dxfId="4" priority="3">
      <formula>LEN(TRIM(AA771))&gt;0</formula>
    </cfRule>
  </conditionalFormatting>
  <conditionalFormatting sqref="V771">
    <cfRule type="notContainsBlanks" dxfId="3" priority="4">
      <formula>LEN(TRIM(V771))&gt;0</formula>
    </cfRule>
  </conditionalFormatting>
  <conditionalFormatting sqref="U766:U770">
    <cfRule type="expression" dxfId="0" priority="5">
      <formula>AND(ISNUMBER(U766),TRUNC(U766)&lt;TODAY())</formula>
    </cfRule>
  </conditionalFormatting>
  <conditionalFormatting sqref="U766:U770">
    <cfRule type="timePeriod" dxfId="2" priority="6" timePeriod="today"/>
  </conditionalFormatting>
  <conditionalFormatting sqref="AA766:AA770">
    <cfRule type="notContainsBlanks" dxfId="4" priority="7">
      <formula>LEN(TRIM(AA766))&gt;0</formula>
    </cfRule>
  </conditionalFormatting>
  <conditionalFormatting sqref="V766:V770">
    <cfRule type="notContainsBlanks" dxfId="3" priority="8">
      <formula>LEN(TRIM(V766))&gt;0</formula>
    </cfRule>
  </conditionalFormatting>
  <conditionalFormatting sqref="U764:U765">
    <cfRule type="expression" dxfId="0" priority="9">
      <formula>AND(ISNUMBER(U764),TRUNC(U764)&lt;TODAY())</formula>
    </cfRule>
  </conditionalFormatting>
  <conditionalFormatting sqref="U764:U765">
    <cfRule type="timePeriod" dxfId="2" priority="10" timePeriod="today"/>
  </conditionalFormatting>
  <conditionalFormatting sqref="AA764:AA765">
    <cfRule type="notContainsBlanks" dxfId="4" priority="11">
      <formula>LEN(TRIM(AA764))&gt;0</formula>
    </cfRule>
  </conditionalFormatting>
  <conditionalFormatting sqref="V764:V765">
    <cfRule type="notContainsBlanks" dxfId="3" priority="12">
      <formula>LEN(TRIM(V764))&gt;0</formula>
    </cfRule>
  </conditionalFormatting>
  <conditionalFormatting sqref="U759:U763">
    <cfRule type="expression" dxfId="0" priority="13">
      <formula>AND(ISNUMBER(U759),TRUNC(U759)&lt;TODAY())</formula>
    </cfRule>
  </conditionalFormatting>
  <conditionalFormatting sqref="U759:U763">
    <cfRule type="timePeriod" dxfId="2" priority="14" timePeriod="today"/>
  </conditionalFormatting>
  <conditionalFormatting sqref="AA759:AA763">
    <cfRule type="notContainsBlanks" dxfId="4" priority="15">
      <formula>LEN(TRIM(AA759))&gt;0</formula>
    </cfRule>
  </conditionalFormatting>
  <conditionalFormatting sqref="V759:V763">
    <cfRule type="notContainsBlanks" dxfId="3" priority="16">
      <formula>LEN(TRIM(V759))&gt;0</formula>
    </cfRule>
  </conditionalFormatting>
  <conditionalFormatting sqref="U757:U758">
    <cfRule type="expression" dxfId="0" priority="17">
      <formula>AND(ISNUMBER(U757),TRUNC(U757)&lt;TODAY())</formula>
    </cfRule>
  </conditionalFormatting>
  <conditionalFormatting sqref="U757:U758">
    <cfRule type="timePeriod" dxfId="2" priority="18" timePeriod="today"/>
  </conditionalFormatting>
  <conditionalFormatting sqref="AA757:AA758">
    <cfRule type="notContainsBlanks" dxfId="4" priority="19">
      <formula>LEN(TRIM(AA757))&gt;0</formula>
    </cfRule>
  </conditionalFormatting>
  <conditionalFormatting sqref="V757:V758">
    <cfRule type="notContainsBlanks" dxfId="3" priority="20">
      <formula>LEN(TRIM(V757))&gt;0</formula>
    </cfRule>
  </conditionalFormatting>
  <conditionalFormatting sqref="U751:U756">
    <cfRule type="expression" dxfId="0" priority="21">
      <formula>AND(ISNUMBER(U751),TRUNC(U751)&lt;TODAY())</formula>
    </cfRule>
  </conditionalFormatting>
  <conditionalFormatting sqref="U751:U756">
    <cfRule type="timePeriod" dxfId="2" priority="22" timePeriod="today"/>
  </conditionalFormatting>
  <conditionalFormatting sqref="AA751:AA756">
    <cfRule type="notContainsBlanks" dxfId="4" priority="23">
      <formula>LEN(TRIM(AA751))&gt;0</formula>
    </cfRule>
  </conditionalFormatting>
  <conditionalFormatting sqref="V751:V756">
    <cfRule type="notContainsBlanks" dxfId="3" priority="24">
      <formula>LEN(TRIM(V751))&gt;0</formula>
    </cfRule>
  </conditionalFormatting>
  <conditionalFormatting sqref="U749:U750">
    <cfRule type="expression" dxfId="0" priority="25">
      <formula>AND(ISNUMBER(U749),TRUNC(U749)&lt;TODAY())</formula>
    </cfRule>
  </conditionalFormatting>
  <conditionalFormatting sqref="U749:U750">
    <cfRule type="timePeriod" dxfId="2" priority="26" timePeriod="today"/>
  </conditionalFormatting>
  <conditionalFormatting sqref="AA749:AA750">
    <cfRule type="notContainsBlanks" dxfId="4" priority="27">
      <formula>LEN(TRIM(AA749))&gt;0</formula>
    </cfRule>
  </conditionalFormatting>
  <conditionalFormatting sqref="V749:V750">
    <cfRule type="notContainsBlanks" dxfId="3" priority="28">
      <formula>LEN(TRIM(V749))&gt;0</formula>
    </cfRule>
  </conditionalFormatting>
  <conditionalFormatting sqref="U735:U748">
    <cfRule type="expression" dxfId="0" priority="29">
      <formula>AND(ISNUMBER(U735),TRUNC(U735)&lt;TODAY())</formula>
    </cfRule>
  </conditionalFormatting>
  <conditionalFormatting sqref="U735:U748">
    <cfRule type="timePeriod" dxfId="2" priority="30" timePeriod="today"/>
  </conditionalFormatting>
  <conditionalFormatting sqref="AA735:AA748">
    <cfRule type="notContainsBlanks" dxfId="4" priority="31">
      <formula>LEN(TRIM(AA735))&gt;0</formula>
    </cfRule>
  </conditionalFormatting>
  <conditionalFormatting sqref="V735:V748">
    <cfRule type="notContainsBlanks" dxfId="3" priority="32">
      <formula>LEN(TRIM(V735))&gt;0</formula>
    </cfRule>
  </conditionalFormatting>
  <conditionalFormatting sqref="U734">
    <cfRule type="expression" dxfId="0" priority="33">
      <formula>AND(ISNUMBER(U734),TRUNC(U734)&lt;TODAY())</formula>
    </cfRule>
  </conditionalFormatting>
  <conditionalFormatting sqref="U734">
    <cfRule type="timePeriod" dxfId="2" priority="34" timePeriod="today"/>
  </conditionalFormatting>
  <conditionalFormatting sqref="AA734">
    <cfRule type="notContainsBlanks" dxfId="4" priority="35">
      <formula>LEN(TRIM(AA734))&gt;0</formula>
    </cfRule>
  </conditionalFormatting>
  <conditionalFormatting sqref="V734">
    <cfRule type="notContainsBlanks" dxfId="3" priority="36">
      <formula>LEN(TRIM(V734))&gt;0</formula>
    </cfRule>
  </conditionalFormatting>
  <conditionalFormatting sqref="U723:U733">
    <cfRule type="expression" dxfId="0" priority="37">
      <formula>AND(ISNUMBER(U723),TRUNC(U723)&lt;TODAY())</formula>
    </cfRule>
  </conditionalFormatting>
  <conditionalFormatting sqref="U723:U733">
    <cfRule type="timePeriod" dxfId="2" priority="38" timePeriod="today"/>
  </conditionalFormatting>
  <conditionalFormatting sqref="AA723:AA733">
    <cfRule type="notContainsBlanks" dxfId="4" priority="39">
      <formula>LEN(TRIM(AA723))&gt;0</formula>
    </cfRule>
  </conditionalFormatting>
  <conditionalFormatting sqref="V723:V733">
    <cfRule type="notContainsBlanks" dxfId="3" priority="40">
      <formula>LEN(TRIM(V723))&gt;0</formula>
    </cfRule>
  </conditionalFormatting>
  <conditionalFormatting sqref="U720:U722">
    <cfRule type="expression" dxfId="0" priority="41">
      <formula>AND(ISNUMBER(U720),TRUNC(U720)&lt;TODAY())</formula>
    </cfRule>
  </conditionalFormatting>
  <conditionalFormatting sqref="U720:U722">
    <cfRule type="timePeriod" dxfId="2" priority="42" timePeriod="today"/>
  </conditionalFormatting>
  <conditionalFormatting sqref="AA720:AA722">
    <cfRule type="notContainsBlanks" dxfId="4" priority="43">
      <formula>LEN(TRIM(AA720))&gt;0</formula>
    </cfRule>
  </conditionalFormatting>
  <conditionalFormatting sqref="V720:V722">
    <cfRule type="notContainsBlanks" dxfId="3" priority="44">
      <formula>LEN(TRIM(V720))&gt;0</formula>
    </cfRule>
  </conditionalFormatting>
  <conditionalFormatting sqref="U707:U719">
    <cfRule type="expression" dxfId="0" priority="45">
      <formula>AND(ISNUMBER(U707),TRUNC(U707)&lt;TODAY())</formula>
    </cfRule>
  </conditionalFormatting>
  <conditionalFormatting sqref="U707:U719">
    <cfRule type="timePeriod" dxfId="2" priority="46" timePeriod="today"/>
  </conditionalFormatting>
  <conditionalFormatting sqref="AA707:AA719">
    <cfRule type="notContainsBlanks" dxfId="4" priority="47">
      <formula>LEN(TRIM(AA707))&gt;0</formula>
    </cfRule>
  </conditionalFormatting>
  <conditionalFormatting sqref="V707:V719">
    <cfRule type="notContainsBlanks" dxfId="3" priority="48">
      <formula>LEN(TRIM(V707))&gt;0</formula>
    </cfRule>
  </conditionalFormatting>
  <conditionalFormatting sqref="U705:U706">
    <cfRule type="expression" dxfId="0" priority="49">
      <formula>AND(ISNUMBER(U705),TRUNC(U705)&lt;TODAY())</formula>
    </cfRule>
  </conditionalFormatting>
  <conditionalFormatting sqref="U705:U706">
    <cfRule type="timePeriod" dxfId="2" priority="50" timePeriod="today"/>
  </conditionalFormatting>
  <conditionalFormatting sqref="AA705:AA706">
    <cfRule type="notContainsBlanks" dxfId="4" priority="51">
      <formula>LEN(TRIM(AA705))&gt;0</formula>
    </cfRule>
  </conditionalFormatting>
  <conditionalFormatting sqref="V705:V706">
    <cfRule type="notContainsBlanks" dxfId="3" priority="52">
      <formula>LEN(TRIM(V705))&gt;0</formula>
    </cfRule>
  </conditionalFormatting>
  <conditionalFormatting sqref="U671:U704">
    <cfRule type="expression" dxfId="0" priority="53">
      <formula>AND(ISNUMBER(U671),TRUNC(U671)&lt;TODAY())</formula>
    </cfRule>
  </conditionalFormatting>
  <conditionalFormatting sqref="U671:U704">
    <cfRule type="timePeriod" dxfId="2" priority="54" timePeriod="today"/>
  </conditionalFormatting>
  <conditionalFormatting sqref="AA671:AA704">
    <cfRule type="notContainsBlanks" dxfId="4" priority="55">
      <formula>LEN(TRIM(AA671))&gt;0</formula>
    </cfRule>
  </conditionalFormatting>
  <conditionalFormatting sqref="V671:V704">
    <cfRule type="notContainsBlanks" dxfId="3" priority="56">
      <formula>LEN(TRIM(V671))&gt;0</formula>
    </cfRule>
  </conditionalFormatting>
  <conditionalFormatting sqref="U640:U670">
    <cfRule type="expression" dxfId="0" priority="57">
      <formula>AND(ISNUMBER(U640),TRUNC(U640)&lt;TODAY())</formula>
    </cfRule>
  </conditionalFormatting>
  <conditionalFormatting sqref="U640:U670">
    <cfRule type="timePeriod" dxfId="2" priority="58" timePeriod="today"/>
  </conditionalFormatting>
  <conditionalFormatting sqref="AA640:AA670">
    <cfRule type="notContainsBlanks" dxfId="4" priority="59">
      <formula>LEN(TRIM(AA640))&gt;0</formula>
    </cfRule>
  </conditionalFormatting>
  <conditionalFormatting sqref="V640:V670">
    <cfRule type="notContainsBlanks" dxfId="3" priority="60">
      <formula>LEN(TRIM(V640))&gt;0</formula>
    </cfRule>
  </conditionalFormatting>
  <conditionalFormatting sqref="U632:U639">
    <cfRule type="expression" dxfId="0" priority="61">
      <formula>AND(ISNUMBER(U632),TRUNC(U632)&lt;TODAY())</formula>
    </cfRule>
  </conditionalFormatting>
  <conditionalFormatting sqref="U632:U639">
    <cfRule type="timePeriod" dxfId="2" priority="62" timePeriod="today"/>
  </conditionalFormatting>
  <conditionalFormatting sqref="AA632:AA639">
    <cfRule type="notContainsBlanks" dxfId="4" priority="63">
      <formula>LEN(TRIM(AA632))&gt;0</formula>
    </cfRule>
  </conditionalFormatting>
  <conditionalFormatting sqref="V632:V639">
    <cfRule type="notContainsBlanks" dxfId="3" priority="64">
      <formula>LEN(TRIM(V632))&gt;0</formula>
    </cfRule>
  </conditionalFormatting>
  <conditionalFormatting sqref="U571:U631">
    <cfRule type="expression" dxfId="0" priority="65">
      <formula>AND(ISNUMBER(U571),TRUNC(U571)&lt;TODAY())</formula>
    </cfRule>
  </conditionalFormatting>
  <conditionalFormatting sqref="U571:U631">
    <cfRule type="timePeriod" dxfId="2" priority="66" timePeriod="today"/>
  </conditionalFormatting>
  <conditionalFormatting sqref="AA571:AA631">
    <cfRule type="notContainsBlanks" dxfId="4" priority="67">
      <formula>LEN(TRIM(AA571))&gt;0</formula>
    </cfRule>
  </conditionalFormatting>
  <conditionalFormatting sqref="V571:V631">
    <cfRule type="notContainsBlanks" dxfId="3" priority="68">
      <formula>LEN(TRIM(V571))&gt;0</formula>
    </cfRule>
  </conditionalFormatting>
  <conditionalFormatting sqref="U569:U570">
    <cfRule type="expression" dxfId="0" priority="69">
      <formula>AND(ISNUMBER(U569),TRUNC(U569)&lt;TODAY())</formula>
    </cfRule>
  </conditionalFormatting>
  <conditionalFormatting sqref="U569:U570">
    <cfRule type="timePeriod" dxfId="2" priority="70" timePeriod="today"/>
  </conditionalFormatting>
  <conditionalFormatting sqref="AA569:AA570">
    <cfRule type="notContainsBlanks" dxfId="4" priority="71">
      <formula>LEN(TRIM(AA569))&gt;0</formula>
    </cfRule>
  </conditionalFormatting>
  <conditionalFormatting sqref="V569:V570">
    <cfRule type="notContainsBlanks" dxfId="3" priority="72">
      <formula>LEN(TRIM(V569))&gt;0</formula>
    </cfRule>
  </conditionalFormatting>
  <conditionalFormatting sqref="U566:U568">
    <cfRule type="expression" dxfId="0" priority="73">
      <formula>AND(ISNUMBER(U566),TRUNC(U566)&lt;TODAY())</formula>
    </cfRule>
  </conditionalFormatting>
  <conditionalFormatting sqref="U566:U568">
    <cfRule type="timePeriod" dxfId="2" priority="74" timePeriod="today"/>
  </conditionalFormatting>
  <conditionalFormatting sqref="AA566:AA568">
    <cfRule type="notContainsBlanks" dxfId="4" priority="75">
      <formula>LEN(TRIM(AA566))&gt;0</formula>
    </cfRule>
  </conditionalFormatting>
  <conditionalFormatting sqref="V566:V568">
    <cfRule type="notContainsBlanks" dxfId="3" priority="76">
      <formula>LEN(TRIM(V566))&gt;0</formula>
    </cfRule>
  </conditionalFormatting>
  <conditionalFormatting sqref="U565">
    <cfRule type="expression" dxfId="0" priority="77">
      <formula>AND(ISNUMBER(U565),TRUNC(U565)&lt;TODAY())</formula>
    </cfRule>
  </conditionalFormatting>
  <conditionalFormatting sqref="U565">
    <cfRule type="timePeriod" dxfId="2" priority="78" timePeriod="today"/>
  </conditionalFormatting>
  <conditionalFormatting sqref="AA565">
    <cfRule type="notContainsBlanks" dxfId="4" priority="79">
      <formula>LEN(TRIM(AA565))&gt;0</formula>
    </cfRule>
  </conditionalFormatting>
  <conditionalFormatting sqref="V565">
    <cfRule type="notContainsBlanks" dxfId="3" priority="80">
      <formula>LEN(TRIM(V565))&gt;0</formula>
    </cfRule>
  </conditionalFormatting>
  <conditionalFormatting sqref="U556:U564">
    <cfRule type="expression" dxfId="0" priority="81">
      <formula>AND(ISNUMBER(U556),TRUNC(U556)&lt;TODAY())</formula>
    </cfRule>
  </conditionalFormatting>
  <conditionalFormatting sqref="U556:U564">
    <cfRule type="timePeriod" dxfId="2" priority="82" timePeriod="today"/>
  </conditionalFormatting>
  <conditionalFormatting sqref="AA556:AA564">
    <cfRule type="notContainsBlanks" dxfId="4" priority="83">
      <formula>LEN(TRIM(AA556))&gt;0</formula>
    </cfRule>
  </conditionalFormatting>
  <conditionalFormatting sqref="V556:V564">
    <cfRule type="notContainsBlanks" dxfId="3" priority="84">
      <formula>LEN(TRIM(V556))&gt;0</formula>
    </cfRule>
  </conditionalFormatting>
  <conditionalFormatting sqref="U550:U555">
    <cfRule type="expression" dxfId="0" priority="85">
      <formula>AND(ISNUMBER(U550),TRUNC(U550)&lt;TODAY())</formula>
    </cfRule>
  </conditionalFormatting>
  <conditionalFormatting sqref="U550:U555">
    <cfRule type="timePeriod" dxfId="2" priority="86" timePeriod="today"/>
  </conditionalFormatting>
  <conditionalFormatting sqref="AA550:AA555">
    <cfRule type="notContainsBlanks" dxfId="4" priority="87">
      <formula>LEN(TRIM(AA550))&gt;0</formula>
    </cfRule>
  </conditionalFormatting>
  <conditionalFormatting sqref="V550:V555">
    <cfRule type="notContainsBlanks" dxfId="3" priority="88">
      <formula>LEN(TRIM(V550))&gt;0</formula>
    </cfRule>
  </conditionalFormatting>
  <conditionalFormatting sqref="U546:U549">
    <cfRule type="expression" dxfId="0" priority="89">
      <formula>AND(ISNUMBER(U546),TRUNC(U546)&lt;TODAY())</formula>
    </cfRule>
  </conditionalFormatting>
  <conditionalFormatting sqref="U546:U549">
    <cfRule type="timePeriod" dxfId="2" priority="90" timePeriod="today"/>
  </conditionalFormatting>
  <conditionalFormatting sqref="AA546:AA549">
    <cfRule type="notContainsBlanks" dxfId="4" priority="91">
      <formula>LEN(TRIM(AA546))&gt;0</formula>
    </cfRule>
  </conditionalFormatting>
  <conditionalFormatting sqref="V546:V549">
    <cfRule type="notContainsBlanks" dxfId="3" priority="92">
      <formula>LEN(TRIM(V546))&gt;0</formula>
    </cfRule>
  </conditionalFormatting>
  <conditionalFormatting sqref="U545">
    <cfRule type="expression" dxfId="0" priority="93">
      <formula>AND(ISNUMBER(U545),TRUNC(U545)&lt;TODAY())</formula>
    </cfRule>
  </conditionalFormatting>
  <conditionalFormatting sqref="U545">
    <cfRule type="timePeriod" dxfId="2" priority="94" timePeriod="today"/>
  </conditionalFormatting>
  <conditionalFormatting sqref="AA545">
    <cfRule type="notContainsBlanks" dxfId="4" priority="95">
      <formula>LEN(TRIM(AA545))&gt;0</formula>
    </cfRule>
  </conditionalFormatting>
  <conditionalFormatting sqref="V545">
    <cfRule type="notContainsBlanks" dxfId="3" priority="96">
      <formula>LEN(TRIM(V545))&gt;0</formula>
    </cfRule>
  </conditionalFormatting>
  <conditionalFormatting sqref="U533:U544">
    <cfRule type="expression" dxfId="0" priority="97">
      <formula>AND(ISNUMBER(U533),TRUNC(U533)&lt;TODAY())</formula>
    </cfRule>
  </conditionalFormatting>
  <conditionalFormatting sqref="U533:U544">
    <cfRule type="timePeriod" dxfId="2" priority="98" timePeriod="today"/>
  </conditionalFormatting>
  <conditionalFormatting sqref="AA533:AA544">
    <cfRule type="notContainsBlanks" dxfId="4" priority="99">
      <formula>LEN(TRIM(AA533))&gt;0</formula>
    </cfRule>
  </conditionalFormatting>
  <conditionalFormatting sqref="V533:V544">
    <cfRule type="notContainsBlanks" dxfId="3" priority="100">
      <formula>LEN(TRIM(V533))&gt;0</formula>
    </cfRule>
  </conditionalFormatting>
  <conditionalFormatting sqref="U525:U532">
    <cfRule type="expression" dxfId="0" priority="101">
      <formula>AND(ISNUMBER(U525),TRUNC(U525)&lt;TODAY())</formula>
    </cfRule>
  </conditionalFormatting>
  <conditionalFormatting sqref="U525:U532">
    <cfRule type="timePeriod" dxfId="2" priority="102" timePeriod="today"/>
  </conditionalFormatting>
  <conditionalFormatting sqref="AA525:AA532">
    <cfRule type="notContainsBlanks" dxfId="4" priority="103">
      <formula>LEN(TRIM(AA525))&gt;0</formula>
    </cfRule>
  </conditionalFormatting>
  <conditionalFormatting sqref="V525:V532">
    <cfRule type="notContainsBlanks" dxfId="3" priority="104">
      <formula>LEN(TRIM(V525))&gt;0</formula>
    </cfRule>
  </conditionalFormatting>
  <conditionalFormatting sqref="U521:U524">
    <cfRule type="expression" dxfId="0" priority="105">
      <formula>AND(ISNUMBER(U521),TRUNC(U521)&lt;TODAY())</formula>
    </cfRule>
  </conditionalFormatting>
  <conditionalFormatting sqref="U521:U524">
    <cfRule type="timePeriod" dxfId="2" priority="106" timePeriod="today"/>
  </conditionalFormatting>
  <conditionalFormatting sqref="AA521:AA524">
    <cfRule type="notContainsBlanks" dxfId="4" priority="107">
      <formula>LEN(TRIM(AA521))&gt;0</formula>
    </cfRule>
  </conditionalFormatting>
  <conditionalFormatting sqref="V521:V524">
    <cfRule type="notContainsBlanks" dxfId="3" priority="108">
      <formula>LEN(TRIM(V521))&gt;0</formula>
    </cfRule>
  </conditionalFormatting>
  <conditionalFormatting sqref="U514:U520">
    <cfRule type="expression" dxfId="0" priority="109">
      <formula>AND(ISNUMBER(U514),TRUNC(U514)&lt;TODAY())</formula>
    </cfRule>
  </conditionalFormatting>
  <conditionalFormatting sqref="U514:U520">
    <cfRule type="timePeriod" dxfId="2" priority="110" timePeriod="today"/>
  </conditionalFormatting>
  <conditionalFormatting sqref="Z516 AA514:AA520">
    <cfRule type="notContainsBlanks" dxfId="4" priority="111">
      <formula>LEN(TRIM(Z516))&gt;0</formula>
    </cfRule>
  </conditionalFormatting>
  <conditionalFormatting sqref="V514:V520">
    <cfRule type="notContainsBlanks" dxfId="3" priority="112">
      <formula>LEN(TRIM(V514))&gt;0</formula>
    </cfRule>
  </conditionalFormatting>
  <conditionalFormatting sqref="U499:U513">
    <cfRule type="expression" dxfId="0" priority="113">
      <formula>AND(ISNUMBER(U499),TRUNC(U499)&lt;TODAY())</formula>
    </cfRule>
  </conditionalFormatting>
  <conditionalFormatting sqref="U499:U513">
    <cfRule type="timePeriod" dxfId="2" priority="114" timePeriod="today"/>
  </conditionalFormatting>
  <conditionalFormatting sqref="AA499:AA513">
    <cfRule type="notContainsBlanks" dxfId="4" priority="115">
      <formula>LEN(TRIM(AA499))&gt;0</formula>
    </cfRule>
  </conditionalFormatting>
  <conditionalFormatting sqref="V499:V513">
    <cfRule type="notContainsBlanks" dxfId="3" priority="116">
      <formula>LEN(TRIM(V499))&gt;0</formula>
    </cfRule>
  </conditionalFormatting>
  <conditionalFormatting sqref="U488:U498">
    <cfRule type="expression" dxfId="0" priority="117">
      <formula>AND(ISNUMBER(U488),TRUNC(U488)&lt;TODAY())</formula>
    </cfRule>
  </conditionalFormatting>
  <conditionalFormatting sqref="U488:U498">
    <cfRule type="timePeriod" dxfId="2" priority="118" timePeriod="today"/>
  </conditionalFormatting>
  <conditionalFormatting sqref="AA488:AA498">
    <cfRule type="notContainsBlanks" dxfId="4" priority="119">
      <formula>LEN(TRIM(AA488))&gt;0</formula>
    </cfRule>
  </conditionalFormatting>
  <conditionalFormatting sqref="V488:V498">
    <cfRule type="notContainsBlanks" dxfId="3" priority="120">
      <formula>LEN(TRIM(V488))&gt;0</formula>
    </cfRule>
  </conditionalFormatting>
  <conditionalFormatting sqref="U480:U487">
    <cfRule type="expression" dxfId="0" priority="121">
      <formula>AND(ISNUMBER(U480),TRUNC(U480)&lt;TODAY())</formula>
    </cfRule>
  </conditionalFormatting>
  <conditionalFormatting sqref="U480:U487">
    <cfRule type="timePeriod" dxfId="2" priority="122" timePeriod="today"/>
  </conditionalFormatting>
  <conditionalFormatting sqref="AA480:AA487">
    <cfRule type="notContainsBlanks" dxfId="4" priority="123">
      <formula>LEN(TRIM(AA480))&gt;0</formula>
    </cfRule>
  </conditionalFormatting>
  <conditionalFormatting sqref="V480:V487">
    <cfRule type="notContainsBlanks" dxfId="3" priority="124">
      <formula>LEN(TRIM(V480))&gt;0</formula>
    </cfRule>
  </conditionalFormatting>
  <conditionalFormatting sqref="U478:U479">
    <cfRule type="expression" dxfId="0" priority="125">
      <formula>AND(ISNUMBER(U478),TRUNC(U478)&lt;TODAY())</formula>
    </cfRule>
  </conditionalFormatting>
  <conditionalFormatting sqref="U478:U479">
    <cfRule type="timePeriod" dxfId="2" priority="126" timePeriod="today"/>
  </conditionalFormatting>
  <conditionalFormatting sqref="Z479 AA478:AA479">
    <cfRule type="notContainsBlanks" dxfId="4" priority="127">
      <formula>LEN(TRIM(Z479))&gt;0</formula>
    </cfRule>
  </conditionalFormatting>
  <conditionalFormatting sqref="V478:V479">
    <cfRule type="notContainsBlanks" dxfId="3" priority="128">
      <formula>LEN(TRIM(V478))&gt;0</formula>
    </cfRule>
  </conditionalFormatting>
  <conditionalFormatting sqref="U473:U477">
    <cfRule type="expression" dxfId="0" priority="129">
      <formula>AND(ISNUMBER(U473),TRUNC(U473)&lt;TODAY())</formula>
    </cfRule>
  </conditionalFormatting>
  <conditionalFormatting sqref="U473:U477">
    <cfRule type="timePeriod" dxfId="2" priority="130" timePeriod="today"/>
  </conditionalFormatting>
  <conditionalFormatting sqref="Z475 AA473:AA477">
    <cfRule type="notContainsBlanks" dxfId="4" priority="131">
      <formula>LEN(TRIM(Z475))&gt;0</formula>
    </cfRule>
  </conditionalFormatting>
  <conditionalFormatting sqref="V473:V477">
    <cfRule type="notContainsBlanks" dxfId="3" priority="132">
      <formula>LEN(TRIM(V473))&gt;0</formula>
    </cfRule>
  </conditionalFormatting>
  <conditionalFormatting sqref="U460:U472">
    <cfRule type="expression" dxfId="0" priority="133">
      <formula>AND(ISNUMBER(U460),TRUNC(U460)&lt;TODAY())</formula>
    </cfRule>
  </conditionalFormatting>
  <conditionalFormatting sqref="U460:U472">
    <cfRule type="timePeriod" dxfId="2" priority="134" timePeriod="today"/>
  </conditionalFormatting>
  <conditionalFormatting sqref="AA460:AA472">
    <cfRule type="notContainsBlanks" dxfId="4" priority="135">
      <formula>LEN(TRIM(AA460))&gt;0</formula>
    </cfRule>
  </conditionalFormatting>
  <conditionalFormatting sqref="V460:V472">
    <cfRule type="notContainsBlanks" dxfId="3" priority="136">
      <formula>LEN(TRIM(V460))&gt;0</formula>
    </cfRule>
  </conditionalFormatting>
  <conditionalFormatting sqref="U456:U459">
    <cfRule type="expression" dxfId="0" priority="137">
      <formula>AND(ISNUMBER(U456),TRUNC(U456)&lt;TODAY())</formula>
    </cfRule>
  </conditionalFormatting>
  <conditionalFormatting sqref="U456:U459">
    <cfRule type="timePeriod" dxfId="2" priority="138" timePeriod="today"/>
  </conditionalFormatting>
  <conditionalFormatting sqref="Z456:Z458 AA456:AA459">
    <cfRule type="notContainsBlanks" dxfId="4" priority="139">
      <formula>LEN(TRIM(Z456))&gt;0</formula>
    </cfRule>
  </conditionalFormatting>
  <conditionalFormatting sqref="V456:V459">
    <cfRule type="notContainsBlanks" dxfId="3" priority="140">
      <formula>LEN(TRIM(V456))&gt;0</formula>
    </cfRule>
  </conditionalFormatting>
  <conditionalFormatting sqref="U454:U455">
    <cfRule type="expression" dxfId="0" priority="141">
      <formula>AND(ISNUMBER(U454),TRUNC(U454)&lt;TODAY())</formula>
    </cfRule>
  </conditionalFormatting>
  <conditionalFormatting sqref="U454:U455">
    <cfRule type="timePeriod" dxfId="2" priority="142" timePeriod="today"/>
  </conditionalFormatting>
  <conditionalFormatting sqref="AA454:AA455">
    <cfRule type="notContainsBlanks" dxfId="4" priority="143">
      <formula>LEN(TRIM(AA454))&gt;0</formula>
    </cfRule>
  </conditionalFormatting>
  <conditionalFormatting sqref="V454:V455">
    <cfRule type="notContainsBlanks" dxfId="3" priority="144">
      <formula>LEN(TRIM(V454))&gt;0</formula>
    </cfRule>
  </conditionalFormatting>
  <conditionalFormatting sqref="U448:U453">
    <cfRule type="expression" dxfId="0" priority="145">
      <formula>AND(ISNUMBER(U448),TRUNC(U448)&lt;TODAY())</formula>
    </cfRule>
  </conditionalFormatting>
  <conditionalFormatting sqref="U448:U453">
    <cfRule type="timePeriod" dxfId="2" priority="146" timePeriod="today"/>
  </conditionalFormatting>
  <conditionalFormatting sqref="AA448:AA453">
    <cfRule type="notContainsBlanks" dxfId="4" priority="147">
      <formula>LEN(TRIM(AA448))&gt;0</formula>
    </cfRule>
  </conditionalFormatting>
  <conditionalFormatting sqref="V448:V453">
    <cfRule type="notContainsBlanks" dxfId="3" priority="148">
      <formula>LEN(TRIM(V448))&gt;0</formula>
    </cfRule>
  </conditionalFormatting>
  <conditionalFormatting sqref="U443:U447">
    <cfRule type="expression" dxfId="0" priority="149">
      <formula>AND(ISNUMBER(U443),TRUNC(U443)&lt;TODAY())</formula>
    </cfRule>
  </conditionalFormatting>
  <conditionalFormatting sqref="U443:U447">
    <cfRule type="timePeriod" dxfId="2" priority="150" timePeriod="today"/>
  </conditionalFormatting>
  <conditionalFormatting sqref="AA443:AA447">
    <cfRule type="notContainsBlanks" dxfId="4" priority="151">
      <formula>LEN(TRIM(AA443))&gt;0</formula>
    </cfRule>
  </conditionalFormatting>
  <conditionalFormatting sqref="V443:V447">
    <cfRule type="notContainsBlanks" dxfId="3" priority="152">
      <formula>LEN(TRIM(V443))&gt;0</formula>
    </cfRule>
  </conditionalFormatting>
  <conditionalFormatting sqref="U442">
    <cfRule type="expression" dxfId="0" priority="153">
      <formula>AND(ISNUMBER(U442),TRUNC(U442)&lt;TODAY())</formula>
    </cfRule>
  </conditionalFormatting>
  <conditionalFormatting sqref="U442">
    <cfRule type="timePeriod" dxfId="2" priority="154" timePeriod="today"/>
  </conditionalFormatting>
  <conditionalFormatting sqref="AA442">
    <cfRule type="notContainsBlanks" dxfId="4" priority="155">
      <formula>LEN(TRIM(AA442))&gt;0</formula>
    </cfRule>
  </conditionalFormatting>
  <conditionalFormatting sqref="V442">
    <cfRule type="notContainsBlanks" dxfId="3" priority="156">
      <formula>LEN(TRIM(V442))&gt;0</formula>
    </cfRule>
  </conditionalFormatting>
  <conditionalFormatting sqref="U432:U441">
    <cfRule type="expression" dxfId="0" priority="157">
      <formula>AND(ISNUMBER(U432),TRUNC(U432)&lt;TODAY())</formula>
    </cfRule>
  </conditionalFormatting>
  <conditionalFormatting sqref="U432:U441">
    <cfRule type="timePeriod" dxfId="2" priority="158" timePeriod="today"/>
  </conditionalFormatting>
  <conditionalFormatting sqref="AA432:AA441">
    <cfRule type="notContainsBlanks" dxfId="4" priority="159">
      <formula>LEN(TRIM(AA432))&gt;0</formula>
    </cfRule>
  </conditionalFormatting>
  <conditionalFormatting sqref="V432:V441">
    <cfRule type="notContainsBlanks" dxfId="3" priority="160">
      <formula>LEN(TRIM(V432))&gt;0</formula>
    </cfRule>
  </conditionalFormatting>
  <conditionalFormatting sqref="U424:U431">
    <cfRule type="expression" dxfId="0" priority="161">
      <formula>AND(ISNUMBER(U424),TRUNC(U424)&lt;TODAY())</formula>
    </cfRule>
  </conditionalFormatting>
  <conditionalFormatting sqref="U424:U431">
    <cfRule type="timePeriod" dxfId="2" priority="162" timePeriod="today"/>
  </conditionalFormatting>
  <conditionalFormatting sqref="Z424 AA424:AA431">
    <cfRule type="notContainsBlanks" dxfId="4" priority="163">
      <formula>LEN(TRIM(Z424))&gt;0</formula>
    </cfRule>
  </conditionalFormatting>
  <conditionalFormatting sqref="V424:V431">
    <cfRule type="notContainsBlanks" dxfId="3" priority="164">
      <formula>LEN(TRIM(V424))&gt;0</formula>
    </cfRule>
  </conditionalFormatting>
  <conditionalFormatting sqref="U420:U423">
    <cfRule type="expression" dxfId="0" priority="165">
      <formula>AND(ISNUMBER(U420),TRUNC(U420)&lt;TODAY())</formula>
    </cfRule>
  </conditionalFormatting>
  <conditionalFormatting sqref="U420:U423">
    <cfRule type="timePeriod" dxfId="2" priority="166" timePeriod="today"/>
  </conditionalFormatting>
  <conditionalFormatting sqref="AA420:AA423">
    <cfRule type="notContainsBlanks" dxfId="4" priority="167">
      <formula>LEN(TRIM(AA420))&gt;0</formula>
    </cfRule>
  </conditionalFormatting>
  <conditionalFormatting sqref="V420:V423">
    <cfRule type="notContainsBlanks" dxfId="3" priority="168">
      <formula>LEN(TRIM(V420))&gt;0</formula>
    </cfRule>
  </conditionalFormatting>
  <conditionalFormatting sqref="U416:U419">
    <cfRule type="expression" dxfId="0" priority="169">
      <formula>AND(ISNUMBER(U416),TRUNC(U416)&lt;TODAY())</formula>
    </cfRule>
  </conditionalFormatting>
  <conditionalFormatting sqref="U416:U419">
    <cfRule type="timePeriod" dxfId="2" priority="170" timePeriod="today"/>
  </conditionalFormatting>
  <conditionalFormatting sqref="AA416:AA419">
    <cfRule type="notContainsBlanks" dxfId="4" priority="171">
      <formula>LEN(TRIM(AA416))&gt;0</formula>
    </cfRule>
  </conditionalFormatting>
  <conditionalFormatting sqref="V416:V419">
    <cfRule type="notContainsBlanks" dxfId="3" priority="172">
      <formula>LEN(TRIM(V416))&gt;0</formula>
    </cfRule>
  </conditionalFormatting>
  <conditionalFormatting sqref="U413:U415">
    <cfRule type="expression" dxfId="0" priority="173">
      <formula>AND(ISNUMBER(U413),TRUNC(U413)&lt;TODAY())</formula>
    </cfRule>
  </conditionalFormatting>
  <conditionalFormatting sqref="U413:U415">
    <cfRule type="timePeriod" dxfId="2" priority="174" timePeriod="today"/>
  </conditionalFormatting>
  <conditionalFormatting sqref="AA413:AA415">
    <cfRule type="notContainsBlanks" dxfId="4" priority="175">
      <formula>LEN(TRIM(AA413))&gt;0</formula>
    </cfRule>
  </conditionalFormatting>
  <conditionalFormatting sqref="V413:V415">
    <cfRule type="notContainsBlanks" dxfId="3" priority="176">
      <formula>LEN(TRIM(V413))&gt;0</formula>
    </cfRule>
  </conditionalFormatting>
  <conditionalFormatting sqref="U381:U412">
    <cfRule type="expression" dxfId="0" priority="177">
      <formula>AND(ISNUMBER(U381),TRUNC(U381)&lt;TODAY())</formula>
    </cfRule>
  </conditionalFormatting>
  <conditionalFormatting sqref="U381:U412">
    <cfRule type="timePeriod" dxfId="2" priority="178" timePeriod="today"/>
  </conditionalFormatting>
  <conditionalFormatting sqref="AA381:AA412">
    <cfRule type="notContainsBlanks" dxfId="4" priority="179">
      <formula>LEN(TRIM(AA381))&gt;0</formula>
    </cfRule>
  </conditionalFormatting>
  <conditionalFormatting sqref="V381:V412">
    <cfRule type="notContainsBlanks" dxfId="3" priority="180">
      <formula>LEN(TRIM(V381))&gt;0</formula>
    </cfRule>
  </conditionalFormatting>
  <conditionalFormatting sqref="U370:U380">
    <cfRule type="expression" dxfId="0" priority="181">
      <formula>AND(ISNUMBER(U370),TRUNC(U370)&lt;TODAY())</formula>
    </cfRule>
  </conditionalFormatting>
  <conditionalFormatting sqref="S374">
    <cfRule type="expression" dxfId="1" priority="182">
      <formula>"countif(I:I, I4)&gt;1"</formula>
    </cfRule>
  </conditionalFormatting>
  <conditionalFormatting sqref="U370:U380">
    <cfRule type="timePeriod" dxfId="2" priority="183" timePeriod="today"/>
  </conditionalFormatting>
  <conditionalFormatting sqref="AA370:AA380">
    <cfRule type="notContainsBlanks" dxfId="4" priority="184">
      <formula>LEN(TRIM(AA370))&gt;0</formula>
    </cfRule>
  </conditionalFormatting>
  <conditionalFormatting sqref="V370:V380">
    <cfRule type="notContainsBlanks" dxfId="3" priority="185">
      <formula>LEN(TRIM(V370))&gt;0</formula>
    </cfRule>
  </conditionalFormatting>
  <conditionalFormatting sqref="U368:U369">
    <cfRule type="expression" dxfId="0" priority="186">
      <formula>AND(ISNUMBER(U368),TRUNC(U368)&lt;TODAY())</formula>
    </cfRule>
  </conditionalFormatting>
  <conditionalFormatting sqref="U368:U369">
    <cfRule type="timePeriod" dxfId="2" priority="187" timePeriod="today"/>
  </conditionalFormatting>
  <conditionalFormatting sqref="AA368:AA369">
    <cfRule type="notContainsBlanks" dxfId="4" priority="188">
      <formula>LEN(TRIM(AA368))&gt;0</formula>
    </cfRule>
  </conditionalFormatting>
  <conditionalFormatting sqref="V368:V369">
    <cfRule type="notContainsBlanks" dxfId="3" priority="189">
      <formula>LEN(TRIM(V368))&gt;0</formula>
    </cfRule>
  </conditionalFormatting>
  <conditionalFormatting sqref="U367">
    <cfRule type="expression" dxfId="0" priority="190">
      <formula>AND(ISNUMBER(U367),TRUNC(U367)&lt;TODAY())</formula>
    </cfRule>
  </conditionalFormatting>
  <conditionalFormatting sqref="U367">
    <cfRule type="timePeriod" dxfId="2" priority="191" timePeriod="today"/>
  </conditionalFormatting>
  <conditionalFormatting sqref="Z367:AA367">
    <cfRule type="notContainsBlanks" dxfId="4" priority="192">
      <formula>LEN(TRIM(Z367))&gt;0</formula>
    </cfRule>
  </conditionalFormatting>
  <conditionalFormatting sqref="V367">
    <cfRule type="notContainsBlanks" dxfId="3" priority="193">
      <formula>LEN(TRIM(V367))&gt;0</formula>
    </cfRule>
  </conditionalFormatting>
  <conditionalFormatting sqref="U318:U366">
    <cfRule type="expression" dxfId="0" priority="194">
      <formula>AND(ISNUMBER(U318),TRUNC(U318)&lt;TODAY())</formula>
    </cfRule>
  </conditionalFormatting>
  <conditionalFormatting sqref="U318:U366">
    <cfRule type="timePeriod" dxfId="2" priority="195" timePeriod="today"/>
  </conditionalFormatting>
  <conditionalFormatting sqref="Z346 Z361:Z363 AA318:AA366">
    <cfRule type="notContainsBlanks" dxfId="4" priority="196">
      <formula>LEN(TRIM(Z346))&gt;0</formula>
    </cfRule>
  </conditionalFormatting>
  <conditionalFormatting sqref="V318:V366">
    <cfRule type="notContainsBlanks" dxfId="3" priority="197">
      <formula>LEN(TRIM(V318))&gt;0</formula>
    </cfRule>
  </conditionalFormatting>
  <conditionalFormatting sqref="U310:U317">
    <cfRule type="expression" dxfId="0" priority="198">
      <formula>AND(ISNUMBER(U310),TRUNC(U310)&lt;TODAY())</formula>
    </cfRule>
  </conditionalFormatting>
  <conditionalFormatting sqref="U310:U317">
    <cfRule type="timePeriod" dxfId="2" priority="199" timePeriod="today"/>
  </conditionalFormatting>
  <conditionalFormatting sqref="Z310:Z316 AA310:AA317">
    <cfRule type="notContainsBlanks" dxfId="4" priority="200">
      <formula>LEN(TRIM(Z310))&gt;0</formula>
    </cfRule>
  </conditionalFormatting>
  <conditionalFormatting sqref="V310:V317">
    <cfRule type="notContainsBlanks" dxfId="3" priority="201">
      <formula>LEN(TRIM(V310))&gt;0</formula>
    </cfRule>
  </conditionalFormatting>
  <conditionalFormatting sqref="U307:U309">
    <cfRule type="expression" dxfId="0" priority="202">
      <formula>AND(ISNUMBER(U307),TRUNC(U307)&lt;TODAY())</formula>
    </cfRule>
  </conditionalFormatting>
  <conditionalFormatting sqref="U307:U309">
    <cfRule type="timePeriod" dxfId="2" priority="203" timePeriod="today"/>
  </conditionalFormatting>
  <conditionalFormatting sqref="Z307:AA309">
    <cfRule type="notContainsBlanks" dxfId="4" priority="204">
      <formula>LEN(TRIM(Z307))&gt;0</formula>
    </cfRule>
  </conditionalFormatting>
  <conditionalFormatting sqref="V307:V309">
    <cfRule type="notContainsBlanks" dxfId="3" priority="205">
      <formula>LEN(TRIM(V307))&gt;0</formula>
    </cfRule>
  </conditionalFormatting>
  <conditionalFormatting sqref="U289:U306">
    <cfRule type="expression" dxfId="0" priority="206">
      <formula>AND(ISNUMBER(U289),TRUNC(U289)&lt;TODAY())</formula>
    </cfRule>
  </conditionalFormatting>
  <conditionalFormatting sqref="U289:U306">
    <cfRule type="timePeriod" dxfId="2" priority="207" timePeriod="today"/>
  </conditionalFormatting>
  <conditionalFormatting sqref="Z289:AA306">
    <cfRule type="notContainsBlanks" dxfId="4" priority="208">
      <formula>LEN(TRIM(Z289))&gt;0</formula>
    </cfRule>
  </conditionalFormatting>
  <conditionalFormatting sqref="V289:V306">
    <cfRule type="notContainsBlanks" dxfId="3" priority="209">
      <formula>LEN(TRIM(V289))&gt;0</formula>
    </cfRule>
  </conditionalFormatting>
  <conditionalFormatting sqref="U288">
    <cfRule type="expression" dxfId="0" priority="210">
      <formula>AND(ISNUMBER(U288),TRUNC(U288)&lt;TODAY())</formula>
    </cfRule>
  </conditionalFormatting>
  <conditionalFormatting sqref="U288">
    <cfRule type="timePeriod" dxfId="2" priority="211" timePeriod="today"/>
  </conditionalFormatting>
  <conditionalFormatting sqref="Z288:AA288">
    <cfRule type="notContainsBlanks" dxfId="4" priority="212">
      <formula>LEN(TRIM(Z288))&gt;0</formula>
    </cfRule>
  </conditionalFormatting>
  <conditionalFormatting sqref="V288">
    <cfRule type="notContainsBlanks" dxfId="3" priority="213">
      <formula>LEN(TRIM(V288))&gt;0</formula>
    </cfRule>
  </conditionalFormatting>
  <conditionalFormatting sqref="U274:U287">
    <cfRule type="expression" dxfId="0" priority="214">
      <formula>AND(ISNUMBER(U274),TRUNC(U274)&lt;TODAY())</formula>
    </cfRule>
  </conditionalFormatting>
  <conditionalFormatting sqref="U274:U287">
    <cfRule type="timePeriod" dxfId="2" priority="215" timePeriod="today"/>
  </conditionalFormatting>
  <conditionalFormatting sqref="Z274:AA287">
    <cfRule type="notContainsBlanks" dxfId="4" priority="216">
      <formula>LEN(TRIM(Z274))&gt;0</formula>
    </cfRule>
  </conditionalFormatting>
  <conditionalFormatting sqref="V274:V287">
    <cfRule type="notContainsBlanks" dxfId="3" priority="217">
      <formula>LEN(TRIM(V274))&gt;0</formula>
    </cfRule>
  </conditionalFormatting>
  <conditionalFormatting sqref="U265:U273">
    <cfRule type="expression" dxfId="0" priority="218">
      <formula>AND(ISNUMBER(U265),TRUNC(U265)&lt;TODAY())</formula>
    </cfRule>
  </conditionalFormatting>
  <conditionalFormatting sqref="U265:U273">
    <cfRule type="timePeriod" dxfId="2" priority="219" timePeriod="today"/>
  </conditionalFormatting>
  <conditionalFormatting sqref="Z265:AA273">
    <cfRule type="notContainsBlanks" dxfId="4" priority="220">
      <formula>LEN(TRIM(Z265))&gt;0</formula>
    </cfRule>
  </conditionalFormatting>
  <conditionalFormatting sqref="V265:V273">
    <cfRule type="notContainsBlanks" dxfId="3" priority="221">
      <formula>LEN(TRIM(V265))&gt;0</formula>
    </cfRule>
  </conditionalFormatting>
  <conditionalFormatting sqref="U255:U264">
    <cfRule type="expression" dxfId="0" priority="222">
      <formula>AND(ISNUMBER(U255),TRUNC(U255)&lt;TODAY())</formula>
    </cfRule>
  </conditionalFormatting>
  <conditionalFormatting sqref="U255:U264">
    <cfRule type="timePeriod" dxfId="2" priority="223" timePeriod="today"/>
  </conditionalFormatting>
  <conditionalFormatting sqref="Z255:AA264">
    <cfRule type="notContainsBlanks" dxfId="4" priority="224">
      <formula>LEN(TRIM(Z255))&gt;0</formula>
    </cfRule>
  </conditionalFormatting>
  <conditionalFormatting sqref="V255:V264">
    <cfRule type="notContainsBlanks" dxfId="3" priority="225">
      <formula>LEN(TRIM(V255))&gt;0</formula>
    </cfRule>
  </conditionalFormatting>
  <conditionalFormatting sqref="U245:U254">
    <cfRule type="expression" dxfId="0" priority="226">
      <formula>AND(ISNUMBER(U245),TRUNC(U245)&lt;TODAY())</formula>
    </cfRule>
  </conditionalFormatting>
  <conditionalFormatting sqref="U245:U254">
    <cfRule type="timePeriod" dxfId="2" priority="227" timePeriod="today"/>
  </conditionalFormatting>
  <conditionalFormatting sqref="Z245:AA254">
    <cfRule type="notContainsBlanks" dxfId="4" priority="228">
      <formula>LEN(TRIM(Z245))&gt;0</formula>
    </cfRule>
  </conditionalFormatting>
  <conditionalFormatting sqref="V245:V254">
    <cfRule type="notContainsBlanks" dxfId="3" priority="229">
      <formula>LEN(TRIM(V245))&gt;0</formula>
    </cfRule>
  </conditionalFormatting>
  <conditionalFormatting sqref="U243:U244">
    <cfRule type="expression" dxfId="0" priority="230">
      <formula>AND(ISNUMBER(U243),TRUNC(U243)&lt;TODAY())</formula>
    </cfRule>
  </conditionalFormatting>
  <conditionalFormatting sqref="U243:U244">
    <cfRule type="timePeriod" dxfId="2" priority="231" timePeriod="today"/>
  </conditionalFormatting>
  <conditionalFormatting sqref="Z243:AA244">
    <cfRule type="notContainsBlanks" dxfId="4" priority="232">
      <formula>LEN(TRIM(Z243))&gt;0</formula>
    </cfRule>
  </conditionalFormatting>
  <conditionalFormatting sqref="V243:V244">
    <cfRule type="notContainsBlanks" dxfId="3" priority="233">
      <formula>LEN(TRIM(V243))&gt;0</formula>
    </cfRule>
  </conditionalFormatting>
  <conditionalFormatting sqref="U242">
    <cfRule type="expression" dxfId="0" priority="234">
      <formula>AND(ISNUMBER(U242),TRUNC(U242)&lt;TODAY())</formula>
    </cfRule>
  </conditionalFormatting>
  <conditionalFormatting sqref="U242">
    <cfRule type="timePeriod" dxfId="2" priority="235" timePeriod="today"/>
  </conditionalFormatting>
  <conditionalFormatting sqref="Z242:AA242">
    <cfRule type="notContainsBlanks" dxfId="4" priority="236">
      <formula>LEN(TRIM(Z242))&gt;0</formula>
    </cfRule>
  </conditionalFormatting>
  <conditionalFormatting sqref="V242">
    <cfRule type="notContainsBlanks" dxfId="3" priority="237">
      <formula>LEN(TRIM(V242))&gt;0</formula>
    </cfRule>
  </conditionalFormatting>
  <conditionalFormatting sqref="U237:U241">
    <cfRule type="expression" dxfId="0" priority="238">
      <formula>AND(ISNUMBER(U237),TRUNC(U237)&lt;TODAY())</formula>
    </cfRule>
  </conditionalFormatting>
  <conditionalFormatting sqref="U237:U241">
    <cfRule type="timePeriod" dxfId="2" priority="239" timePeriod="today"/>
  </conditionalFormatting>
  <conditionalFormatting sqref="Z237:AA241">
    <cfRule type="notContainsBlanks" dxfId="4" priority="240">
      <formula>LEN(TRIM(Z237))&gt;0</formula>
    </cfRule>
  </conditionalFormatting>
  <conditionalFormatting sqref="V237:V241">
    <cfRule type="notContainsBlanks" dxfId="3" priority="241">
      <formula>LEN(TRIM(V237))&gt;0</formula>
    </cfRule>
  </conditionalFormatting>
  <conditionalFormatting sqref="U227:U236">
    <cfRule type="expression" dxfId="0" priority="242">
      <formula>AND(ISNUMBER(U227),TRUNC(U227)&lt;TODAY())</formula>
    </cfRule>
  </conditionalFormatting>
  <conditionalFormatting sqref="U227:U236">
    <cfRule type="timePeriod" dxfId="2" priority="243" timePeriod="today"/>
  </conditionalFormatting>
  <conditionalFormatting sqref="Z227:AA236">
    <cfRule type="notContainsBlanks" dxfId="4" priority="244">
      <formula>LEN(TRIM(Z227))&gt;0</formula>
    </cfRule>
  </conditionalFormatting>
  <conditionalFormatting sqref="V227:V236">
    <cfRule type="notContainsBlanks" dxfId="3" priority="245">
      <formula>LEN(TRIM(V227))&gt;0</formula>
    </cfRule>
  </conditionalFormatting>
  <conditionalFormatting sqref="U225:U226">
    <cfRule type="expression" dxfId="0" priority="246">
      <formula>AND(ISNUMBER(U225),TRUNC(U225)&lt;TODAY())</formula>
    </cfRule>
  </conditionalFormatting>
  <conditionalFormatting sqref="U225:U226">
    <cfRule type="timePeriod" dxfId="2" priority="247" timePeriod="today"/>
  </conditionalFormatting>
  <conditionalFormatting sqref="Z225:AA226">
    <cfRule type="notContainsBlanks" dxfId="4" priority="248">
      <formula>LEN(TRIM(Z225))&gt;0</formula>
    </cfRule>
  </conditionalFormatting>
  <conditionalFormatting sqref="V225:V226">
    <cfRule type="notContainsBlanks" dxfId="3" priority="249">
      <formula>LEN(TRIM(V225))&gt;0</formula>
    </cfRule>
  </conditionalFormatting>
  <conditionalFormatting sqref="U222:U224">
    <cfRule type="expression" dxfId="0" priority="250">
      <formula>AND(ISNUMBER(U222),TRUNC(U222)&lt;TODAY())</formula>
    </cfRule>
  </conditionalFormatting>
  <conditionalFormatting sqref="U222:U224">
    <cfRule type="timePeriod" dxfId="2" priority="251" timePeriod="today"/>
  </conditionalFormatting>
  <conditionalFormatting sqref="Z222:AA224">
    <cfRule type="notContainsBlanks" dxfId="4" priority="252">
      <formula>LEN(TRIM(Z222))&gt;0</formula>
    </cfRule>
  </conditionalFormatting>
  <conditionalFormatting sqref="V222:V224">
    <cfRule type="notContainsBlanks" dxfId="3" priority="253">
      <formula>LEN(TRIM(V222))&gt;0</formula>
    </cfRule>
  </conditionalFormatting>
  <conditionalFormatting sqref="U221">
    <cfRule type="expression" dxfId="0" priority="254">
      <formula>AND(ISNUMBER(U221),TRUNC(U221)&lt;TODAY())</formula>
    </cfRule>
  </conditionalFormatting>
  <conditionalFormatting sqref="U221">
    <cfRule type="timePeriod" dxfId="2" priority="255" timePeriod="today"/>
  </conditionalFormatting>
  <conditionalFormatting sqref="Z221:AA221">
    <cfRule type="notContainsBlanks" dxfId="4" priority="256">
      <formula>LEN(TRIM(Z221))&gt;0</formula>
    </cfRule>
  </conditionalFormatting>
  <conditionalFormatting sqref="V221">
    <cfRule type="notContainsBlanks" dxfId="3" priority="257">
      <formula>LEN(TRIM(V221))&gt;0</formula>
    </cfRule>
  </conditionalFormatting>
  <conditionalFormatting sqref="U215:U220">
    <cfRule type="expression" dxfId="0" priority="258">
      <formula>AND(ISNUMBER(U215),TRUNC(U215)&lt;TODAY())</formula>
    </cfRule>
  </conditionalFormatting>
  <conditionalFormatting sqref="U215:U220">
    <cfRule type="timePeriod" dxfId="2" priority="259" timePeriod="today"/>
  </conditionalFormatting>
  <conditionalFormatting sqref="Z215:AA220">
    <cfRule type="notContainsBlanks" dxfId="4" priority="260">
      <formula>LEN(TRIM(Z215))&gt;0</formula>
    </cfRule>
  </conditionalFormatting>
  <conditionalFormatting sqref="V215:V220">
    <cfRule type="notContainsBlanks" dxfId="3" priority="261">
      <formula>LEN(TRIM(V215))&gt;0</formula>
    </cfRule>
  </conditionalFormatting>
  <conditionalFormatting sqref="U214">
    <cfRule type="expression" dxfId="0" priority="262">
      <formula>AND(ISNUMBER(U214),TRUNC(U214)&lt;TODAY())</formula>
    </cfRule>
  </conditionalFormatting>
  <conditionalFormatting sqref="U214">
    <cfRule type="timePeriod" dxfId="2" priority="263" timePeriod="today"/>
  </conditionalFormatting>
  <conditionalFormatting sqref="Z214:AA214">
    <cfRule type="notContainsBlanks" dxfId="4" priority="264">
      <formula>LEN(TRIM(Z214))&gt;0</formula>
    </cfRule>
  </conditionalFormatting>
  <conditionalFormatting sqref="V214">
    <cfRule type="notContainsBlanks" dxfId="3" priority="265">
      <formula>LEN(TRIM(V214))&gt;0</formula>
    </cfRule>
  </conditionalFormatting>
  <conditionalFormatting sqref="U208:U213">
    <cfRule type="expression" dxfId="0" priority="266">
      <formula>AND(ISNUMBER(U208),TRUNC(U208)&lt;TODAY())</formula>
    </cfRule>
  </conditionalFormatting>
  <conditionalFormatting sqref="U208:U213">
    <cfRule type="timePeriod" dxfId="2" priority="267" timePeriod="today"/>
  </conditionalFormatting>
  <conditionalFormatting sqref="Z208:AA213">
    <cfRule type="notContainsBlanks" dxfId="4" priority="268">
      <formula>LEN(TRIM(Z208))&gt;0</formula>
    </cfRule>
  </conditionalFormatting>
  <conditionalFormatting sqref="V208:V213">
    <cfRule type="notContainsBlanks" dxfId="3" priority="269">
      <formula>LEN(TRIM(V208))&gt;0</formula>
    </cfRule>
  </conditionalFormatting>
  <conditionalFormatting sqref="U197:U207">
    <cfRule type="expression" dxfId="0" priority="270">
      <formula>AND(ISNUMBER(U197),TRUNC(U197)&lt;TODAY())</formula>
    </cfRule>
  </conditionalFormatting>
  <conditionalFormatting sqref="U197:U207">
    <cfRule type="timePeriod" dxfId="2" priority="271" timePeriod="today"/>
  </conditionalFormatting>
  <conditionalFormatting sqref="Z197:AA207">
    <cfRule type="notContainsBlanks" dxfId="4" priority="272">
      <formula>LEN(TRIM(Z197))&gt;0</formula>
    </cfRule>
  </conditionalFormatting>
  <conditionalFormatting sqref="V197:V207">
    <cfRule type="notContainsBlanks" dxfId="3" priority="273">
      <formula>LEN(TRIM(V197))&gt;0</formula>
    </cfRule>
  </conditionalFormatting>
  <conditionalFormatting sqref="U190:U196">
    <cfRule type="expression" dxfId="0" priority="274">
      <formula>AND(ISNUMBER(U190),TRUNC(U190)&lt;TODAY())</formula>
    </cfRule>
  </conditionalFormatting>
  <conditionalFormatting sqref="U190:U196">
    <cfRule type="timePeriod" dxfId="2" priority="275" timePeriod="today"/>
  </conditionalFormatting>
  <conditionalFormatting sqref="Z190:AA196">
    <cfRule type="notContainsBlanks" dxfId="4" priority="276">
      <formula>LEN(TRIM(Z190))&gt;0</formula>
    </cfRule>
  </conditionalFormatting>
  <conditionalFormatting sqref="V190:V196">
    <cfRule type="notContainsBlanks" dxfId="3" priority="277">
      <formula>LEN(TRIM(V190))&gt;0</formula>
    </cfRule>
  </conditionalFormatting>
  <conditionalFormatting sqref="U183:U189">
    <cfRule type="expression" dxfId="0" priority="278">
      <formula>AND(ISNUMBER(U183),TRUNC(U183)&lt;TODAY())</formula>
    </cfRule>
  </conditionalFormatting>
  <conditionalFormatting sqref="U183:U189">
    <cfRule type="timePeriod" dxfId="2" priority="279" timePeriod="today"/>
  </conditionalFormatting>
  <conditionalFormatting sqref="Z183:AA189">
    <cfRule type="notContainsBlanks" dxfId="4" priority="280">
      <formula>LEN(TRIM(Z183))&gt;0</formula>
    </cfRule>
  </conditionalFormatting>
  <conditionalFormatting sqref="V183:V189">
    <cfRule type="notContainsBlanks" dxfId="3" priority="281">
      <formula>LEN(TRIM(V183))&gt;0</formula>
    </cfRule>
  </conditionalFormatting>
  <conditionalFormatting sqref="U177:U182">
    <cfRule type="expression" dxfId="0" priority="282">
      <formula>AND(ISNUMBER(U177),TRUNC(U177)&lt;TODAY())</formula>
    </cfRule>
  </conditionalFormatting>
  <conditionalFormatting sqref="U177:U182">
    <cfRule type="timePeriod" dxfId="2" priority="283" timePeriod="today"/>
  </conditionalFormatting>
  <conditionalFormatting sqref="Z177:AA182">
    <cfRule type="notContainsBlanks" dxfId="4" priority="284">
      <formula>LEN(TRIM(Z177))&gt;0</formula>
    </cfRule>
  </conditionalFormatting>
  <conditionalFormatting sqref="V177:V182">
    <cfRule type="notContainsBlanks" dxfId="3" priority="285">
      <formula>LEN(TRIM(V177))&gt;0</formula>
    </cfRule>
  </conditionalFormatting>
  <conditionalFormatting sqref="U176">
    <cfRule type="expression" dxfId="0" priority="286">
      <formula>AND(ISNUMBER(U176),TRUNC(U176)&lt;TODAY())</formula>
    </cfRule>
  </conditionalFormatting>
  <conditionalFormatting sqref="U176">
    <cfRule type="timePeriod" dxfId="2" priority="287" timePeriod="today"/>
  </conditionalFormatting>
  <conditionalFormatting sqref="Z176:AA176">
    <cfRule type="notContainsBlanks" dxfId="4" priority="288">
      <formula>LEN(TRIM(Z176))&gt;0</formula>
    </cfRule>
  </conditionalFormatting>
  <conditionalFormatting sqref="V176">
    <cfRule type="notContainsBlanks" dxfId="3" priority="289">
      <formula>LEN(TRIM(V176))&gt;0</formula>
    </cfRule>
  </conditionalFormatting>
  <conditionalFormatting sqref="U170:U175">
    <cfRule type="expression" dxfId="0" priority="290">
      <formula>AND(ISNUMBER(U170),TRUNC(U170)&lt;TODAY())</formula>
    </cfRule>
  </conditionalFormatting>
  <conditionalFormatting sqref="U170:U175">
    <cfRule type="timePeriod" dxfId="2" priority="291" timePeriod="today"/>
  </conditionalFormatting>
  <conditionalFormatting sqref="Z170:AA175">
    <cfRule type="notContainsBlanks" dxfId="4" priority="292">
      <formula>LEN(TRIM(Z170))&gt;0</formula>
    </cfRule>
  </conditionalFormatting>
  <conditionalFormatting sqref="V170:V175">
    <cfRule type="notContainsBlanks" dxfId="3" priority="293">
      <formula>LEN(TRIM(V170))&gt;0</formula>
    </cfRule>
  </conditionalFormatting>
  <conditionalFormatting sqref="U167:U169">
    <cfRule type="expression" dxfId="0" priority="294">
      <formula>AND(ISNUMBER(U167),TRUNC(U167)&lt;TODAY())</formula>
    </cfRule>
  </conditionalFormatting>
  <conditionalFormatting sqref="U167:U169">
    <cfRule type="timePeriod" dxfId="2" priority="295" timePeriod="today"/>
  </conditionalFormatting>
  <conditionalFormatting sqref="Z167:AA169">
    <cfRule type="notContainsBlanks" dxfId="4" priority="296">
      <formula>LEN(TRIM(Z167))&gt;0</formula>
    </cfRule>
  </conditionalFormatting>
  <conditionalFormatting sqref="V167:V169">
    <cfRule type="notContainsBlanks" dxfId="3" priority="297">
      <formula>LEN(TRIM(V167))&gt;0</formula>
    </cfRule>
  </conditionalFormatting>
  <conditionalFormatting sqref="U165:U166">
    <cfRule type="expression" dxfId="0" priority="298">
      <formula>AND(ISNUMBER(U165),TRUNC(U165)&lt;TODAY())</formula>
    </cfRule>
  </conditionalFormatting>
  <conditionalFormatting sqref="U165:U166">
    <cfRule type="timePeriod" dxfId="2" priority="299" timePeriod="today"/>
  </conditionalFormatting>
  <conditionalFormatting sqref="Z165:AA166">
    <cfRule type="notContainsBlanks" dxfId="4" priority="300">
      <formula>LEN(TRIM(Z165))&gt;0</formula>
    </cfRule>
  </conditionalFormatting>
  <conditionalFormatting sqref="V165:V166">
    <cfRule type="notContainsBlanks" dxfId="3" priority="301">
      <formula>LEN(TRIM(V165))&gt;0</formula>
    </cfRule>
  </conditionalFormatting>
  <conditionalFormatting sqref="U160:U164">
    <cfRule type="expression" dxfId="0" priority="302">
      <formula>AND(ISNUMBER(U160),TRUNC(U160)&lt;TODAY())</formula>
    </cfRule>
  </conditionalFormatting>
  <conditionalFormatting sqref="U160:U164">
    <cfRule type="timePeriod" dxfId="2" priority="303" timePeriod="today"/>
  </conditionalFormatting>
  <conditionalFormatting sqref="Z160:AA164">
    <cfRule type="notContainsBlanks" dxfId="4" priority="304">
      <formula>LEN(TRIM(Z160))&gt;0</formula>
    </cfRule>
  </conditionalFormatting>
  <conditionalFormatting sqref="V160:V164">
    <cfRule type="notContainsBlanks" dxfId="3" priority="305">
      <formula>LEN(TRIM(V160))&gt;0</formula>
    </cfRule>
  </conditionalFormatting>
  <conditionalFormatting sqref="U151:U159">
    <cfRule type="expression" dxfId="0" priority="306">
      <formula>AND(ISNUMBER(U151),TRUNC(U151)&lt;TODAY())</formula>
    </cfRule>
  </conditionalFormatting>
  <conditionalFormatting sqref="U151:U159">
    <cfRule type="timePeriod" dxfId="2" priority="307" timePeriod="today"/>
  </conditionalFormatting>
  <conditionalFormatting sqref="Z151:AA159">
    <cfRule type="notContainsBlanks" dxfId="4" priority="308">
      <formula>LEN(TRIM(Z151))&gt;0</formula>
    </cfRule>
  </conditionalFormatting>
  <conditionalFormatting sqref="V151:V159">
    <cfRule type="notContainsBlanks" dxfId="3" priority="309">
      <formula>LEN(TRIM(V151))&gt;0</formula>
    </cfRule>
  </conditionalFormatting>
  <conditionalFormatting sqref="U150">
    <cfRule type="expression" dxfId="0" priority="310">
      <formula>AND(ISNUMBER(U150),TRUNC(U150)&lt;TODAY())</formula>
    </cfRule>
  </conditionalFormatting>
  <conditionalFormatting sqref="U150">
    <cfRule type="timePeriod" dxfId="2" priority="311" timePeriod="today"/>
  </conditionalFormatting>
  <conditionalFormatting sqref="Z150:AA150">
    <cfRule type="notContainsBlanks" dxfId="4" priority="312">
      <formula>LEN(TRIM(Z150))&gt;0</formula>
    </cfRule>
  </conditionalFormatting>
  <conditionalFormatting sqref="V150">
    <cfRule type="notContainsBlanks" dxfId="3" priority="313">
      <formula>LEN(TRIM(V150))&gt;0</formula>
    </cfRule>
  </conditionalFormatting>
  <conditionalFormatting sqref="U137:U149">
    <cfRule type="expression" dxfId="0" priority="314">
      <formula>AND(ISNUMBER(U137),TRUNC(U137)&lt;TODAY())</formula>
    </cfRule>
  </conditionalFormatting>
  <conditionalFormatting sqref="U137:U149">
    <cfRule type="timePeriod" dxfId="2" priority="315" timePeriod="today"/>
  </conditionalFormatting>
  <conditionalFormatting sqref="Z137:AA149">
    <cfRule type="notContainsBlanks" dxfId="4" priority="316">
      <formula>LEN(TRIM(Z137))&gt;0</formula>
    </cfRule>
  </conditionalFormatting>
  <conditionalFormatting sqref="P145">
    <cfRule type="notContainsBlanks" dxfId="3" priority="317">
      <formula>LEN(TRIM(P145))&gt;0</formula>
    </cfRule>
  </conditionalFormatting>
  <conditionalFormatting sqref="V137:V149">
    <cfRule type="notContainsBlanks" dxfId="3" priority="318">
      <formula>LEN(TRIM(V137))&gt;0</formula>
    </cfRule>
  </conditionalFormatting>
  <conditionalFormatting sqref="U135:U136">
    <cfRule type="expression" dxfId="0" priority="319">
      <formula>AND(ISNUMBER(U135),TRUNC(U135)&lt;TODAY())</formula>
    </cfRule>
  </conditionalFormatting>
  <conditionalFormatting sqref="U135:U136">
    <cfRule type="timePeriod" dxfId="2" priority="320" timePeriod="today"/>
  </conditionalFormatting>
  <conditionalFormatting sqref="Z135:AA136">
    <cfRule type="notContainsBlanks" dxfId="4" priority="321">
      <formula>LEN(TRIM(Z135))&gt;0</formula>
    </cfRule>
  </conditionalFormatting>
  <conditionalFormatting sqref="V135:V136">
    <cfRule type="notContainsBlanks" dxfId="3" priority="322">
      <formula>LEN(TRIM(V135))&gt;0</formula>
    </cfRule>
  </conditionalFormatting>
  <conditionalFormatting sqref="U134">
    <cfRule type="expression" dxfId="0" priority="323">
      <formula>AND(ISNUMBER(U134),TRUNC(U134)&lt;TODAY())</formula>
    </cfRule>
  </conditionalFormatting>
  <conditionalFormatting sqref="U134">
    <cfRule type="timePeriod" dxfId="2" priority="324" timePeriod="today"/>
  </conditionalFormatting>
  <conditionalFormatting sqref="Z134:AA134">
    <cfRule type="notContainsBlanks" dxfId="4" priority="325">
      <formula>LEN(TRIM(Z134))&gt;0</formula>
    </cfRule>
  </conditionalFormatting>
  <conditionalFormatting sqref="V134">
    <cfRule type="notContainsBlanks" dxfId="3" priority="326">
      <formula>LEN(TRIM(V134))&gt;0</formula>
    </cfRule>
  </conditionalFormatting>
  <conditionalFormatting sqref="U132:U133">
    <cfRule type="expression" dxfId="0" priority="327">
      <formula>AND(ISNUMBER(U132),TRUNC(U132)&lt;TODAY())</formula>
    </cfRule>
  </conditionalFormatting>
  <conditionalFormatting sqref="U132:U133">
    <cfRule type="timePeriod" dxfId="2" priority="328" timePeriod="today"/>
  </conditionalFormatting>
  <conditionalFormatting sqref="Z132:AA133">
    <cfRule type="notContainsBlanks" dxfId="4" priority="329">
      <formula>LEN(TRIM(Z132))&gt;0</formula>
    </cfRule>
  </conditionalFormatting>
  <conditionalFormatting sqref="V132:V133">
    <cfRule type="notContainsBlanks" dxfId="3" priority="330">
      <formula>LEN(TRIM(V132))&gt;0</formula>
    </cfRule>
  </conditionalFormatting>
  <conditionalFormatting sqref="U130:U131">
    <cfRule type="expression" dxfId="0" priority="331">
      <formula>AND(ISNUMBER(U130),TRUNC(U130)&lt;TODAY())</formula>
    </cfRule>
  </conditionalFormatting>
  <conditionalFormatting sqref="U130:U131">
    <cfRule type="timePeriod" dxfId="2" priority="332" timePeriod="today"/>
  </conditionalFormatting>
  <conditionalFormatting sqref="Z130:AA131">
    <cfRule type="notContainsBlanks" dxfId="4" priority="333">
      <formula>LEN(TRIM(Z130))&gt;0</formula>
    </cfRule>
  </conditionalFormatting>
  <conditionalFormatting sqref="V130:V131">
    <cfRule type="notContainsBlanks" dxfId="3" priority="334">
      <formula>LEN(TRIM(V130))&gt;0</formula>
    </cfRule>
  </conditionalFormatting>
  <conditionalFormatting sqref="U126:U129">
    <cfRule type="expression" dxfId="0" priority="335">
      <formula>AND(ISNUMBER(U126),TRUNC(U126)&lt;TODAY())</formula>
    </cfRule>
  </conditionalFormatting>
  <conditionalFormatting sqref="U126:U129">
    <cfRule type="timePeriod" dxfId="2" priority="336" timePeriod="today"/>
  </conditionalFormatting>
  <conditionalFormatting sqref="Z126:AA129">
    <cfRule type="notContainsBlanks" dxfId="4" priority="337">
      <formula>LEN(TRIM(Z126))&gt;0</formula>
    </cfRule>
  </conditionalFormatting>
  <conditionalFormatting sqref="V126:V129">
    <cfRule type="notContainsBlanks" dxfId="3" priority="338">
      <formula>LEN(TRIM(V126))&gt;0</formula>
    </cfRule>
  </conditionalFormatting>
  <conditionalFormatting sqref="U113:U125">
    <cfRule type="expression" dxfId="0" priority="339">
      <formula>AND(ISNUMBER(U113),TRUNC(U113)&lt;TODAY())</formula>
    </cfRule>
  </conditionalFormatting>
  <conditionalFormatting sqref="U113:U125">
    <cfRule type="timePeriod" dxfId="2" priority="340" timePeriod="today"/>
  </conditionalFormatting>
  <conditionalFormatting sqref="Z113:AA125">
    <cfRule type="notContainsBlanks" dxfId="4" priority="341">
      <formula>LEN(TRIM(Z113))&gt;0</formula>
    </cfRule>
  </conditionalFormatting>
  <conditionalFormatting sqref="V113:V125">
    <cfRule type="notContainsBlanks" dxfId="3" priority="342">
      <formula>LEN(TRIM(V113))&gt;0</formula>
    </cfRule>
  </conditionalFormatting>
  <conditionalFormatting sqref="U111:U112">
    <cfRule type="expression" dxfId="0" priority="343">
      <formula>AND(ISNUMBER(U111),TRUNC(U111)&lt;TODAY())</formula>
    </cfRule>
  </conditionalFormatting>
  <conditionalFormatting sqref="U111:U112">
    <cfRule type="timePeriod" dxfId="2" priority="344" timePeriod="today"/>
  </conditionalFormatting>
  <conditionalFormatting sqref="Z111:AA112">
    <cfRule type="notContainsBlanks" dxfId="4" priority="345">
      <formula>LEN(TRIM(Z111))&gt;0</formula>
    </cfRule>
  </conditionalFormatting>
  <conditionalFormatting sqref="V111:V112">
    <cfRule type="notContainsBlanks" dxfId="3" priority="346">
      <formula>LEN(TRIM(V111))&gt;0</formula>
    </cfRule>
  </conditionalFormatting>
  <conditionalFormatting sqref="U100:U110">
    <cfRule type="expression" dxfId="0" priority="347">
      <formula>AND(ISNUMBER(U100),TRUNC(U100)&lt;TODAY())</formula>
    </cfRule>
  </conditionalFormatting>
  <conditionalFormatting sqref="U100:U110">
    <cfRule type="timePeriod" dxfId="2" priority="348" timePeriod="today"/>
  </conditionalFormatting>
  <conditionalFormatting sqref="Z100:AA110">
    <cfRule type="notContainsBlanks" dxfId="4" priority="349">
      <formula>LEN(TRIM(Z100))&gt;0</formula>
    </cfRule>
  </conditionalFormatting>
  <conditionalFormatting sqref="V100:V110">
    <cfRule type="notContainsBlanks" dxfId="3" priority="350">
      <formula>LEN(TRIM(V100))&gt;0</formula>
    </cfRule>
  </conditionalFormatting>
  <conditionalFormatting sqref="U98:U99">
    <cfRule type="expression" dxfId="0" priority="351">
      <formula>AND(ISNUMBER(U98),TRUNC(U98)&lt;TODAY())</formula>
    </cfRule>
  </conditionalFormatting>
  <conditionalFormatting sqref="U98:U99">
    <cfRule type="timePeriod" dxfId="2" priority="352" timePeriod="today"/>
  </conditionalFormatting>
  <conditionalFormatting sqref="Z98:AA99">
    <cfRule type="notContainsBlanks" dxfId="4" priority="353">
      <formula>LEN(TRIM(Z98))&gt;0</formula>
    </cfRule>
  </conditionalFormatting>
  <conditionalFormatting sqref="V98:V99">
    <cfRule type="notContainsBlanks" dxfId="3" priority="354">
      <formula>LEN(TRIM(V98))&gt;0</formula>
    </cfRule>
  </conditionalFormatting>
  <conditionalFormatting sqref="U94:U97">
    <cfRule type="expression" dxfId="0" priority="355">
      <formula>AND(ISNUMBER(U94),TRUNC(U94)&lt;TODAY())</formula>
    </cfRule>
  </conditionalFormatting>
  <conditionalFormatting sqref="U94:U97">
    <cfRule type="timePeriod" dxfId="2" priority="356" timePeriod="today"/>
  </conditionalFormatting>
  <conditionalFormatting sqref="Z94:AA97">
    <cfRule type="notContainsBlanks" dxfId="4" priority="357">
      <formula>LEN(TRIM(Z94))&gt;0</formula>
    </cfRule>
  </conditionalFormatting>
  <conditionalFormatting sqref="V94:V97">
    <cfRule type="notContainsBlanks" dxfId="3" priority="358">
      <formula>LEN(TRIM(V94))&gt;0</formula>
    </cfRule>
  </conditionalFormatting>
  <conditionalFormatting sqref="U92:U93">
    <cfRule type="expression" dxfId="0" priority="359">
      <formula>AND(ISNUMBER(U92),TRUNC(U92)&lt;TODAY())</formula>
    </cfRule>
  </conditionalFormatting>
  <conditionalFormatting sqref="U92:U93">
    <cfRule type="timePeriod" dxfId="2" priority="360" timePeriod="today"/>
  </conditionalFormatting>
  <conditionalFormatting sqref="Z92:AA93">
    <cfRule type="notContainsBlanks" dxfId="4" priority="361">
      <formula>LEN(TRIM(Z92))&gt;0</formula>
    </cfRule>
  </conditionalFormatting>
  <conditionalFormatting sqref="V92:V93">
    <cfRule type="notContainsBlanks" dxfId="3" priority="362">
      <formula>LEN(TRIM(V92))&gt;0</formula>
    </cfRule>
  </conditionalFormatting>
  <conditionalFormatting sqref="U84:U91">
    <cfRule type="expression" dxfId="0" priority="363">
      <formula>AND(ISNUMBER(U84),TRUNC(U84)&lt;TODAY())</formula>
    </cfRule>
  </conditionalFormatting>
  <conditionalFormatting sqref="U84:U91">
    <cfRule type="timePeriod" dxfId="2" priority="364" timePeriod="today"/>
  </conditionalFormatting>
  <conditionalFormatting sqref="Z84:AA91">
    <cfRule type="notContainsBlanks" dxfId="4" priority="365">
      <formula>LEN(TRIM(Z84))&gt;0</formula>
    </cfRule>
  </conditionalFormatting>
  <conditionalFormatting sqref="V84:V91">
    <cfRule type="notContainsBlanks" dxfId="3" priority="366">
      <formula>LEN(TRIM(V84))&gt;0</formula>
    </cfRule>
  </conditionalFormatting>
  <conditionalFormatting sqref="U65:U83">
    <cfRule type="expression" dxfId="0" priority="367">
      <formula>AND(ISNUMBER(U65),TRUNC(U65)&lt;TODAY())</formula>
    </cfRule>
  </conditionalFormatting>
  <conditionalFormatting sqref="U65:U83">
    <cfRule type="timePeriod" dxfId="2" priority="368" timePeriod="today"/>
  </conditionalFormatting>
  <conditionalFormatting sqref="Z65:AA83">
    <cfRule type="notContainsBlanks" dxfId="4" priority="369">
      <formula>LEN(TRIM(Z65))&gt;0</formula>
    </cfRule>
  </conditionalFormatting>
  <conditionalFormatting sqref="V65:V83">
    <cfRule type="notContainsBlanks" dxfId="3" priority="370">
      <formula>LEN(TRIM(V65))&gt;0</formula>
    </cfRule>
  </conditionalFormatting>
  <conditionalFormatting sqref="U60:U64">
    <cfRule type="expression" dxfId="0" priority="371">
      <formula>AND(ISNUMBER(U60),TRUNC(U60)&lt;TODAY())</formula>
    </cfRule>
  </conditionalFormatting>
  <conditionalFormatting sqref="U60:U64">
    <cfRule type="timePeriod" dxfId="2" priority="372" timePeriod="today"/>
  </conditionalFormatting>
  <conditionalFormatting sqref="Z60:AA64">
    <cfRule type="notContainsBlanks" dxfId="4" priority="373">
      <formula>LEN(TRIM(Z60))&gt;0</formula>
    </cfRule>
  </conditionalFormatting>
  <conditionalFormatting sqref="V60:V64">
    <cfRule type="notContainsBlanks" dxfId="3" priority="374">
      <formula>LEN(TRIM(V60))&gt;0</formula>
    </cfRule>
  </conditionalFormatting>
  <conditionalFormatting sqref="U59">
    <cfRule type="expression" dxfId="0" priority="375">
      <formula>AND(ISNUMBER(U59),TRUNC(U59)&lt;TODAY())</formula>
    </cfRule>
  </conditionalFormatting>
  <conditionalFormatting sqref="U59">
    <cfRule type="timePeriod" dxfId="2" priority="376" timePeriod="today"/>
  </conditionalFormatting>
  <conditionalFormatting sqref="Z59:AA59">
    <cfRule type="notContainsBlanks" dxfId="4" priority="377">
      <formula>LEN(TRIM(Z59))&gt;0</formula>
    </cfRule>
  </conditionalFormatting>
  <conditionalFormatting sqref="V59">
    <cfRule type="notContainsBlanks" dxfId="3" priority="378">
      <formula>LEN(TRIM(V59))&gt;0</formula>
    </cfRule>
  </conditionalFormatting>
  <conditionalFormatting sqref="U54:U58">
    <cfRule type="expression" dxfId="0" priority="379">
      <formula>AND(ISNUMBER(U54),TRUNC(U54)&lt;TODAY())</formula>
    </cfRule>
  </conditionalFormatting>
  <conditionalFormatting sqref="U54:U58">
    <cfRule type="timePeriod" dxfId="2" priority="380" timePeriod="today"/>
  </conditionalFormatting>
  <conditionalFormatting sqref="Z54:AA58">
    <cfRule type="notContainsBlanks" dxfId="4" priority="381">
      <formula>LEN(TRIM(Z54))&gt;0</formula>
    </cfRule>
  </conditionalFormatting>
  <conditionalFormatting sqref="V54:V58">
    <cfRule type="notContainsBlanks" dxfId="3" priority="382">
      <formula>LEN(TRIM(V54))&gt;0</formula>
    </cfRule>
  </conditionalFormatting>
  <conditionalFormatting sqref="U53">
    <cfRule type="expression" dxfId="0" priority="383">
      <formula>AND(ISNUMBER(U53),TRUNC(U53)&lt;TODAY())</formula>
    </cfRule>
  </conditionalFormatting>
  <conditionalFormatting sqref="U53">
    <cfRule type="timePeriod" dxfId="2" priority="384" timePeriod="today"/>
  </conditionalFormatting>
  <conditionalFormatting sqref="Z53:AA53">
    <cfRule type="notContainsBlanks" dxfId="4" priority="385">
      <formula>LEN(TRIM(Z53))&gt;0</formula>
    </cfRule>
  </conditionalFormatting>
  <conditionalFormatting sqref="V53">
    <cfRule type="notContainsBlanks" dxfId="3" priority="386">
      <formula>LEN(TRIM(V53))&gt;0</formula>
    </cfRule>
  </conditionalFormatting>
  <conditionalFormatting sqref="U50:U52">
    <cfRule type="expression" dxfId="0" priority="387">
      <formula>AND(ISNUMBER(U50),TRUNC(U50)&lt;TODAY())</formula>
    </cfRule>
  </conditionalFormatting>
  <conditionalFormatting sqref="U50:U52">
    <cfRule type="timePeriod" dxfId="2" priority="388" timePeriod="today"/>
  </conditionalFormatting>
  <conditionalFormatting sqref="Z50:AA52">
    <cfRule type="notContainsBlanks" dxfId="4" priority="389">
      <formula>LEN(TRIM(Z50))&gt;0</formula>
    </cfRule>
  </conditionalFormatting>
  <conditionalFormatting sqref="V50:V52">
    <cfRule type="notContainsBlanks" dxfId="3" priority="390">
      <formula>LEN(TRIM(V50))&gt;0</formula>
    </cfRule>
  </conditionalFormatting>
  <conditionalFormatting sqref="U35:U49">
    <cfRule type="expression" dxfId="0" priority="391">
      <formula>AND(ISNUMBER(U35),TRUNC(U35)&lt;TODAY())</formula>
    </cfRule>
  </conditionalFormatting>
  <conditionalFormatting sqref="U35:U49">
    <cfRule type="timePeriod" dxfId="2" priority="392" timePeriod="today"/>
  </conditionalFormatting>
  <conditionalFormatting sqref="Z35:AA49">
    <cfRule type="notContainsBlanks" dxfId="4" priority="393">
      <formula>LEN(TRIM(Z35))&gt;0</formula>
    </cfRule>
  </conditionalFormatting>
  <conditionalFormatting sqref="V35:V49">
    <cfRule type="notContainsBlanks" dxfId="3" priority="394">
      <formula>LEN(TRIM(V35))&gt;0</formula>
    </cfRule>
  </conditionalFormatting>
  <conditionalFormatting sqref="U16:U34">
    <cfRule type="expression" dxfId="0" priority="395">
      <formula>AND(ISNUMBER(U16),TRUNC(U16)&lt;TODAY())</formula>
    </cfRule>
  </conditionalFormatting>
  <conditionalFormatting sqref="U16:U34">
    <cfRule type="timePeriod" dxfId="2" priority="396" timePeriod="today"/>
  </conditionalFormatting>
  <conditionalFormatting sqref="Z16:AA34">
    <cfRule type="notContainsBlanks" dxfId="4" priority="397">
      <formula>LEN(TRIM(Z16))&gt;0</formula>
    </cfRule>
  </conditionalFormatting>
  <conditionalFormatting sqref="V16:V34">
    <cfRule type="notContainsBlanks" dxfId="3" priority="398">
      <formula>LEN(TRIM(V16))&gt;0</formula>
    </cfRule>
  </conditionalFormatting>
  <conditionalFormatting sqref="U9:U15">
    <cfRule type="expression" dxfId="0" priority="399">
      <formula>AND(ISNUMBER(U9),TRUNC(U9)&lt;TODAY())</formula>
    </cfRule>
  </conditionalFormatting>
  <conditionalFormatting sqref="U9:U15">
    <cfRule type="timePeriod" dxfId="2" priority="400" timePeriod="today"/>
  </conditionalFormatting>
  <conditionalFormatting sqref="Z9:AA15">
    <cfRule type="notContainsBlanks" dxfId="4" priority="401">
      <formula>LEN(TRIM(Z9))&gt;0</formula>
    </cfRule>
  </conditionalFormatting>
  <conditionalFormatting sqref="V9:V15">
    <cfRule type="notContainsBlanks" dxfId="3" priority="402">
      <formula>LEN(TRIM(V9))&gt;0</formula>
    </cfRule>
  </conditionalFormatting>
  <conditionalFormatting sqref="U8">
    <cfRule type="expression" dxfId="0" priority="403">
      <formula>AND(ISNUMBER(U8),TRUNC(U8)&lt;TODAY())</formula>
    </cfRule>
  </conditionalFormatting>
  <conditionalFormatting sqref="U8">
    <cfRule type="timePeriod" dxfId="2" priority="404" timePeriod="today"/>
  </conditionalFormatting>
  <conditionalFormatting sqref="Z8:AA8">
    <cfRule type="notContainsBlanks" dxfId="4" priority="405">
      <formula>LEN(TRIM(Z8))&gt;0</formula>
    </cfRule>
  </conditionalFormatting>
  <conditionalFormatting sqref="V8">
    <cfRule type="notContainsBlanks" dxfId="3" priority="406">
      <formula>LEN(TRIM(V8))&gt;0</formula>
    </cfRule>
  </conditionalFormatting>
  <conditionalFormatting sqref="U4:U7">
    <cfRule type="expression" dxfId="0" priority="407">
      <formula>AND(ISNUMBER(U4),TRUNC(U4)&lt;TODAY())</formula>
    </cfRule>
  </conditionalFormatting>
  <conditionalFormatting sqref="U1:U7">
    <cfRule type="timePeriod" dxfId="2" priority="408" timePeriod="today"/>
  </conditionalFormatting>
  <conditionalFormatting sqref="Z4:AA7">
    <cfRule type="notContainsBlanks" dxfId="4" priority="409">
      <formula>LEN(TRIM(Z4))&gt;0</formula>
    </cfRule>
  </conditionalFormatting>
  <conditionalFormatting sqref="V1:V7">
    <cfRule type="notContainsBlanks" dxfId="3" priority="410">
      <formula>LEN(TRIM(V1))&gt;0</formula>
    </cfRule>
  </conditionalFormatting>
  <conditionalFormatting sqref="O771">
    <cfRule type="containsText" dxfId="5" priority="411" operator="containsText" text="Chốt">
      <formula>NOT(ISERROR(SEARCH(("Chốt"),(O771))))</formula>
    </cfRule>
  </conditionalFormatting>
  <conditionalFormatting sqref="O766:O770">
    <cfRule type="containsText" dxfId="5" priority="412" operator="containsText" text="Chốt">
      <formula>NOT(ISERROR(SEARCH(("Chốt"),(O766))))</formula>
    </cfRule>
  </conditionalFormatting>
  <conditionalFormatting sqref="O764:O765">
    <cfRule type="containsText" dxfId="5" priority="413" operator="containsText" text="Chốt">
      <formula>NOT(ISERROR(SEARCH(("Chốt"),(O764))))</formula>
    </cfRule>
  </conditionalFormatting>
  <conditionalFormatting sqref="O759:O763">
    <cfRule type="containsText" dxfId="5" priority="414" operator="containsText" text="Chốt">
      <formula>NOT(ISERROR(SEARCH(("Chốt"),(O759))))</formula>
    </cfRule>
  </conditionalFormatting>
  <conditionalFormatting sqref="O757:O758">
    <cfRule type="containsText" dxfId="5" priority="415" operator="containsText" text="Chốt">
      <formula>NOT(ISERROR(SEARCH(("Chốt"),(O757))))</formula>
    </cfRule>
  </conditionalFormatting>
  <conditionalFormatting sqref="O751:O756">
    <cfRule type="containsText" dxfId="5" priority="416" operator="containsText" text="Chốt">
      <formula>NOT(ISERROR(SEARCH(("Chốt"),(O751))))</formula>
    </cfRule>
  </conditionalFormatting>
  <conditionalFormatting sqref="O749:O750">
    <cfRule type="containsText" dxfId="5" priority="417" operator="containsText" text="Chốt">
      <formula>NOT(ISERROR(SEARCH(("Chốt"),(O749))))</formula>
    </cfRule>
  </conditionalFormatting>
  <conditionalFormatting sqref="O735:O748">
    <cfRule type="containsText" dxfId="5" priority="418" operator="containsText" text="Chốt">
      <formula>NOT(ISERROR(SEARCH(("Chốt"),(O735))))</formula>
    </cfRule>
  </conditionalFormatting>
  <conditionalFormatting sqref="O734">
    <cfRule type="containsText" dxfId="5" priority="419" operator="containsText" text="Chốt">
      <formula>NOT(ISERROR(SEARCH(("Chốt"),(O734))))</formula>
    </cfRule>
  </conditionalFormatting>
  <conditionalFormatting sqref="O723:O733">
    <cfRule type="containsText" dxfId="5" priority="420" operator="containsText" text="Chốt">
      <formula>NOT(ISERROR(SEARCH(("Chốt"),(O723))))</formula>
    </cfRule>
  </conditionalFormatting>
  <conditionalFormatting sqref="O720:O722">
    <cfRule type="containsText" dxfId="5" priority="421" operator="containsText" text="Chốt">
      <formula>NOT(ISERROR(SEARCH(("Chốt"),(O720))))</formula>
    </cfRule>
  </conditionalFormatting>
  <conditionalFormatting sqref="O707:O719">
    <cfRule type="containsText" dxfId="5" priority="422" operator="containsText" text="Chốt">
      <formula>NOT(ISERROR(SEARCH(("Chốt"),(O707))))</formula>
    </cfRule>
  </conditionalFormatting>
  <conditionalFormatting sqref="O705:O706">
    <cfRule type="containsText" dxfId="5" priority="423" operator="containsText" text="Chốt">
      <formula>NOT(ISERROR(SEARCH(("Chốt"),(O705))))</formula>
    </cfRule>
  </conditionalFormatting>
  <conditionalFormatting sqref="O671:O704">
    <cfRule type="containsText" dxfId="5" priority="424" operator="containsText" text="Chốt">
      <formula>NOT(ISERROR(SEARCH(("Chốt"),(O671))))</formula>
    </cfRule>
  </conditionalFormatting>
  <conditionalFormatting sqref="O640:O670">
    <cfRule type="containsText" dxfId="5" priority="425" operator="containsText" text="Chốt">
      <formula>NOT(ISERROR(SEARCH(("Chốt"),(O640))))</formula>
    </cfRule>
  </conditionalFormatting>
  <conditionalFormatting sqref="O632:O639">
    <cfRule type="containsText" dxfId="5" priority="426" operator="containsText" text="Chốt">
      <formula>NOT(ISERROR(SEARCH(("Chốt"),(O632))))</formula>
    </cfRule>
  </conditionalFormatting>
  <conditionalFormatting sqref="O571:O631">
    <cfRule type="containsText" dxfId="5" priority="427" operator="containsText" text="Chốt">
      <formula>NOT(ISERROR(SEARCH(("Chốt"),(O571))))</formula>
    </cfRule>
  </conditionalFormatting>
  <conditionalFormatting sqref="O569:O570">
    <cfRule type="containsText" dxfId="5" priority="428" operator="containsText" text="Chốt">
      <formula>NOT(ISERROR(SEARCH(("Chốt"),(O569))))</formula>
    </cfRule>
  </conditionalFormatting>
  <conditionalFormatting sqref="O566:O568">
    <cfRule type="containsText" dxfId="5" priority="429" operator="containsText" text="Chốt">
      <formula>NOT(ISERROR(SEARCH(("Chốt"),(O566))))</formula>
    </cfRule>
  </conditionalFormatting>
  <conditionalFormatting sqref="O565">
    <cfRule type="containsText" dxfId="5" priority="430" operator="containsText" text="Chốt">
      <formula>NOT(ISERROR(SEARCH(("Chốt"),(O565))))</formula>
    </cfRule>
  </conditionalFormatting>
  <conditionalFormatting sqref="O556:O564">
    <cfRule type="containsText" dxfId="5" priority="431" operator="containsText" text="Chốt">
      <formula>NOT(ISERROR(SEARCH(("Chốt"),(O556))))</formula>
    </cfRule>
  </conditionalFormatting>
  <conditionalFormatting sqref="O550:O555">
    <cfRule type="containsText" dxfId="5" priority="432" operator="containsText" text="Chốt">
      <formula>NOT(ISERROR(SEARCH(("Chốt"),(O550))))</formula>
    </cfRule>
  </conditionalFormatting>
  <conditionalFormatting sqref="O546:O549">
    <cfRule type="containsText" dxfId="5" priority="433" operator="containsText" text="Chốt">
      <formula>NOT(ISERROR(SEARCH(("Chốt"),(O546))))</formula>
    </cfRule>
  </conditionalFormatting>
  <conditionalFormatting sqref="O545">
    <cfRule type="containsText" dxfId="5" priority="434" operator="containsText" text="Chốt">
      <formula>NOT(ISERROR(SEARCH(("Chốt"),(O545))))</formula>
    </cfRule>
  </conditionalFormatting>
  <conditionalFormatting sqref="O533:O544">
    <cfRule type="containsText" dxfId="5" priority="435" operator="containsText" text="Chốt">
      <formula>NOT(ISERROR(SEARCH(("Chốt"),(O533))))</formula>
    </cfRule>
  </conditionalFormatting>
  <conditionalFormatting sqref="O525:O532">
    <cfRule type="containsText" dxfId="5" priority="436" operator="containsText" text="Chốt">
      <formula>NOT(ISERROR(SEARCH(("Chốt"),(O525))))</formula>
    </cfRule>
  </conditionalFormatting>
  <conditionalFormatting sqref="O521:O524">
    <cfRule type="containsText" dxfId="5" priority="437" operator="containsText" text="Chốt">
      <formula>NOT(ISERROR(SEARCH(("Chốt"),(O521))))</formula>
    </cfRule>
  </conditionalFormatting>
  <conditionalFormatting sqref="O514:O520">
    <cfRule type="containsText" dxfId="5" priority="438" operator="containsText" text="Chốt">
      <formula>NOT(ISERROR(SEARCH(("Chốt"),(O514))))</formula>
    </cfRule>
  </conditionalFormatting>
  <conditionalFormatting sqref="O499:O513">
    <cfRule type="containsText" dxfId="5" priority="439" operator="containsText" text="Chốt">
      <formula>NOT(ISERROR(SEARCH(("Chốt"),(O499))))</formula>
    </cfRule>
  </conditionalFormatting>
  <conditionalFormatting sqref="O488:O498">
    <cfRule type="containsText" dxfId="5" priority="440" operator="containsText" text="Chốt">
      <formula>NOT(ISERROR(SEARCH(("Chốt"),(O488))))</formula>
    </cfRule>
  </conditionalFormatting>
  <conditionalFormatting sqref="O480:O487">
    <cfRule type="containsText" dxfId="5" priority="441" operator="containsText" text="Chốt">
      <formula>NOT(ISERROR(SEARCH(("Chốt"),(O480))))</formula>
    </cfRule>
  </conditionalFormatting>
  <conditionalFormatting sqref="O478:O479">
    <cfRule type="containsText" dxfId="5" priority="442" operator="containsText" text="Chốt">
      <formula>NOT(ISERROR(SEARCH(("Chốt"),(O478))))</formula>
    </cfRule>
  </conditionalFormatting>
  <conditionalFormatting sqref="O473:O477">
    <cfRule type="containsText" dxfId="5" priority="443" operator="containsText" text="Chốt">
      <formula>NOT(ISERROR(SEARCH(("Chốt"),(O473))))</formula>
    </cfRule>
  </conditionalFormatting>
  <conditionalFormatting sqref="O460:O472">
    <cfRule type="containsText" dxfId="5" priority="444" operator="containsText" text="Chốt">
      <formula>NOT(ISERROR(SEARCH(("Chốt"),(O460))))</formula>
    </cfRule>
  </conditionalFormatting>
  <conditionalFormatting sqref="O456:O459">
    <cfRule type="containsText" dxfId="5" priority="445" operator="containsText" text="Chốt">
      <formula>NOT(ISERROR(SEARCH(("Chốt"),(O456))))</formula>
    </cfRule>
  </conditionalFormatting>
  <conditionalFormatting sqref="O454:O455">
    <cfRule type="containsText" dxfId="5" priority="446" operator="containsText" text="Chốt">
      <formula>NOT(ISERROR(SEARCH(("Chốt"),(O454))))</formula>
    </cfRule>
  </conditionalFormatting>
  <conditionalFormatting sqref="O448:O453">
    <cfRule type="containsText" dxfId="5" priority="447" operator="containsText" text="Chốt">
      <formula>NOT(ISERROR(SEARCH(("Chốt"),(O448))))</formula>
    </cfRule>
  </conditionalFormatting>
  <conditionalFormatting sqref="O443:O447">
    <cfRule type="containsText" dxfId="5" priority="448" operator="containsText" text="Chốt">
      <formula>NOT(ISERROR(SEARCH(("Chốt"),(O443))))</formula>
    </cfRule>
  </conditionalFormatting>
  <conditionalFormatting sqref="O442">
    <cfRule type="containsText" dxfId="5" priority="449" operator="containsText" text="Chốt">
      <formula>NOT(ISERROR(SEARCH(("Chốt"),(O442))))</formula>
    </cfRule>
  </conditionalFormatting>
  <conditionalFormatting sqref="O432:O441">
    <cfRule type="containsText" dxfId="5" priority="450" operator="containsText" text="Chốt">
      <formula>NOT(ISERROR(SEARCH(("Chốt"),(O432))))</formula>
    </cfRule>
  </conditionalFormatting>
  <conditionalFormatting sqref="O424:O431">
    <cfRule type="containsText" dxfId="5" priority="451" operator="containsText" text="Chốt">
      <formula>NOT(ISERROR(SEARCH(("Chốt"),(O424))))</formula>
    </cfRule>
  </conditionalFormatting>
  <conditionalFormatting sqref="O420:O423">
    <cfRule type="containsText" dxfId="5" priority="452" operator="containsText" text="Chốt">
      <formula>NOT(ISERROR(SEARCH(("Chốt"),(O420))))</formula>
    </cfRule>
  </conditionalFormatting>
  <conditionalFormatting sqref="O416:O419">
    <cfRule type="containsText" dxfId="5" priority="453" operator="containsText" text="Chốt">
      <formula>NOT(ISERROR(SEARCH(("Chốt"),(O416))))</formula>
    </cfRule>
  </conditionalFormatting>
  <conditionalFormatting sqref="O413:O415">
    <cfRule type="containsText" dxfId="5" priority="454" operator="containsText" text="Chốt">
      <formula>NOT(ISERROR(SEARCH(("Chốt"),(O413))))</formula>
    </cfRule>
  </conditionalFormatting>
  <conditionalFormatting sqref="O381:O412">
    <cfRule type="containsText" dxfId="5" priority="455" operator="containsText" text="Chốt">
      <formula>NOT(ISERROR(SEARCH(("Chốt"),(O381))))</formula>
    </cfRule>
  </conditionalFormatting>
  <conditionalFormatting sqref="O370:O380">
    <cfRule type="containsText" dxfId="5" priority="456" operator="containsText" text="Chốt">
      <formula>NOT(ISERROR(SEARCH(("Chốt"),(O370))))</formula>
    </cfRule>
  </conditionalFormatting>
  <conditionalFormatting sqref="O368:O369">
    <cfRule type="containsText" dxfId="5" priority="457" operator="containsText" text="Chốt">
      <formula>NOT(ISERROR(SEARCH(("Chốt"),(O368))))</formula>
    </cfRule>
  </conditionalFormatting>
  <conditionalFormatting sqref="O367">
    <cfRule type="containsText" dxfId="5" priority="458" operator="containsText" text="Chốt">
      <formula>NOT(ISERROR(SEARCH(("Chốt"),(O367))))</formula>
    </cfRule>
  </conditionalFormatting>
  <conditionalFormatting sqref="O318:O366">
    <cfRule type="containsText" dxfId="5" priority="459" operator="containsText" text="Chốt">
      <formula>NOT(ISERROR(SEARCH(("Chốt"),(O318))))</formula>
    </cfRule>
  </conditionalFormatting>
  <conditionalFormatting sqref="O310:O317">
    <cfRule type="containsText" dxfId="5" priority="460" operator="containsText" text="Chốt">
      <formula>NOT(ISERROR(SEARCH(("Chốt"),(O310))))</formula>
    </cfRule>
  </conditionalFormatting>
  <conditionalFormatting sqref="O307:O309">
    <cfRule type="containsText" dxfId="5" priority="461" operator="containsText" text="Chốt">
      <formula>NOT(ISERROR(SEARCH(("Chốt"),(O307))))</formula>
    </cfRule>
  </conditionalFormatting>
  <conditionalFormatting sqref="O289:O306">
    <cfRule type="containsText" dxfId="5" priority="462" operator="containsText" text="Chốt">
      <formula>NOT(ISERROR(SEARCH(("Chốt"),(O289))))</formula>
    </cfRule>
  </conditionalFormatting>
  <conditionalFormatting sqref="O288">
    <cfRule type="containsText" dxfId="5" priority="463" operator="containsText" text="Chốt">
      <formula>NOT(ISERROR(SEARCH(("Chốt"),(O288))))</formula>
    </cfRule>
  </conditionalFormatting>
  <conditionalFormatting sqref="O274:O287">
    <cfRule type="containsText" dxfId="5" priority="464" operator="containsText" text="Chốt">
      <formula>NOT(ISERROR(SEARCH(("Chốt"),(O274))))</formula>
    </cfRule>
  </conditionalFormatting>
  <conditionalFormatting sqref="O265:O273">
    <cfRule type="containsText" dxfId="5" priority="465" operator="containsText" text="Chốt">
      <formula>NOT(ISERROR(SEARCH(("Chốt"),(O265))))</formula>
    </cfRule>
  </conditionalFormatting>
  <conditionalFormatting sqref="O255:O264">
    <cfRule type="containsText" dxfId="5" priority="466" operator="containsText" text="Chốt">
      <formula>NOT(ISERROR(SEARCH(("Chốt"),(O255))))</formula>
    </cfRule>
  </conditionalFormatting>
  <conditionalFormatting sqref="O245:O254">
    <cfRule type="containsText" dxfId="5" priority="467" operator="containsText" text="Chốt">
      <formula>NOT(ISERROR(SEARCH(("Chốt"),(O245))))</formula>
    </cfRule>
  </conditionalFormatting>
  <conditionalFormatting sqref="O243:O244">
    <cfRule type="containsText" dxfId="5" priority="468" operator="containsText" text="Chốt">
      <formula>NOT(ISERROR(SEARCH(("Chốt"),(O243))))</formula>
    </cfRule>
  </conditionalFormatting>
  <conditionalFormatting sqref="O242">
    <cfRule type="containsText" dxfId="5" priority="469" operator="containsText" text="Chốt">
      <formula>NOT(ISERROR(SEARCH(("Chốt"),(O242))))</formula>
    </cfRule>
  </conditionalFormatting>
  <conditionalFormatting sqref="O237:O241">
    <cfRule type="containsText" dxfId="5" priority="470" operator="containsText" text="Chốt">
      <formula>NOT(ISERROR(SEARCH(("Chốt"),(O237))))</formula>
    </cfRule>
  </conditionalFormatting>
  <conditionalFormatting sqref="O227:O236">
    <cfRule type="containsText" dxfId="5" priority="471" operator="containsText" text="Chốt">
      <formula>NOT(ISERROR(SEARCH(("Chốt"),(O227))))</formula>
    </cfRule>
  </conditionalFormatting>
  <conditionalFormatting sqref="O225:O226">
    <cfRule type="containsText" dxfId="5" priority="472" operator="containsText" text="Chốt">
      <formula>NOT(ISERROR(SEARCH(("Chốt"),(O225))))</formula>
    </cfRule>
  </conditionalFormatting>
  <conditionalFormatting sqref="O222:O224">
    <cfRule type="containsText" dxfId="5" priority="473" operator="containsText" text="Chốt">
      <formula>NOT(ISERROR(SEARCH(("Chốt"),(O222))))</formula>
    </cfRule>
  </conditionalFormatting>
  <conditionalFormatting sqref="O221">
    <cfRule type="containsText" dxfId="5" priority="474" operator="containsText" text="Chốt">
      <formula>NOT(ISERROR(SEARCH(("Chốt"),(O221))))</formula>
    </cfRule>
  </conditionalFormatting>
  <conditionalFormatting sqref="O215:O220">
    <cfRule type="containsText" dxfId="5" priority="475" operator="containsText" text="Chốt">
      <formula>NOT(ISERROR(SEARCH(("Chốt"),(O215))))</formula>
    </cfRule>
  </conditionalFormatting>
  <conditionalFormatting sqref="O214">
    <cfRule type="containsText" dxfId="5" priority="476" operator="containsText" text="Chốt">
      <formula>NOT(ISERROR(SEARCH(("Chốt"),(O214))))</formula>
    </cfRule>
  </conditionalFormatting>
  <conditionalFormatting sqref="O208:O213">
    <cfRule type="containsText" dxfId="5" priority="477" operator="containsText" text="Chốt">
      <formula>NOT(ISERROR(SEARCH(("Chốt"),(O208))))</formula>
    </cfRule>
  </conditionalFormatting>
  <conditionalFormatting sqref="O197:O207">
    <cfRule type="containsText" dxfId="5" priority="478" operator="containsText" text="Chốt">
      <formula>NOT(ISERROR(SEARCH(("Chốt"),(O197))))</formula>
    </cfRule>
  </conditionalFormatting>
  <conditionalFormatting sqref="O190:O196">
    <cfRule type="containsText" dxfId="5" priority="479" operator="containsText" text="Chốt">
      <formula>NOT(ISERROR(SEARCH(("Chốt"),(O190))))</formula>
    </cfRule>
  </conditionalFormatting>
  <conditionalFormatting sqref="O183:O189">
    <cfRule type="containsText" dxfId="5" priority="480" operator="containsText" text="Chốt">
      <formula>NOT(ISERROR(SEARCH(("Chốt"),(O183))))</formula>
    </cfRule>
  </conditionalFormatting>
  <conditionalFormatting sqref="O177:O182">
    <cfRule type="containsText" dxfId="5" priority="481" operator="containsText" text="Chốt">
      <formula>NOT(ISERROR(SEARCH(("Chốt"),(O177))))</formula>
    </cfRule>
  </conditionalFormatting>
  <conditionalFormatting sqref="O176">
    <cfRule type="containsText" dxfId="5" priority="482" operator="containsText" text="Chốt">
      <formula>NOT(ISERROR(SEARCH(("Chốt"),(O176))))</formula>
    </cfRule>
  </conditionalFormatting>
  <conditionalFormatting sqref="O170:O175">
    <cfRule type="containsText" dxfId="5" priority="483" operator="containsText" text="Chốt">
      <formula>NOT(ISERROR(SEARCH(("Chốt"),(O170))))</formula>
    </cfRule>
  </conditionalFormatting>
  <conditionalFormatting sqref="O167:O169">
    <cfRule type="containsText" dxfId="5" priority="484" operator="containsText" text="Chốt">
      <formula>NOT(ISERROR(SEARCH(("Chốt"),(O167))))</formula>
    </cfRule>
  </conditionalFormatting>
  <conditionalFormatting sqref="O165:O166">
    <cfRule type="containsText" dxfId="5" priority="485" operator="containsText" text="Chốt">
      <formula>NOT(ISERROR(SEARCH(("Chốt"),(O165))))</formula>
    </cfRule>
  </conditionalFormatting>
  <conditionalFormatting sqref="O160:O164">
    <cfRule type="containsText" dxfId="5" priority="486" operator="containsText" text="Chốt">
      <formula>NOT(ISERROR(SEARCH(("Chốt"),(O160))))</formula>
    </cfRule>
  </conditionalFormatting>
  <conditionalFormatting sqref="O151:O159">
    <cfRule type="containsText" dxfId="5" priority="487" operator="containsText" text="Chốt">
      <formula>NOT(ISERROR(SEARCH(("Chốt"),(O151))))</formula>
    </cfRule>
  </conditionalFormatting>
  <conditionalFormatting sqref="O150">
    <cfRule type="containsText" dxfId="5" priority="488" operator="containsText" text="Chốt">
      <formula>NOT(ISERROR(SEARCH(("Chốt"),(O150))))</formula>
    </cfRule>
  </conditionalFormatting>
  <conditionalFormatting sqref="O137:O149">
    <cfRule type="containsText" dxfId="5" priority="489" operator="containsText" text="Chốt">
      <formula>NOT(ISERROR(SEARCH(("Chốt"),(O137))))</formula>
    </cfRule>
  </conditionalFormatting>
  <conditionalFormatting sqref="O135:O136">
    <cfRule type="containsText" dxfId="5" priority="490" operator="containsText" text="Chốt">
      <formula>NOT(ISERROR(SEARCH(("Chốt"),(O135))))</formula>
    </cfRule>
  </conditionalFormatting>
  <conditionalFormatting sqref="O134">
    <cfRule type="containsText" dxfId="5" priority="491" operator="containsText" text="Chốt">
      <formula>NOT(ISERROR(SEARCH(("Chốt"),(O134))))</formula>
    </cfRule>
  </conditionalFormatting>
  <conditionalFormatting sqref="O132:O133">
    <cfRule type="containsText" dxfId="5" priority="492" operator="containsText" text="Chốt">
      <formula>NOT(ISERROR(SEARCH(("Chốt"),(O132))))</formula>
    </cfRule>
  </conditionalFormatting>
  <conditionalFormatting sqref="O130:O131">
    <cfRule type="containsText" dxfId="5" priority="493" operator="containsText" text="Chốt">
      <formula>NOT(ISERROR(SEARCH(("Chốt"),(O130))))</formula>
    </cfRule>
  </conditionalFormatting>
  <conditionalFormatting sqref="O126:O129">
    <cfRule type="containsText" dxfId="5" priority="494" operator="containsText" text="Chốt">
      <formula>NOT(ISERROR(SEARCH(("Chốt"),(O126))))</formula>
    </cfRule>
  </conditionalFormatting>
  <conditionalFormatting sqref="O113:O125">
    <cfRule type="containsText" dxfId="5" priority="495" operator="containsText" text="Chốt">
      <formula>NOT(ISERROR(SEARCH(("Chốt"),(O113))))</formula>
    </cfRule>
  </conditionalFormatting>
  <conditionalFormatting sqref="O111:O112">
    <cfRule type="containsText" dxfId="5" priority="496" operator="containsText" text="Chốt">
      <formula>NOT(ISERROR(SEARCH(("Chốt"),(O111))))</formula>
    </cfRule>
  </conditionalFormatting>
  <conditionalFormatting sqref="O100:O110">
    <cfRule type="containsText" dxfId="5" priority="497" operator="containsText" text="Chốt">
      <formula>NOT(ISERROR(SEARCH(("Chốt"),(O100))))</formula>
    </cfRule>
  </conditionalFormatting>
  <conditionalFormatting sqref="O98:O99">
    <cfRule type="containsText" dxfId="5" priority="498" operator="containsText" text="Chốt">
      <formula>NOT(ISERROR(SEARCH(("Chốt"),(O98))))</formula>
    </cfRule>
  </conditionalFormatting>
  <conditionalFormatting sqref="O94:O97">
    <cfRule type="containsText" dxfId="5" priority="499" operator="containsText" text="Chốt">
      <formula>NOT(ISERROR(SEARCH(("Chốt"),(O94))))</formula>
    </cfRule>
  </conditionalFormatting>
  <conditionalFormatting sqref="O92:O93">
    <cfRule type="containsText" dxfId="5" priority="500" operator="containsText" text="Chốt">
      <formula>NOT(ISERROR(SEARCH(("Chốt"),(O92))))</formula>
    </cfRule>
  </conditionalFormatting>
  <conditionalFormatting sqref="O84:O91">
    <cfRule type="containsText" dxfId="5" priority="501" operator="containsText" text="Chốt">
      <formula>NOT(ISERROR(SEARCH(("Chốt"),(O84))))</formula>
    </cfRule>
  </conditionalFormatting>
  <conditionalFormatting sqref="O65:O83">
    <cfRule type="containsText" dxfId="5" priority="502" operator="containsText" text="Chốt">
      <formula>NOT(ISERROR(SEARCH(("Chốt"),(O65))))</formula>
    </cfRule>
  </conditionalFormatting>
  <conditionalFormatting sqref="O60:O64">
    <cfRule type="containsText" dxfId="5" priority="503" operator="containsText" text="Chốt">
      <formula>NOT(ISERROR(SEARCH(("Chốt"),(O60))))</formula>
    </cfRule>
  </conditionalFormatting>
  <conditionalFormatting sqref="O59">
    <cfRule type="containsText" dxfId="5" priority="504" operator="containsText" text="Chốt">
      <formula>NOT(ISERROR(SEARCH(("Chốt"),(O59))))</formula>
    </cfRule>
  </conditionalFormatting>
  <conditionalFormatting sqref="O54:O58">
    <cfRule type="containsText" dxfId="5" priority="505" operator="containsText" text="Chốt">
      <formula>NOT(ISERROR(SEARCH(("Chốt"),(O54))))</formula>
    </cfRule>
  </conditionalFormatting>
  <conditionalFormatting sqref="O53">
    <cfRule type="containsText" dxfId="5" priority="506" operator="containsText" text="Chốt">
      <formula>NOT(ISERROR(SEARCH(("Chốt"),(O53))))</formula>
    </cfRule>
  </conditionalFormatting>
  <conditionalFormatting sqref="O50:O52">
    <cfRule type="containsText" dxfId="5" priority="507" operator="containsText" text="Chốt">
      <formula>NOT(ISERROR(SEARCH(("Chốt"),(O50))))</formula>
    </cfRule>
  </conditionalFormatting>
  <conditionalFormatting sqref="O35:O49">
    <cfRule type="containsText" dxfId="5" priority="508" operator="containsText" text="Chốt">
      <formula>NOT(ISERROR(SEARCH(("Chốt"),(O35))))</formula>
    </cfRule>
  </conditionalFormatting>
  <conditionalFormatting sqref="O16:O34">
    <cfRule type="containsText" dxfId="5" priority="509" operator="containsText" text="Chốt">
      <formula>NOT(ISERROR(SEARCH(("Chốt"),(O16))))</formula>
    </cfRule>
  </conditionalFormatting>
  <conditionalFormatting sqref="O9:O15">
    <cfRule type="containsText" dxfId="5" priority="510" operator="containsText" text="Chốt">
      <formula>NOT(ISERROR(SEARCH(("Chốt"),(O9))))</formula>
    </cfRule>
  </conditionalFormatting>
  <conditionalFormatting sqref="O8">
    <cfRule type="containsText" dxfId="5" priority="511" operator="containsText" text="Chốt">
      <formula>NOT(ISERROR(SEARCH(("Chốt"),(O8))))</formula>
    </cfRule>
  </conditionalFormatting>
  <conditionalFormatting sqref="O1:O7">
    <cfRule type="containsText" dxfId="5" priority="512" operator="containsText" text="Chốt">
      <formula>NOT(ISERROR(SEARCH(("Chốt"),(O1))))</formula>
    </cfRule>
  </conditionalFormatting>
  <conditionalFormatting sqref="I771">
    <cfRule type="expression" dxfId="1" priority="513">
      <formula>"countif(I:I, I4)&gt;1"</formula>
    </cfRule>
  </conditionalFormatting>
  <conditionalFormatting sqref="A771">
    <cfRule type="containsBlanks" dxfId="6" priority="514">
      <formula>LEN(TRIM(A771))=0</formula>
    </cfRule>
  </conditionalFormatting>
  <conditionalFormatting sqref="B771">
    <cfRule type="notContainsBlanks" dxfId="3" priority="515">
      <formula>LEN(TRIM(B771))&gt;0</formula>
    </cfRule>
  </conditionalFormatting>
  <conditionalFormatting sqref="I755:I770">
    <cfRule type="expression" dxfId="1" priority="516">
      <formula>"countif(I:I, I4)&gt;1"</formula>
    </cfRule>
  </conditionalFormatting>
  <conditionalFormatting sqref="A766:A770">
    <cfRule type="containsBlanks" dxfId="6" priority="517">
      <formula>LEN(TRIM(A766))=0</formula>
    </cfRule>
  </conditionalFormatting>
  <conditionalFormatting sqref="B766:B770">
    <cfRule type="notContainsBlanks" dxfId="3" priority="518">
      <formula>LEN(TRIM(B766))&gt;0</formula>
    </cfRule>
  </conditionalFormatting>
  <conditionalFormatting sqref="I764:I765">
    <cfRule type="expression" dxfId="1" priority="519">
      <formula>"countif(I:I, I4)&gt;1"</formula>
    </cfRule>
  </conditionalFormatting>
  <conditionalFormatting sqref="A764:A765">
    <cfRule type="containsBlanks" dxfId="6" priority="520">
      <formula>LEN(TRIM(A764))=0</formula>
    </cfRule>
  </conditionalFormatting>
  <conditionalFormatting sqref="B764:B765">
    <cfRule type="notContainsBlanks" dxfId="3" priority="521">
      <formula>LEN(TRIM(B764))&gt;0</formula>
    </cfRule>
  </conditionalFormatting>
  <conditionalFormatting sqref="I759:I763">
    <cfRule type="expression" dxfId="1" priority="522">
      <formula>"countif(I:I, I4)&gt;1"</formula>
    </cfRule>
  </conditionalFormatting>
  <conditionalFormatting sqref="A759:A763">
    <cfRule type="containsBlanks" dxfId="6" priority="523">
      <formula>LEN(TRIM(A759))=0</formula>
    </cfRule>
  </conditionalFormatting>
  <conditionalFormatting sqref="B759:B763">
    <cfRule type="notContainsBlanks" dxfId="3" priority="524">
      <formula>LEN(TRIM(B759))&gt;0</formula>
    </cfRule>
  </conditionalFormatting>
  <conditionalFormatting sqref="I757:I758">
    <cfRule type="expression" dxfId="1" priority="525">
      <formula>"countif(I:I, I4)&gt;1"</formula>
    </cfRule>
  </conditionalFormatting>
  <conditionalFormatting sqref="A757:A758">
    <cfRule type="containsBlanks" dxfId="6" priority="526">
      <formula>LEN(TRIM(A757))=0</formula>
    </cfRule>
  </conditionalFormatting>
  <conditionalFormatting sqref="B757:B758">
    <cfRule type="notContainsBlanks" dxfId="3" priority="527">
      <formula>LEN(TRIM(B757))&gt;0</formula>
    </cfRule>
  </conditionalFormatting>
  <conditionalFormatting sqref="I751:I756">
    <cfRule type="expression" dxfId="1" priority="528">
      <formula>"countif(I:I, I4)&gt;1"</formula>
    </cfRule>
  </conditionalFormatting>
  <conditionalFormatting sqref="A751:A756">
    <cfRule type="containsBlanks" dxfId="6" priority="529">
      <formula>LEN(TRIM(A751))=0</formula>
    </cfRule>
  </conditionalFormatting>
  <conditionalFormatting sqref="B751:B756">
    <cfRule type="notContainsBlanks" dxfId="3" priority="530">
      <formula>LEN(TRIM(B751))&gt;0</formula>
    </cfRule>
  </conditionalFormatting>
  <conditionalFormatting sqref="I749:I750">
    <cfRule type="expression" dxfId="1" priority="531">
      <formula>"countif(I:I, I4)&gt;1"</formula>
    </cfRule>
  </conditionalFormatting>
  <conditionalFormatting sqref="A749:A750">
    <cfRule type="containsBlanks" dxfId="6" priority="532">
      <formula>LEN(TRIM(A749))=0</formula>
    </cfRule>
  </conditionalFormatting>
  <conditionalFormatting sqref="B749:B750">
    <cfRule type="notContainsBlanks" dxfId="3" priority="533">
      <formula>LEN(TRIM(B749))&gt;0</formula>
    </cfRule>
  </conditionalFormatting>
  <conditionalFormatting sqref="I735:I748">
    <cfRule type="expression" dxfId="1" priority="534">
      <formula>"countif(I:I, I4)&gt;1"</formula>
    </cfRule>
  </conditionalFormatting>
  <conditionalFormatting sqref="A735:A748">
    <cfRule type="containsBlanks" dxfId="6" priority="535">
      <formula>LEN(TRIM(A735))=0</formula>
    </cfRule>
  </conditionalFormatting>
  <conditionalFormatting sqref="B735:B748">
    <cfRule type="notContainsBlanks" dxfId="3" priority="536">
      <formula>LEN(TRIM(B735))&gt;0</formula>
    </cfRule>
  </conditionalFormatting>
  <conditionalFormatting sqref="I734">
    <cfRule type="expression" dxfId="1" priority="537">
      <formula>"countif(I:I, I4)&gt;1"</formula>
    </cfRule>
  </conditionalFormatting>
  <conditionalFormatting sqref="A734">
    <cfRule type="containsBlanks" dxfId="6" priority="538">
      <formula>LEN(TRIM(A734))=0</formula>
    </cfRule>
  </conditionalFormatting>
  <conditionalFormatting sqref="B734">
    <cfRule type="notContainsBlanks" dxfId="3" priority="539">
      <formula>LEN(TRIM(B734))&gt;0</formula>
    </cfRule>
  </conditionalFormatting>
  <conditionalFormatting sqref="I723:I733">
    <cfRule type="expression" dxfId="1" priority="540">
      <formula>"countif(I:I, I4)&gt;1"</formula>
    </cfRule>
  </conditionalFormatting>
  <conditionalFormatting sqref="A723:A733">
    <cfRule type="containsBlanks" dxfId="6" priority="541">
      <formula>LEN(TRIM(A723))=0</formula>
    </cfRule>
  </conditionalFormatting>
  <conditionalFormatting sqref="B723:B733">
    <cfRule type="notContainsBlanks" dxfId="3" priority="542">
      <formula>LEN(TRIM(B723))&gt;0</formula>
    </cfRule>
  </conditionalFormatting>
  <conditionalFormatting sqref="I720:I722">
    <cfRule type="expression" dxfId="1" priority="543">
      <formula>"countif(I:I, I4)&gt;1"</formula>
    </cfRule>
  </conditionalFormatting>
  <conditionalFormatting sqref="A720:A722">
    <cfRule type="containsBlanks" dxfId="6" priority="544">
      <formula>LEN(TRIM(A720))=0</formula>
    </cfRule>
  </conditionalFormatting>
  <conditionalFormatting sqref="B720:B722">
    <cfRule type="notContainsBlanks" dxfId="3" priority="545">
      <formula>LEN(TRIM(B720))&gt;0</formula>
    </cfRule>
  </conditionalFormatting>
  <conditionalFormatting sqref="I707:I719">
    <cfRule type="expression" dxfId="1" priority="546">
      <formula>"countif(I:I, I4)&gt;1"</formula>
    </cfRule>
  </conditionalFormatting>
  <conditionalFormatting sqref="A707:A719">
    <cfRule type="containsBlanks" dxfId="6" priority="547">
      <formula>LEN(TRIM(A707))=0</formula>
    </cfRule>
  </conditionalFormatting>
  <conditionalFormatting sqref="B707:B719">
    <cfRule type="notContainsBlanks" dxfId="3" priority="548">
      <formula>LEN(TRIM(B707))&gt;0</formula>
    </cfRule>
  </conditionalFormatting>
  <conditionalFormatting sqref="I705:I706">
    <cfRule type="expression" dxfId="1" priority="549">
      <formula>"countif(I:I, I4)&gt;1"</formula>
    </cfRule>
  </conditionalFormatting>
  <conditionalFormatting sqref="A705:A706">
    <cfRule type="containsBlanks" dxfId="6" priority="550">
      <formula>LEN(TRIM(A705))=0</formula>
    </cfRule>
  </conditionalFormatting>
  <conditionalFormatting sqref="B705:B706">
    <cfRule type="notContainsBlanks" dxfId="3" priority="551">
      <formula>LEN(TRIM(B705))&gt;0</formula>
    </cfRule>
  </conditionalFormatting>
  <conditionalFormatting sqref="I671:I704">
    <cfRule type="expression" dxfId="1" priority="552">
      <formula>"countif(I:I, I4)&gt;1"</formula>
    </cfRule>
  </conditionalFormatting>
  <conditionalFormatting sqref="A671:A704">
    <cfRule type="containsBlanks" dxfId="6" priority="553">
      <formula>LEN(TRIM(A671))=0</formula>
    </cfRule>
  </conditionalFormatting>
  <conditionalFormatting sqref="B671:B704">
    <cfRule type="notContainsBlanks" dxfId="3" priority="554">
      <formula>LEN(TRIM(B671))&gt;0</formula>
    </cfRule>
  </conditionalFormatting>
  <conditionalFormatting sqref="I640:I662 I666:I670">
    <cfRule type="expression" dxfId="1" priority="555">
      <formula>"countif(I:I, I4)&gt;1"</formula>
    </cfRule>
  </conditionalFormatting>
  <conditionalFormatting sqref="A640:A670">
    <cfRule type="containsBlanks" dxfId="6" priority="556">
      <formula>LEN(TRIM(A640))=0</formula>
    </cfRule>
  </conditionalFormatting>
  <conditionalFormatting sqref="B640:B670">
    <cfRule type="notContainsBlanks" dxfId="3" priority="557">
      <formula>LEN(TRIM(B640))&gt;0</formula>
    </cfRule>
  </conditionalFormatting>
  <conditionalFormatting sqref="I632:I639">
    <cfRule type="expression" dxfId="1" priority="558">
      <formula>"countif(I:I, I4)&gt;1"</formula>
    </cfRule>
  </conditionalFormatting>
  <conditionalFormatting sqref="A632:A639">
    <cfRule type="containsBlanks" dxfId="6" priority="559">
      <formula>LEN(TRIM(A632))=0</formula>
    </cfRule>
  </conditionalFormatting>
  <conditionalFormatting sqref="B632:B639">
    <cfRule type="notContainsBlanks" dxfId="3" priority="560">
      <formula>LEN(TRIM(B632))&gt;0</formula>
    </cfRule>
  </conditionalFormatting>
  <conditionalFormatting sqref="I571:I590 I592:I631">
    <cfRule type="expression" dxfId="1" priority="561">
      <formula>"countif(I:I, I4)&gt;1"</formula>
    </cfRule>
  </conditionalFormatting>
  <conditionalFormatting sqref="A571:A631">
    <cfRule type="containsBlanks" dxfId="6" priority="562">
      <formula>LEN(TRIM(A571))=0</formula>
    </cfRule>
  </conditionalFormatting>
  <conditionalFormatting sqref="B571:B631">
    <cfRule type="notContainsBlanks" dxfId="3" priority="563">
      <formula>LEN(TRIM(B571))&gt;0</formula>
    </cfRule>
  </conditionalFormatting>
  <conditionalFormatting sqref="I569:I570">
    <cfRule type="expression" dxfId="1" priority="564">
      <formula>"countif(I:I, I4)&gt;1"</formula>
    </cfRule>
  </conditionalFormatting>
  <conditionalFormatting sqref="A569:A570">
    <cfRule type="containsBlanks" dxfId="6" priority="565">
      <formula>LEN(TRIM(A569))=0</formula>
    </cfRule>
  </conditionalFormatting>
  <conditionalFormatting sqref="B569:B570">
    <cfRule type="notContainsBlanks" dxfId="3" priority="566">
      <formula>LEN(TRIM(B569))&gt;0</formula>
    </cfRule>
  </conditionalFormatting>
  <conditionalFormatting sqref="I566:I568">
    <cfRule type="expression" dxfId="1" priority="567">
      <formula>"countif(I:I, I4)&gt;1"</formula>
    </cfRule>
  </conditionalFormatting>
  <conditionalFormatting sqref="A566:A568">
    <cfRule type="containsBlanks" dxfId="6" priority="568">
      <formula>LEN(TRIM(A566))=0</formula>
    </cfRule>
  </conditionalFormatting>
  <conditionalFormatting sqref="B566:B568">
    <cfRule type="notContainsBlanks" dxfId="3" priority="569">
      <formula>LEN(TRIM(B566))&gt;0</formula>
    </cfRule>
  </conditionalFormatting>
  <conditionalFormatting sqref="I565">
    <cfRule type="expression" dxfId="1" priority="570">
      <formula>"countif(I:I, I4)&gt;1"</formula>
    </cfRule>
  </conditionalFormatting>
  <conditionalFormatting sqref="A565">
    <cfRule type="containsBlanks" dxfId="6" priority="571">
      <formula>LEN(TRIM(A565))=0</formula>
    </cfRule>
  </conditionalFormatting>
  <conditionalFormatting sqref="B565">
    <cfRule type="notContainsBlanks" dxfId="3" priority="572">
      <formula>LEN(TRIM(B565))&gt;0</formula>
    </cfRule>
  </conditionalFormatting>
  <conditionalFormatting sqref="I556:I564">
    <cfRule type="expression" dxfId="1" priority="573">
      <formula>"countif(I:I, I4)&gt;1"</formula>
    </cfRule>
  </conditionalFormatting>
  <conditionalFormatting sqref="A556:A564">
    <cfRule type="containsBlanks" dxfId="6" priority="574">
      <formula>LEN(TRIM(A556))=0</formula>
    </cfRule>
  </conditionalFormatting>
  <conditionalFormatting sqref="B556:B564">
    <cfRule type="notContainsBlanks" dxfId="3" priority="575">
      <formula>LEN(TRIM(B556))&gt;0</formula>
    </cfRule>
  </conditionalFormatting>
  <conditionalFormatting sqref="C554:H554 I550:I555 J554:L554">
    <cfRule type="expression" dxfId="1" priority="576">
      <formula>"countif(I:I, I4)&gt;1"</formula>
    </cfRule>
  </conditionalFormatting>
  <conditionalFormatting sqref="A550:A555">
    <cfRule type="containsBlanks" dxfId="6" priority="577">
      <formula>LEN(TRIM(A550))=0</formula>
    </cfRule>
  </conditionalFormatting>
  <conditionalFormatting sqref="B550:B555">
    <cfRule type="notContainsBlanks" dxfId="3" priority="578">
      <formula>LEN(TRIM(B550))&gt;0</formula>
    </cfRule>
  </conditionalFormatting>
  <conditionalFormatting sqref="I546:I549">
    <cfRule type="expression" dxfId="1" priority="579">
      <formula>"countif(I:I, I4)&gt;1"</formula>
    </cfRule>
  </conditionalFormatting>
  <conditionalFormatting sqref="A546:A549">
    <cfRule type="containsBlanks" dxfId="6" priority="580">
      <formula>LEN(TRIM(A546))=0</formula>
    </cfRule>
  </conditionalFormatting>
  <conditionalFormatting sqref="B546:B549">
    <cfRule type="notContainsBlanks" dxfId="3" priority="581">
      <formula>LEN(TRIM(B546))&gt;0</formula>
    </cfRule>
  </conditionalFormatting>
  <conditionalFormatting sqref="I545">
    <cfRule type="expression" dxfId="1" priority="582">
      <formula>"countif(I:I, I4)&gt;1"</formula>
    </cfRule>
  </conditionalFormatting>
  <conditionalFormatting sqref="A545">
    <cfRule type="containsBlanks" dxfId="6" priority="583">
      <formula>LEN(TRIM(A545))=0</formula>
    </cfRule>
  </conditionalFormatting>
  <conditionalFormatting sqref="B545">
    <cfRule type="notContainsBlanks" dxfId="3" priority="584">
      <formula>LEN(TRIM(B545))&gt;0</formula>
    </cfRule>
  </conditionalFormatting>
  <conditionalFormatting sqref="I535:I544">
    <cfRule type="expression" dxfId="1" priority="585">
      <formula>"countif(I:I, I4)&gt;1"</formula>
    </cfRule>
  </conditionalFormatting>
  <conditionalFormatting sqref="A533:A544">
    <cfRule type="containsBlanks" dxfId="6" priority="586">
      <formula>LEN(TRIM(A533))=0</formula>
    </cfRule>
  </conditionalFormatting>
  <conditionalFormatting sqref="B533:B544">
    <cfRule type="notContainsBlanks" dxfId="3" priority="587">
      <formula>LEN(TRIM(B533))&gt;0</formula>
    </cfRule>
  </conditionalFormatting>
  <conditionalFormatting sqref="I526:I529">
    <cfRule type="expression" dxfId="1" priority="588">
      <formula>"countif(I:I, I4)&gt;1"</formula>
    </cfRule>
  </conditionalFormatting>
  <conditionalFormatting sqref="A525:A532">
    <cfRule type="containsBlanks" dxfId="6" priority="589">
      <formula>LEN(TRIM(A525))=0</formula>
    </cfRule>
  </conditionalFormatting>
  <conditionalFormatting sqref="B525:B532">
    <cfRule type="notContainsBlanks" dxfId="3" priority="590">
      <formula>LEN(TRIM(B525))&gt;0</formula>
    </cfRule>
  </conditionalFormatting>
  <conditionalFormatting sqref="I521:I524">
    <cfRule type="expression" dxfId="1" priority="591">
      <formula>"countif(I:I, I4)&gt;1"</formula>
    </cfRule>
  </conditionalFormatting>
  <conditionalFormatting sqref="A521:A524">
    <cfRule type="containsBlanks" dxfId="6" priority="592">
      <formula>LEN(TRIM(A521))=0</formula>
    </cfRule>
  </conditionalFormatting>
  <conditionalFormatting sqref="B521:B524">
    <cfRule type="notContainsBlanks" dxfId="3" priority="593">
      <formula>LEN(TRIM(B521))&gt;0</formula>
    </cfRule>
  </conditionalFormatting>
  <conditionalFormatting sqref="I514:I520">
    <cfRule type="expression" dxfId="1" priority="594">
      <formula>"countif(I:I, I4)&gt;1"</formula>
    </cfRule>
  </conditionalFormatting>
  <conditionalFormatting sqref="A514:A520">
    <cfRule type="containsBlanks" dxfId="6" priority="595">
      <formula>LEN(TRIM(A514))=0</formula>
    </cfRule>
  </conditionalFormatting>
  <conditionalFormatting sqref="B514:B520">
    <cfRule type="notContainsBlanks" dxfId="3" priority="596">
      <formula>LEN(TRIM(B514))&gt;0</formula>
    </cfRule>
  </conditionalFormatting>
  <conditionalFormatting sqref="I499:I513">
    <cfRule type="expression" dxfId="1" priority="597">
      <formula>"countif(I:I, I4)&gt;1"</formula>
    </cfRule>
  </conditionalFormatting>
  <conditionalFormatting sqref="A499:A513">
    <cfRule type="containsBlanks" dxfId="6" priority="598">
      <formula>LEN(TRIM(A499))=0</formula>
    </cfRule>
  </conditionalFormatting>
  <conditionalFormatting sqref="B499:B513">
    <cfRule type="notContainsBlanks" dxfId="3" priority="599">
      <formula>LEN(TRIM(B499))&gt;0</formula>
    </cfRule>
  </conditionalFormatting>
  <conditionalFormatting sqref="I488:I498">
    <cfRule type="expression" dxfId="1" priority="600">
      <formula>"countif(I:I, I4)&gt;1"</formula>
    </cfRule>
  </conditionalFormatting>
  <conditionalFormatting sqref="A488:A498">
    <cfRule type="containsBlanks" dxfId="6" priority="601">
      <formula>LEN(TRIM(A488))=0</formula>
    </cfRule>
  </conditionalFormatting>
  <conditionalFormatting sqref="B488:B498">
    <cfRule type="notContainsBlanks" dxfId="3" priority="602">
      <formula>LEN(TRIM(B488))&gt;0</formula>
    </cfRule>
  </conditionalFormatting>
  <conditionalFormatting sqref="I480:I483 I486:I487">
    <cfRule type="expression" dxfId="1" priority="603">
      <formula>"countif(I:I, I4)&gt;1"</formula>
    </cfRule>
  </conditionalFormatting>
  <conditionalFormatting sqref="A480:A487">
    <cfRule type="containsBlanks" dxfId="6" priority="604">
      <formula>LEN(TRIM(A480))=0</formula>
    </cfRule>
  </conditionalFormatting>
  <conditionalFormatting sqref="B480:B487">
    <cfRule type="notContainsBlanks" dxfId="3" priority="605">
      <formula>LEN(TRIM(B480))&gt;0</formula>
    </cfRule>
  </conditionalFormatting>
  <conditionalFormatting sqref="I478:I479">
    <cfRule type="expression" dxfId="1" priority="606">
      <formula>"countif(I:I, I4)&gt;1"</formula>
    </cfRule>
  </conditionalFormatting>
  <conditionalFormatting sqref="A478:A479">
    <cfRule type="containsBlanks" dxfId="6" priority="607">
      <formula>LEN(TRIM(A478))=0</formula>
    </cfRule>
  </conditionalFormatting>
  <conditionalFormatting sqref="B478:B479">
    <cfRule type="notContainsBlanks" dxfId="3" priority="608">
      <formula>LEN(TRIM(B478))&gt;0</formula>
    </cfRule>
  </conditionalFormatting>
  <conditionalFormatting sqref="I473:I477">
    <cfRule type="expression" dxfId="1" priority="609">
      <formula>"countif(I:I, I4)&gt;1"</formula>
    </cfRule>
  </conditionalFormatting>
  <conditionalFormatting sqref="A473:A477">
    <cfRule type="containsBlanks" dxfId="6" priority="610">
      <formula>LEN(TRIM(A473))=0</formula>
    </cfRule>
  </conditionalFormatting>
  <conditionalFormatting sqref="B473:B477">
    <cfRule type="notContainsBlanks" dxfId="3" priority="611">
      <formula>LEN(TRIM(B473))&gt;0</formula>
    </cfRule>
  </conditionalFormatting>
  <conditionalFormatting sqref="I460:I472">
    <cfRule type="expression" dxfId="1" priority="612">
      <formula>"countif(I:I, I4)&gt;1"</formula>
    </cfRule>
  </conditionalFormatting>
  <conditionalFormatting sqref="A460:A472">
    <cfRule type="containsBlanks" dxfId="6" priority="613">
      <formula>LEN(TRIM(A460))=0</formula>
    </cfRule>
  </conditionalFormatting>
  <conditionalFormatting sqref="B460:B472">
    <cfRule type="notContainsBlanks" dxfId="3" priority="614">
      <formula>LEN(TRIM(B460))&gt;0</formula>
    </cfRule>
  </conditionalFormatting>
  <conditionalFormatting sqref="I456:I459">
    <cfRule type="expression" dxfId="1" priority="615">
      <formula>"countif(I:I, I4)&gt;1"</formula>
    </cfRule>
  </conditionalFormatting>
  <conditionalFormatting sqref="A456:A459">
    <cfRule type="containsBlanks" dxfId="6" priority="616">
      <formula>LEN(TRIM(A456))=0</formula>
    </cfRule>
  </conditionalFormatting>
  <conditionalFormatting sqref="B456:B459">
    <cfRule type="notContainsBlanks" dxfId="3" priority="617">
      <formula>LEN(TRIM(B456))&gt;0</formula>
    </cfRule>
  </conditionalFormatting>
  <conditionalFormatting sqref="I454">
    <cfRule type="expression" dxfId="1" priority="618">
      <formula>"countif(I:I, I4)&gt;1"</formula>
    </cfRule>
  </conditionalFormatting>
  <conditionalFormatting sqref="A454:A455">
    <cfRule type="containsBlanks" dxfId="6" priority="619">
      <formula>LEN(TRIM(A454))=0</formula>
    </cfRule>
  </conditionalFormatting>
  <conditionalFormatting sqref="B454:B455">
    <cfRule type="notContainsBlanks" dxfId="3" priority="620">
      <formula>LEN(TRIM(B454))&gt;0</formula>
    </cfRule>
  </conditionalFormatting>
  <conditionalFormatting sqref="I448:I453">
    <cfRule type="expression" dxfId="1" priority="621">
      <formula>"countif(I:I, I4)&gt;1"</formula>
    </cfRule>
  </conditionalFormatting>
  <conditionalFormatting sqref="A448:A453">
    <cfRule type="containsBlanks" dxfId="6" priority="622">
      <formula>LEN(TRIM(A448))=0</formula>
    </cfRule>
  </conditionalFormatting>
  <conditionalFormatting sqref="B448:B453">
    <cfRule type="notContainsBlanks" dxfId="3" priority="623">
      <formula>LEN(TRIM(B448))&gt;0</formula>
    </cfRule>
  </conditionalFormatting>
  <conditionalFormatting sqref="I443:I447">
    <cfRule type="expression" dxfId="1" priority="624">
      <formula>"countif(I:I, I4)&gt;1"</formula>
    </cfRule>
  </conditionalFormatting>
  <conditionalFormatting sqref="A443:A447">
    <cfRule type="containsBlanks" dxfId="6" priority="625">
      <formula>LEN(TRIM(A443))=0</formula>
    </cfRule>
  </conditionalFormatting>
  <conditionalFormatting sqref="B443:B447">
    <cfRule type="notContainsBlanks" dxfId="3" priority="626">
      <formula>LEN(TRIM(B443))&gt;0</formula>
    </cfRule>
  </conditionalFormatting>
  <conditionalFormatting sqref="A442">
    <cfRule type="containsBlanks" dxfId="6" priority="627">
      <formula>LEN(TRIM(A442))=0</formula>
    </cfRule>
  </conditionalFormatting>
  <conditionalFormatting sqref="B442">
    <cfRule type="notContainsBlanks" dxfId="3" priority="628">
      <formula>LEN(TRIM(B442))&gt;0</formula>
    </cfRule>
  </conditionalFormatting>
  <conditionalFormatting sqref="I432:I440">
    <cfRule type="expression" dxfId="1" priority="629">
      <formula>"countif(I:I, I4)&gt;1"</formula>
    </cfRule>
  </conditionalFormatting>
  <conditionalFormatting sqref="A432:A441">
    <cfRule type="containsBlanks" dxfId="6" priority="630">
      <formula>LEN(TRIM(A432))=0</formula>
    </cfRule>
  </conditionalFormatting>
  <conditionalFormatting sqref="B432:B441">
    <cfRule type="notContainsBlanks" dxfId="3" priority="631">
      <formula>LEN(TRIM(B432))&gt;0</formula>
    </cfRule>
  </conditionalFormatting>
  <conditionalFormatting sqref="I424:I431">
    <cfRule type="expression" dxfId="1" priority="632">
      <formula>"countif(I:I, I4)&gt;1"</formula>
    </cfRule>
  </conditionalFormatting>
  <conditionalFormatting sqref="A424:A431">
    <cfRule type="containsBlanks" dxfId="6" priority="633">
      <formula>LEN(TRIM(A424))=0</formula>
    </cfRule>
  </conditionalFormatting>
  <conditionalFormatting sqref="B424:B431">
    <cfRule type="notContainsBlanks" dxfId="3" priority="634">
      <formula>LEN(TRIM(B424))&gt;0</formula>
    </cfRule>
  </conditionalFormatting>
  <conditionalFormatting sqref="I420:I423">
    <cfRule type="expression" dxfId="1" priority="635">
      <formula>"countif(I:I, I4)&gt;1"</formula>
    </cfRule>
  </conditionalFormatting>
  <conditionalFormatting sqref="A420:A423">
    <cfRule type="containsBlanks" dxfId="6" priority="636">
      <formula>LEN(TRIM(A420))=0</formula>
    </cfRule>
  </conditionalFormatting>
  <conditionalFormatting sqref="B420:B423">
    <cfRule type="notContainsBlanks" dxfId="3" priority="637">
      <formula>LEN(TRIM(B420))&gt;0</formula>
    </cfRule>
  </conditionalFormatting>
  <conditionalFormatting sqref="I416:I419">
    <cfRule type="expression" dxfId="1" priority="638">
      <formula>"countif(I:I, I4)&gt;1"</formula>
    </cfRule>
  </conditionalFormatting>
  <conditionalFormatting sqref="A416:A419">
    <cfRule type="containsBlanks" dxfId="6" priority="639">
      <formula>LEN(TRIM(A416))=0</formula>
    </cfRule>
  </conditionalFormatting>
  <conditionalFormatting sqref="B416:B419">
    <cfRule type="notContainsBlanks" dxfId="3" priority="640">
      <formula>LEN(TRIM(B416))&gt;0</formula>
    </cfRule>
  </conditionalFormatting>
  <conditionalFormatting sqref="I413:I415">
    <cfRule type="expression" dxfId="1" priority="641">
      <formula>"countif(I:I, I4)&gt;1"</formula>
    </cfRule>
  </conditionalFormatting>
  <conditionalFormatting sqref="A413:A415">
    <cfRule type="containsBlanks" dxfId="6" priority="642">
      <formula>LEN(TRIM(A413))=0</formula>
    </cfRule>
  </conditionalFormatting>
  <conditionalFormatting sqref="B413:B415">
    <cfRule type="notContainsBlanks" dxfId="3" priority="643">
      <formula>LEN(TRIM(B413))&gt;0</formula>
    </cfRule>
  </conditionalFormatting>
  <conditionalFormatting sqref="I381:I412">
    <cfRule type="expression" dxfId="1" priority="644">
      <formula>"countif(I:I, I4)&gt;1"</formula>
    </cfRule>
  </conditionalFormatting>
  <conditionalFormatting sqref="A381:A412">
    <cfRule type="containsBlanks" dxfId="6" priority="645">
      <formula>LEN(TRIM(A381))=0</formula>
    </cfRule>
  </conditionalFormatting>
  <conditionalFormatting sqref="B381:B412">
    <cfRule type="notContainsBlanks" dxfId="3" priority="646">
      <formula>LEN(TRIM(B381))&gt;0</formula>
    </cfRule>
  </conditionalFormatting>
  <conditionalFormatting sqref="I370:I375 I377:I380">
    <cfRule type="expression" dxfId="1" priority="647">
      <formula>"countif(I:I, I4)&gt;1"</formula>
    </cfRule>
  </conditionalFormatting>
  <conditionalFormatting sqref="A370:A380">
    <cfRule type="containsBlanks" dxfId="6" priority="648">
      <formula>LEN(TRIM(A370))=0</formula>
    </cfRule>
  </conditionalFormatting>
  <conditionalFormatting sqref="B370:B380">
    <cfRule type="notContainsBlanks" dxfId="3" priority="649">
      <formula>LEN(TRIM(B370))&gt;0</formula>
    </cfRule>
  </conditionalFormatting>
  <conditionalFormatting sqref="I368:I369">
    <cfRule type="expression" dxfId="1" priority="650">
      <formula>"countif(I:I, I4)&gt;1"</formula>
    </cfRule>
  </conditionalFormatting>
  <conditionalFormatting sqref="A368:A369">
    <cfRule type="containsBlanks" dxfId="6" priority="651">
      <formula>LEN(TRIM(A368))=0</formula>
    </cfRule>
  </conditionalFormatting>
  <conditionalFormatting sqref="B368:B369">
    <cfRule type="notContainsBlanks" dxfId="3" priority="652">
      <formula>LEN(TRIM(B368))&gt;0</formula>
    </cfRule>
  </conditionalFormatting>
  <conditionalFormatting sqref="I367">
    <cfRule type="expression" dxfId="1" priority="653">
      <formula>"countif(I:I, I4)&gt;1"</formula>
    </cfRule>
  </conditionalFormatting>
  <conditionalFormatting sqref="A367">
    <cfRule type="containsBlanks" dxfId="6" priority="654">
      <formula>LEN(TRIM(A367))=0</formula>
    </cfRule>
  </conditionalFormatting>
  <conditionalFormatting sqref="B367">
    <cfRule type="notContainsBlanks" dxfId="3" priority="655">
      <formula>LEN(TRIM(B367))&gt;0</formula>
    </cfRule>
  </conditionalFormatting>
  <conditionalFormatting sqref="I318:I366">
    <cfRule type="expression" dxfId="1" priority="656">
      <formula>"countif(I:I, I4)&gt;1"</formula>
    </cfRule>
  </conditionalFormatting>
  <conditionalFormatting sqref="J364">
    <cfRule type="containsText" dxfId="5" priority="657" operator="containsText" text="Chốt">
      <formula>NOT(ISERROR(SEARCH(("Chốt"),(J364))))</formula>
    </cfRule>
  </conditionalFormatting>
  <conditionalFormatting sqref="A318:A366">
    <cfRule type="containsBlanks" dxfId="6" priority="658">
      <formula>LEN(TRIM(A318))=0</formula>
    </cfRule>
  </conditionalFormatting>
  <conditionalFormatting sqref="B318:B366">
    <cfRule type="notContainsBlanks" dxfId="3" priority="659">
      <formula>LEN(TRIM(B318))&gt;0</formula>
    </cfRule>
  </conditionalFormatting>
  <conditionalFormatting sqref="I310:I317">
    <cfRule type="expression" dxfId="1" priority="660">
      <formula>"countif(I:I, I4)&gt;1"</formula>
    </cfRule>
  </conditionalFormatting>
  <conditionalFormatting sqref="A310:A317">
    <cfRule type="containsBlanks" dxfId="6" priority="661">
      <formula>LEN(TRIM(A310))=0</formula>
    </cfRule>
  </conditionalFormatting>
  <conditionalFormatting sqref="B310:B317">
    <cfRule type="notContainsBlanks" dxfId="3" priority="662">
      <formula>LEN(TRIM(B310))&gt;0</formula>
    </cfRule>
  </conditionalFormatting>
  <conditionalFormatting sqref="I307:I309">
    <cfRule type="expression" dxfId="1" priority="663">
      <formula>"countif(I:I, I4)&gt;1"</formula>
    </cfRule>
  </conditionalFormatting>
  <conditionalFormatting sqref="A307:A309">
    <cfRule type="containsBlanks" dxfId="6" priority="664">
      <formula>LEN(TRIM(A307))=0</formula>
    </cfRule>
  </conditionalFormatting>
  <conditionalFormatting sqref="B307:B309">
    <cfRule type="notContainsBlanks" dxfId="3" priority="665">
      <formula>LEN(TRIM(B307))&gt;0</formula>
    </cfRule>
  </conditionalFormatting>
  <conditionalFormatting sqref="I289:I306">
    <cfRule type="expression" dxfId="1" priority="666">
      <formula>"countif(I:I, I4)&gt;1"</formula>
    </cfRule>
  </conditionalFormatting>
  <conditionalFormatting sqref="A289:A306">
    <cfRule type="containsBlanks" dxfId="6" priority="667">
      <formula>LEN(TRIM(A289))=0</formula>
    </cfRule>
  </conditionalFormatting>
  <conditionalFormatting sqref="B289:B306">
    <cfRule type="notContainsBlanks" dxfId="3" priority="668">
      <formula>LEN(TRIM(B289))&gt;0</formula>
    </cfRule>
  </conditionalFormatting>
  <conditionalFormatting sqref="I288">
    <cfRule type="expression" dxfId="1" priority="669">
      <formula>"countif(I:I, I4)&gt;1"</formula>
    </cfRule>
  </conditionalFormatting>
  <conditionalFormatting sqref="A288">
    <cfRule type="containsBlanks" dxfId="6" priority="670">
      <formula>LEN(TRIM(A288))=0</formula>
    </cfRule>
  </conditionalFormatting>
  <conditionalFormatting sqref="B288">
    <cfRule type="notContainsBlanks" dxfId="3" priority="671">
      <formula>LEN(TRIM(B288))&gt;0</formula>
    </cfRule>
  </conditionalFormatting>
  <conditionalFormatting sqref="I274:I287">
    <cfRule type="expression" dxfId="1" priority="672">
      <formula>"countif(I:I, I4)&gt;1"</formula>
    </cfRule>
  </conditionalFormatting>
  <conditionalFormatting sqref="A274:A287">
    <cfRule type="containsBlanks" dxfId="6" priority="673">
      <formula>LEN(TRIM(A274))=0</formula>
    </cfRule>
  </conditionalFormatting>
  <conditionalFormatting sqref="B274:B287">
    <cfRule type="notContainsBlanks" dxfId="3" priority="674">
      <formula>LEN(TRIM(B274))&gt;0</formula>
    </cfRule>
  </conditionalFormatting>
  <conditionalFormatting sqref="I265:I273">
    <cfRule type="expression" dxfId="1" priority="675">
      <formula>"countif(I:I, I4)&gt;1"</formula>
    </cfRule>
  </conditionalFormatting>
  <conditionalFormatting sqref="A265:A273">
    <cfRule type="containsBlanks" dxfId="6" priority="676">
      <formula>LEN(TRIM(A265))=0</formula>
    </cfRule>
  </conditionalFormatting>
  <conditionalFormatting sqref="B265:B273">
    <cfRule type="notContainsBlanks" dxfId="3" priority="677">
      <formula>LEN(TRIM(B265))&gt;0</formula>
    </cfRule>
  </conditionalFormatting>
  <conditionalFormatting sqref="I255:I264">
    <cfRule type="expression" dxfId="1" priority="678">
      <formula>"countif(I:I, I4)&gt;1"</formula>
    </cfRule>
  </conditionalFormatting>
  <conditionalFormatting sqref="A255:A264">
    <cfRule type="containsBlanks" dxfId="6" priority="679">
      <formula>LEN(TRIM(A255))=0</formula>
    </cfRule>
  </conditionalFormatting>
  <conditionalFormatting sqref="B255:B264">
    <cfRule type="notContainsBlanks" dxfId="3" priority="680">
      <formula>LEN(TRIM(B255))&gt;0</formula>
    </cfRule>
  </conditionalFormatting>
  <conditionalFormatting sqref="I245:I254">
    <cfRule type="expression" dxfId="1" priority="681">
      <formula>"countif(I:I, I4)&gt;1"</formula>
    </cfRule>
  </conditionalFormatting>
  <conditionalFormatting sqref="A245:A254">
    <cfRule type="containsBlanks" dxfId="6" priority="682">
      <formula>LEN(TRIM(A245))=0</formula>
    </cfRule>
  </conditionalFormatting>
  <conditionalFormatting sqref="B245:B254">
    <cfRule type="notContainsBlanks" dxfId="3" priority="683">
      <formula>LEN(TRIM(B245))&gt;0</formula>
    </cfRule>
  </conditionalFormatting>
  <conditionalFormatting sqref="I243:I244">
    <cfRule type="expression" dxfId="1" priority="684">
      <formula>"countif(I:I, I4)&gt;1"</formula>
    </cfRule>
  </conditionalFormatting>
  <conditionalFormatting sqref="A243:A244">
    <cfRule type="containsBlanks" dxfId="6" priority="685">
      <formula>LEN(TRIM(A243))=0</formula>
    </cfRule>
  </conditionalFormatting>
  <conditionalFormatting sqref="B243:B244">
    <cfRule type="notContainsBlanks" dxfId="3" priority="686">
      <formula>LEN(TRIM(B243))&gt;0</formula>
    </cfRule>
  </conditionalFormatting>
  <conditionalFormatting sqref="I242">
    <cfRule type="expression" dxfId="1" priority="687">
      <formula>"countif(I:I, I4)&gt;1"</formula>
    </cfRule>
  </conditionalFormatting>
  <conditionalFormatting sqref="A242">
    <cfRule type="containsBlanks" dxfId="6" priority="688">
      <formula>LEN(TRIM(A242))=0</formula>
    </cfRule>
  </conditionalFormatting>
  <conditionalFormatting sqref="B242">
    <cfRule type="notContainsBlanks" dxfId="3" priority="689">
      <formula>LEN(TRIM(B242))&gt;0</formula>
    </cfRule>
  </conditionalFormatting>
  <conditionalFormatting sqref="I237:I241">
    <cfRule type="expression" dxfId="1" priority="690">
      <formula>"countif(I:I, I4)&gt;1"</formula>
    </cfRule>
  </conditionalFormatting>
  <conditionalFormatting sqref="A237:A241">
    <cfRule type="containsBlanks" dxfId="6" priority="691">
      <formula>LEN(TRIM(A237))=0</formula>
    </cfRule>
  </conditionalFormatting>
  <conditionalFormatting sqref="B237:B241">
    <cfRule type="notContainsBlanks" dxfId="3" priority="692">
      <formula>LEN(TRIM(B237))&gt;0</formula>
    </cfRule>
  </conditionalFormatting>
  <conditionalFormatting sqref="I227:I236">
    <cfRule type="expression" dxfId="1" priority="693">
      <formula>"countif(I:I, I4)&gt;1"</formula>
    </cfRule>
  </conditionalFormatting>
  <conditionalFormatting sqref="A227:A236">
    <cfRule type="containsBlanks" dxfId="6" priority="694">
      <formula>LEN(TRIM(A227))=0</formula>
    </cfRule>
  </conditionalFormatting>
  <conditionalFormatting sqref="B227:B236">
    <cfRule type="notContainsBlanks" dxfId="3" priority="695">
      <formula>LEN(TRIM(B227))&gt;0</formula>
    </cfRule>
  </conditionalFormatting>
  <conditionalFormatting sqref="I225:I226">
    <cfRule type="expression" dxfId="1" priority="696">
      <formula>"countif(I:I, I4)&gt;1"</formula>
    </cfRule>
  </conditionalFormatting>
  <conditionalFormatting sqref="A225:A226">
    <cfRule type="containsBlanks" dxfId="6" priority="697">
      <formula>LEN(TRIM(A225))=0</formula>
    </cfRule>
  </conditionalFormatting>
  <conditionalFormatting sqref="B225:B226">
    <cfRule type="notContainsBlanks" dxfId="3" priority="698">
      <formula>LEN(TRIM(B225))&gt;0</formula>
    </cfRule>
  </conditionalFormatting>
  <conditionalFormatting sqref="I222:I224">
    <cfRule type="expression" dxfId="1" priority="699">
      <formula>"countif(I:I, I4)&gt;1"</formula>
    </cfRule>
  </conditionalFormatting>
  <conditionalFormatting sqref="A222:A224">
    <cfRule type="containsBlanks" dxfId="6" priority="700">
      <formula>LEN(TRIM(A222))=0</formula>
    </cfRule>
  </conditionalFormatting>
  <conditionalFormatting sqref="B222:B224">
    <cfRule type="notContainsBlanks" dxfId="3" priority="701">
      <formula>LEN(TRIM(B222))&gt;0</formula>
    </cfRule>
  </conditionalFormatting>
  <conditionalFormatting sqref="I221">
    <cfRule type="expression" dxfId="1" priority="702">
      <formula>"countif(I:I, I4)&gt;1"</formula>
    </cfRule>
  </conditionalFormatting>
  <conditionalFormatting sqref="A221">
    <cfRule type="containsBlanks" dxfId="6" priority="703">
      <formula>LEN(TRIM(A221))=0</formula>
    </cfRule>
  </conditionalFormatting>
  <conditionalFormatting sqref="B221">
    <cfRule type="notContainsBlanks" dxfId="3" priority="704">
      <formula>LEN(TRIM(B221))&gt;0</formula>
    </cfRule>
  </conditionalFormatting>
  <conditionalFormatting sqref="I215:I220">
    <cfRule type="expression" dxfId="1" priority="705">
      <formula>"countif(I:I, I4)&gt;1"</formula>
    </cfRule>
  </conditionalFormatting>
  <conditionalFormatting sqref="A215:A220">
    <cfRule type="containsBlanks" dxfId="6" priority="706">
      <formula>LEN(TRIM(A215))=0</formula>
    </cfRule>
  </conditionalFormatting>
  <conditionalFormatting sqref="B215:B220">
    <cfRule type="notContainsBlanks" dxfId="3" priority="707">
      <formula>LEN(TRIM(B215))&gt;0</formula>
    </cfRule>
  </conditionalFormatting>
  <conditionalFormatting sqref="I214">
    <cfRule type="expression" dxfId="1" priority="708">
      <formula>"countif(I:I, I4)&gt;1"</formula>
    </cfRule>
  </conditionalFormatting>
  <conditionalFormatting sqref="A214">
    <cfRule type="containsBlanks" dxfId="6" priority="709">
      <formula>LEN(TRIM(A214))=0</formula>
    </cfRule>
  </conditionalFormatting>
  <conditionalFormatting sqref="B214">
    <cfRule type="notContainsBlanks" dxfId="3" priority="710">
      <formula>LEN(TRIM(B214))&gt;0</formula>
    </cfRule>
  </conditionalFormatting>
  <conditionalFormatting sqref="I208:I213">
    <cfRule type="expression" dxfId="1" priority="711">
      <formula>"countif(I:I, I4)&gt;1"</formula>
    </cfRule>
  </conditionalFormatting>
  <conditionalFormatting sqref="A208:A213">
    <cfRule type="containsBlanks" dxfId="6" priority="712">
      <formula>LEN(TRIM(A208))=0</formula>
    </cfRule>
  </conditionalFormatting>
  <conditionalFormatting sqref="B208:B213">
    <cfRule type="notContainsBlanks" dxfId="3" priority="713">
      <formula>LEN(TRIM(B208))&gt;0</formula>
    </cfRule>
  </conditionalFormatting>
  <conditionalFormatting sqref="I197:I207">
    <cfRule type="expression" dxfId="1" priority="714">
      <formula>"countif(I:I, I4)&gt;1"</formula>
    </cfRule>
  </conditionalFormatting>
  <conditionalFormatting sqref="A197:A207">
    <cfRule type="containsBlanks" dxfId="6" priority="715">
      <formula>LEN(TRIM(A197))=0</formula>
    </cfRule>
  </conditionalFormatting>
  <conditionalFormatting sqref="B197:B207">
    <cfRule type="notContainsBlanks" dxfId="3" priority="716">
      <formula>LEN(TRIM(B197))&gt;0</formula>
    </cfRule>
  </conditionalFormatting>
  <conditionalFormatting sqref="I190:I196">
    <cfRule type="expression" dxfId="1" priority="717">
      <formula>"countif(I:I, I4)&gt;1"</formula>
    </cfRule>
  </conditionalFormatting>
  <conditionalFormatting sqref="A190:A196">
    <cfRule type="containsBlanks" dxfId="6" priority="718">
      <formula>LEN(TRIM(A190))=0</formula>
    </cfRule>
  </conditionalFormatting>
  <conditionalFormatting sqref="B190:B196">
    <cfRule type="notContainsBlanks" dxfId="3" priority="719">
      <formula>LEN(TRIM(B190))&gt;0</formula>
    </cfRule>
  </conditionalFormatting>
  <conditionalFormatting sqref="I183:I189">
    <cfRule type="expression" dxfId="1" priority="720">
      <formula>"countif(I:I, I4)&gt;1"</formula>
    </cfRule>
  </conditionalFormatting>
  <conditionalFormatting sqref="A183:A189">
    <cfRule type="containsBlanks" dxfId="6" priority="721">
      <formula>LEN(TRIM(A183))=0</formula>
    </cfRule>
  </conditionalFormatting>
  <conditionalFormatting sqref="B183:B189">
    <cfRule type="notContainsBlanks" dxfId="3" priority="722">
      <formula>LEN(TRIM(B183))&gt;0</formula>
    </cfRule>
  </conditionalFormatting>
  <conditionalFormatting sqref="I177:I182">
    <cfRule type="expression" dxfId="1" priority="723">
      <formula>"countif(I:I, I4)&gt;1"</formula>
    </cfRule>
  </conditionalFormatting>
  <conditionalFormatting sqref="A177:A182">
    <cfRule type="containsBlanks" dxfId="6" priority="724">
      <formula>LEN(TRIM(A177))=0</formula>
    </cfRule>
  </conditionalFormatting>
  <conditionalFormatting sqref="B177:B182">
    <cfRule type="notContainsBlanks" dxfId="3" priority="725">
      <formula>LEN(TRIM(B177))&gt;0</formula>
    </cfRule>
  </conditionalFormatting>
  <conditionalFormatting sqref="I176">
    <cfRule type="expression" dxfId="1" priority="726">
      <formula>"countif(I:I, I4)&gt;1"</formula>
    </cfRule>
  </conditionalFormatting>
  <conditionalFormatting sqref="A176">
    <cfRule type="containsBlanks" dxfId="6" priority="727">
      <formula>LEN(TRIM(A176))=0</formula>
    </cfRule>
  </conditionalFormatting>
  <conditionalFormatting sqref="B176">
    <cfRule type="notContainsBlanks" dxfId="3" priority="728">
      <formula>LEN(TRIM(B176))&gt;0</formula>
    </cfRule>
  </conditionalFormatting>
  <conditionalFormatting sqref="I170:I175">
    <cfRule type="expression" dxfId="1" priority="729">
      <formula>"countif(I:I, I4)&gt;1"</formula>
    </cfRule>
  </conditionalFormatting>
  <conditionalFormatting sqref="A170:A175">
    <cfRule type="containsBlanks" dxfId="6" priority="730">
      <formula>LEN(TRIM(A170))=0</formula>
    </cfRule>
  </conditionalFormatting>
  <conditionalFormatting sqref="B170:B175">
    <cfRule type="notContainsBlanks" dxfId="3" priority="731">
      <formula>LEN(TRIM(B170))&gt;0</formula>
    </cfRule>
  </conditionalFormatting>
  <conditionalFormatting sqref="I167:I169">
    <cfRule type="expression" dxfId="1" priority="732">
      <formula>"countif(I:I, I4)&gt;1"</formula>
    </cfRule>
  </conditionalFormatting>
  <conditionalFormatting sqref="A167:A169">
    <cfRule type="containsBlanks" dxfId="6" priority="733">
      <formula>LEN(TRIM(A167))=0</formula>
    </cfRule>
  </conditionalFormatting>
  <conditionalFormatting sqref="B167:B169">
    <cfRule type="notContainsBlanks" dxfId="3" priority="734">
      <formula>LEN(TRIM(B167))&gt;0</formula>
    </cfRule>
  </conditionalFormatting>
  <conditionalFormatting sqref="I165:I166">
    <cfRule type="expression" dxfId="1" priority="735">
      <formula>"countif(I:I, I4)&gt;1"</formula>
    </cfRule>
  </conditionalFormatting>
  <conditionalFormatting sqref="A165:A166">
    <cfRule type="containsBlanks" dxfId="6" priority="736">
      <formula>LEN(TRIM(A165))=0</formula>
    </cfRule>
  </conditionalFormatting>
  <conditionalFormatting sqref="B165:B166">
    <cfRule type="notContainsBlanks" dxfId="3" priority="737">
      <formula>LEN(TRIM(B165))&gt;0</formula>
    </cfRule>
  </conditionalFormatting>
  <conditionalFormatting sqref="I160:I164">
    <cfRule type="expression" dxfId="1" priority="738">
      <formula>"countif(I:I, I4)&gt;1"</formula>
    </cfRule>
  </conditionalFormatting>
  <conditionalFormatting sqref="A160:A164">
    <cfRule type="containsBlanks" dxfId="6" priority="739">
      <formula>LEN(TRIM(A160))=0</formula>
    </cfRule>
  </conditionalFormatting>
  <conditionalFormatting sqref="B160:B164">
    <cfRule type="notContainsBlanks" dxfId="3" priority="740">
      <formula>LEN(TRIM(B160))&gt;0</formula>
    </cfRule>
  </conditionalFormatting>
  <conditionalFormatting sqref="I151:I159">
    <cfRule type="expression" dxfId="1" priority="741">
      <formula>"countif(I:I, I4)&gt;1"</formula>
    </cfRule>
  </conditionalFormatting>
  <conditionalFormatting sqref="A151:A159">
    <cfRule type="containsBlanks" dxfId="6" priority="742">
      <formula>LEN(TRIM(A151))=0</formula>
    </cfRule>
  </conditionalFormatting>
  <conditionalFormatting sqref="B151:B159">
    <cfRule type="notContainsBlanks" dxfId="3" priority="743">
      <formula>LEN(TRIM(B151))&gt;0</formula>
    </cfRule>
  </conditionalFormatting>
  <conditionalFormatting sqref="I150">
    <cfRule type="expression" dxfId="1" priority="744">
      <formula>"countif(I:I, I4)&gt;1"</formula>
    </cfRule>
  </conditionalFormatting>
  <conditionalFormatting sqref="A150">
    <cfRule type="containsBlanks" dxfId="6" priority="745">
      <formula>LEN(TRIM(A150))=0</formula>
    </cfRule>
  </conditionalFormatting>
  <conditionalFormatting sqref="B150">
    <cfRule type="notContainsBlanks" dxfId="3" priority="746">
      <formula>LEN(TRIM(B150))&gt;0</formula>
    </cfRule>
  </conditionalFormatting>
  <conditionalFormatting sqref="I137:I149">
    <cfRule type="expression" dxfId="1" priority="747">
      <formula>"countif(I:I, I4)&gt;1"</formula>
    </cfRule>
  </conditionalFormatting>
  <conditionalFormatting sqref="A137:A149">
    <cfRule type="containsBlanks" dxfId="6" priority="748">
      <formula>LEN(TRIM(A137))=0</formula>
    </cfRule>
  </conditionalFormatting>
  <conditionalFormatting sqref="B137:B149">
    <cfRule type="notContainsBlanks" dxfId="3" priority="749">
      <formula>LEN(TRIM(B137))&gt;0</formula>
    </cfRule>
  </conditionalFormatting>
  <conditionalFormatting sqref="I135:I136">
    <cfRule type="expression" dxfId="1" priority="750">
      <formula>"countif(I:I, I4)&gt;1"</formula>
    </cfRule>
  </conditionalFormatting>
  <conditionalFormatting sqref="A135:A136">
    <cfRule type="containsBlanks" dxfId="6" priority="751">
      <formula>LEN(TRIM(A135))=0</formula>
    </cfRule>
  </conditionalFormatting>
  <conditionalFormatting sqref="B135:B136">
    <cfRule type="notContainsBlanks" dxfId="3" priority="752">
      <formula>LEN(TRIM(B135))&gt;0</formula>
    </cfRule>
  </conditionalFormatting>
  <conditionalFormatting sqref="I134">
    <cfRule type="expression" dxfId="1" priority="753">
      <formula>"countif(I:I, I4)&gt;1"</formula>
    </cfRule>
  </conditionalFormatting>
  <conditionalFormatting sqref="A134">
    <cfRule type="containsBlanks" dxfId="6" priority="754">
      <formula>LEN(TRIM(A134))=0</formula>
    </cfRule>
  </conditionalFormatting>
  <conditionalFormatting sqref="B134">
    <cfRule type="notContainsBlanks" dxfId="3" priority="755">
      <formula>LEN(TRIM(B134))&gt;0</formula>
    </cfRule>
  </conditionalFormatting>
  <conditionalFormatting sqref="I132:I133">
    <cfRule type="expression" dxfId="1" priority="756">
      <formula>"countif(I:I, I4)&gt;1"</formula>
    </cfRule>
  </conditionalFormatting>
  <conditionalFormatting sqref="A132:A133">
    <cfRule type="containsBlanks" dxfId="6" priority="757">
      <formula>LEN(TRIM(A132))=0</formula>
    </cfRule>
  </conditionalFormatting>
  <conditionalFormatting sqref="B132:B133">
    <cfRule type="notContainsBlanks" dxfId="3" priority="758">
      <formula>LEN(TRIM(B132))&gt;0</formula>
    </cfRule>
  </conditionalFormatting>
  <conditionalFormatting sqref="I130:I131">
    <cfRule type="expression" dxfId="1" priority="759">
      <formula>"countif(I:I, I4)&gt;1"</formula>
    </cfRule>
  </conditionalFormatting>
  <conditionalFormatting sqref="A130:A131">
    <cfRule type="containsBlanks" dxfId="6" priority="760">
      <formula>LEN(TRIM(A130))=0</formula>
    </cfRule>
  </conditionalFormatting>
  <conditionalFormatting sqref="B130:B131">
    <cfRule type="notContainsBlanks" dxfId="3" priority="761">
      <formula>LEN(TRIM(B130))&gt;0</formula>
    </cfRule>
  </conditionalFormatting>
  <conditionalFormatting sqref="I126:I129">
    <cfRule type="expression" dxfId="1" priority="762">
      <formula>"countif(I:I, I4)&gt;1"</formula>
    </cfRule>
  </conditionalFormatting>
  <conditionalFormatting sqref="A126:A129">
    <cfRule type="containsBlanks" dxfId="6" priority="763">
      <formula>LEN(TRIM(A126))=0</formula>
    </cfRule>
  </conditionalFormatting>
  <conditionalFormatting sqref="B126:B129">
    <cfRule type="notContainsBlanks" dxfId="3" priority="764">
      <formula>LEN(TRIM(B126))&gt;0</formula>
    </cfRule>
  </conditionalFormatting>
  <conditionalFormatting sqref="I113:I125">
    <cfRule type="expression" dxfId="1" priority="765">
      <formula>"countif(I:I, I4)&gt;1"</formula>
    </cfRule>
  </conditionalFormatting>
  <conditionalFormatting sqref="A113:A125">
    <cfRule type="containsBlanks" dxfId="6" priority="766">
      <formula>LEN(TRIM(A113))=0</formula>
    </cfRule>
  </conditionalFormatting>
  <conditionalFormatting sqref="B113:B125">
    <cfRule type="notContainsBlanks" dxfId="3" priority="767">
      <formula>LEN(TRIM(B113))&gt;0</formula>
    </cfRule>
  </conditionalFormatting>
  <conditionalFormatting sqref="I111:I112">
    <cfRule type="expression" dxfId="1" priority="768">
      <formula>"countif(I:I, I4)&gt;1"</formula>
    </cfRule>
  </conditionalFormatting>
  <conditionalFormatting sqref="A111:A112">
    <cfRule type="containsBlanks" dxfId="6" priority="769">
      <formula>LEN(TRIM(A111))=0</formula>
    </cfRule>
  </conditionalFormatting>
  <conditionalFormatting sqref="B111:B112">
    <cfRule type="notContainsBlanks" dxfId="3" priority="770">
      <formula>LEN(TRIM(B111))&gt;0</formula>
    </cfRule>
  </conditionalFormatting>
  <conditionalFormatting sqref="I100:I110">
    <cfRule type="expression" dxfId="1" priority="771">
      <formula>"countif(I:I, I4)&gt;1"</formula>
    </cfRule>
  </conditionalFormatting>
  <conditionalFormatting sqref="A100:A110">
    <cfRule type="containsBlanks" dxfId="6" priority="772">
      <formula>LEN(TRIM(A100))=0</formula>
    </cfRule>
  </conditionalFormatting>
  <conditionalFormatting sqref="B100:B110">
    <cfRule type="notContainsBlanks" dxfId="3" priority="773">
      <formula>LEN(TRIM(B100))&gt;0</formula>
    </cfRule>
  </conditionalFormatting>
  <conditionalFormatting sqref="I98:I99">
    <cfRule type="expression" dxfId="1" priority="774">
      <formula>"countif(I:I, I4)&gt;1"</formula>
    </cfRule>
  </conditionalFormatting>
  <conditionalFormatting sqref="A98:A99">
    <cfRule type="containsBlanks" dxfId="6" priority="775">
      <formula>LEN(TRIM(A98))=0</formula>
    </cfRule>
  </conditionalFormatting>
  <conditionalFormatting sqref="B98:B99">
    <cfRule type="notContainsBlanks" dxfId="3" priority="776">
      <formula>LEN(TRIM(B98))&gt;0</formula>
    </cfRule>
  </conditionalFormatting>
  <conditionalFormatting sqref="I94:I97">
    <cfRule type="expression" dxfId="1" priority="777">
      <formula>"countif(I:I, I4)&gt;1"</formula>
    </cfRule>
  </conditionalFormatting>
  <conditionalFormatting sqref="A94:A97">
    <cfRule type="containsBlanks" dxfId="6" priority="778">
      <formula>LEN(TRIM(A94))=0</formula>
    </cfRule>
  </conditionalFormatting>
  <conditionalFormatting sqref="B94:B97">
    <cfRule type="notContainsBlanks" dxfId="3" priority="779">
      <formula>LEN(TRIM(B94))&gt;0</formula>
    </cfRule>
  </conditionalFormatting>
  <conditionalFormatting sqref="I92:I93">
    <cfRule type="expression" dxfId="1" priority="780">
      <formula>"countif(I:I, I4)&gt;1"</formula>
    </cfRule>
  </conditionalFormatting>
  <conditionalFormatting sqref="A92:A93">
    <cfRule type="containsBlanks" dxfId="6" priority="781">
      <formula>LEN(TRIM(A92))=0</formula>
    </cfRule>
  </conditionalFormatting>
  <conditionalFormatting sqref="B92:B93">
    <cfRule type="notContainsBlanks" dxfId="3" priority="782">
      <formula>LEN(TRIM(B92))&gt;0</formula>
    </cfRule>
  </conditionalFormatting>
  <conditionalFormatting sqref="I84:I91">
    <cfRule type="expression" dxfId="1" priority="783">
      <formula>"countif(I:I, I4)&gt;1"</formula>
    </cfRule>
  </conditionalFormatting>
  <conditionalFormatting sqref="A84:A91">
    <cfRule type="containsBlanks" dxfId="6" priority="784">
      <formula>LEN(TRIM(A84))=0</formula>
    </cfRule>
  </conditionalFormatting>
  <conditionalFormatting sqref="B84:B91">
    <cfRule type="notContainsBlanks" dxfId="3" priority="785">
      <formula>LEN(TRIM(B84))&gt;0</formula>
    </cfRule>
  </conditionalFormatting>
  <conditionalFormatting sqref="I65:I83">
    <cfRule type="expression" dxfId="1" priority="786">
      <formula>"countif(I:I, I4)&gt;1"</formula>
    </cfRule>
  </conditionalFormatting>
  <conditionalFormatting sqref="A65:A83">
    <cfRule type="containsBlanks" dxfId="6" priority="787">
      <formula>LEN(TRIM(A65))=0</formula>
    </cfRule>
  </conditionalFormatting>
  <conditionalFormatting sqref="B65:B83">
    <cfRule type="notContainsBlanks" dxfId="3" priority="788">
      <formula>LEN(TRIM(B65))&gt;0</formula>
    </cfRule>
  </conditionalFormatting>
  <conditionalFormatting sqref="I60:I64">
    <cfRule type="expression" dxfId="1" priority="789">
      <formula>"countif(I:I, I4)&gt;1"</formula>
    </cfRule>
  </conditionalFormatting>
  <conditionalFormatting sqref="A60:A64">
    <cfRule type="containsBlanks" dxfId="6" priority="790">
      <formula>LEN(TRIM(A60))=0</formula>
    </cfRule>
  </conditionalFormatting>
  <conditionalFormatting sqref="B60:B64">
    <cfRule type="notContainsBlanks" dxfId="3" priority="791">
      <formula>LEN(TRIM(B60))&gt;0</formula>
    </cfRule>
  </conditionalFormatting>
  <conditionalFormatting sqref="I59">
    <cfRule type="expression" dxfId="1" priority="792">
      <formula>"countif(I:I, I4)&gt;1"</formula>
    </cfRule>
  </conditionalFormatting>
  <conditionalFormatting sqref="A59">
    <cfRule type="containsBlanks" dxfId="6" priority="793">
      <formula>LEN(TRIM(A59))=0</formula>
    </cfRule>
  </conditionalFormatting>
  <conditionalFormatting sqref="B59">
    <cfRule type="notContainsBlanks" dxfId="3" priority="794">
      <formula>LEN(TRIM(B59))&gt;0</formula>
    </cfRule>
  </conditionalFormatting>
  <conditionalFormatting sqref="I54:I58">
    <cfRule type="expression" dxfId="1" priority="795">
      <formula>"countif(I:I, I4)&gt;1"</formula>
    </cfRule>
  </conditionalFormatting>
  <conditionalFormatting sqref="A54:A58">
    <cfRule type="containsBlanks" dxfId="6" priority="796">
      <formula>LEN(TRIM(A54))=0</formula>
    </cfRule>
  </conditionalFormatting>
  <conditionalFormatting sqref="B54:B58">
    <cfRule type="notContainsBlanks" dxfId="3" priority="797">
      <formula>LEN(TRIM(B54))&gt;0</formula>
    </cfRule>
  </conditionalFormatting>
  <conditionalFormatting sqref="I53">
    <cfRule type="expression" dxfId="1" priority="798">
      <formula>"countif(I:I, I4)&gt;1"</formula>
    </cfRule>
  </conditionalFormatting>
  <conditionalFormatting sqref="A53">
    <cfRule type="containsBlanks" dxfId="6" priority="799">
      <formula>LEN(TRIM(A53))=0</formula>
    </cfRule>
  </conditionalFormatting>
  <conditionalFormatting sqref="B53">
    <cfRule type="notContainsBlanks" dxfId="3" priority="800">
      <formula>LEN(TRIM(B53))&gt;0</formula>
    </cfRule>
  </conditionalFormatting>
  <conditionalFormatting sqref="I50:I52">
    <cfRule type="expression" dxfId="1" priority="801">
      <formula>"countif(I:I, I4)&gt;1"</formula>
    </cfRule>
  </conditionalFormatting>
  <conditionalFormatting sqref="F50">
    <cfRule type="notContainsBlanks" dxfId="3" priority="802">
      <formula>LEN(TRIM(F50))&gt;0</formula>
    </cfRule>
  </conditionalFormatting>
  <conditionalFormatting sqref="A50:A52">
    <cfRule type="containsBlanks" dxfId="6" priority="803">
      <formula>LEN(TRIM(A50))=0</formula>
    </cfRule>
  </conditionalFormatting>
  <conditionalFormatting sqref="B50:B52">
    <cfRule type="notContainsBlanks" dxfId="3" priority="804">
      <formula>LEN(TRIM(B50))&gt;0</formula>
    </cfRule>
  </conditionalFormatting>
  <conditionalFormatting sqref="I35:I49">
    <cfRule type="expression" dxfId="1" priority="805">
      <formula>"countif(I:I, I4)&gt;1"</formula>
    </cfRule>
  </conditionalFormatting>
  <conditionalFormatting sqref="A35:A49">
    <cfRule type="containsBlanks" dxfId="6" priority="806">
      <formula>LEN(TRIM(A35))=0</formula>
    </cfRule>
  </conditionalFormatting>
  <conditionalFormatting sqref="B35:B49">
    <cfRule type="notContainsBlanks" dxfId="3" priority="807">
      <formula>LEN(TRIM(B35))&gt;0</formula>
    </cfRule>
  </conditionalFormatting>
  <conditionalFormatting sqref="I16:I34">
    <cfRule type="expression" dxfId="1" priority="808">
      <formula>"countif(I:I, I4)&gt;1"</formula>
    </cfRule>
  </conditionalFormatting>
  <conditionalFormatting sqref="A16:A34">
    <cfRule type="containsBlanks" dxfId="6" priority="809">
      <formula>LEN(TRIM(A16))=0</formula>
    </cfRule>
  </conditionalFormatting>
  <conditionalFormatting sqref="B16:B34">
    <cfRule type="notContainsBlanks" dxfId="3" priority="810">
      <formula>LEN(TRIM(B16))&gt;0</formula>
    </cfRule>
  </conditionalFormatting>
  <conditionalFormatting sqref="I9:I15">
    <cfRule type="expression" dxfId="1" priority="811">
      <formula>"countif(I:I, I4)&gt;1"</formula>
    </cfRule>
  </conditionalFormatting>
  <conditionalFormatting sqref="A9:A15">
    <cfRule type="containsBlanks" dxfId="6" priority="812">
      <formula>LEN(TRIM(A9))=0</formula>
    </cfRule>
  </conditionalFormatting>
  <conditionalFormatting sqref="B9:B15">
    <cfRule type="notContainsBlanks" dxfId="3" priority="813">
      <formula>LEN(TRIM(B9))&gt;0</formula>
    </cfRule>
  </conditionalFormatting>
  <conditionalFormatting sqref="I8">
    <cfRule type="expression" dxfId="1" priority="814">
      <formula>"countif(I:I, I4)&gt;1"</formula>
    </cfRule>
  </conditionalFormatting>
  <conditionalFormatting sqref="A8">
    <cfRule type="containsBlanks" dxfId="6" priority="815">
      <formula>LEN(TRIM(A8))=0</formula>
    </cfRule>
  </conditionalFormatting>
  <conditionalFormatting sqref="B8">
    <cfRule type="notContainsBlanks" dxfId="3" priority="816">
      <formula>LEN(TRIM(B8))&gt;0</formula>
    </cfRule>
  </conditionalFormatting>
  <conditionalFormatting sqref="I4:I7">
    <cfRule type="expression" dxfId="1" priority="817">
      <formula>"countif(I:I, I4)&gt;1"</formula>
    </cfRule>
  </conditionalFormatting>
  <conditionalFormatting sqref="A1:A7">
    <cfRule type="containsBlanks" dxfId="6" priority="818">
      <formula>LEN(TRIM(A1))=0</formula>
    </cfRule>
  </conditionalFormatting>
  <conditionalFormatting sqref="B1:B7">
    <cfRule type="notContainsBlanks" dxfId="3" priority="819">
      <formula>LEN(TRIM(B1))&gt;0</formula>
    </cfRule>
  </conditionalFormatting>
  <dataValidations>
    <dataValidation type="list" allowBlank="1" showErrorMessage="1" sqref="B434">
      <formula1>"Fanpage Kids,Fanpage TOEIC,Hotline,HV giới thiệu,Người quen,Seeding,Data cũ,Data mua,Đến trung tâm,Website,Học viên cũ"</formula1>
    </dataValidation>
    <dataValidation type="list" allowBlank="1" showErrorMessage="1" sqref="R4:R79 R96:R112 R226 R361:R362 R456 R516">
      <formula1>"Thứ 246 - ngày,Thứ 246 - tối,Thứ 357 - ngày,Thứ 357  - tối"</formula1>
    </dataValidation>
    <dataValidation type="list" allowBlank="1" showErrorMessage="1" sqref="B53">
      <formula1>"Fanpage Kids,Fanpage TOEIC,Hotline,HV giới thiệu,Người quen,Seeding,Data cũ,Đến trung tâm"</formula1>
    </dataValidation>
    <dataValidation type="list" allowBlank="1" showErrorMessage="1" sqref="B4:B16 B18:B52 B54:B431 B433 B435:B441 B454 B456:B458 B475 B479 B516 B552:B627 B629:B771">
      <formula1>"Fanpage Kids,Fanpage TOEIC,Hotline,HV giới thiệu,Người quen,Seeding,Data cũ,Data mua,Đến trung tâm,Website"</formula1>
    </dataValidation>
    <dataValidation type="list" allowBlank="1" showErrorMessage="1" sqref="K21">
      <formula1>"Cold,Warm 1,Warm 2,Warm 3,Hot,Done"</formula1>
    </dataValidation>
    <dataValidation type="list" allowBlank="1" showErrorMessage="1" sqref="B432 B442:B453 B455 B459:B474 B476:B478 B480:B515 B517:B551 B628">
      <formula1>"Fanpage Kids,Fanpage TOEIC,Hotline,HV giới thiệu,Người quen,Seeding,Data cũ,Data mua,Đến trung tâm,Website,Học sinh cũ"</formula1>
    </dataValidation>
    <dataValidation type="list" allowBlank="1" showErrorMessage="1" sqref="N4:N771">
      <formula1>"Loan,Phương,Cúc,Trang,Thảo,Yến,Linh,Ánh,Duyên,Thu"</formula1>
    </dataValidation>
    <dataValidation type="list" allowBlank="1" showErrorMessage="1" sqref="O4:O771">
      <formula1>"Tiếp nhận thông tin,Chưa liên lạc được,Đã liên lạc lần 1,Đã liên lạc lần 2,Đã liên lạc lần 3,Đã liên lạc lần 4,Đã test,Đã học thử,Chờ,Chốt,Đã đóng học phí,Từ chối"</formula1>
    </dataValidation>
    <dataValidation type="list" allowBlank="1" showErrorMessage="1" sqref="Q4:Q79 Q96:Q112 Q226 Q361:Q362 Q456 Q516">
      <formula1>"VUI,GTPX,Phonics fun,TOEIC"</formula1>
    </dataValidation>
    <dataValidation type="list" allowBlank="1" showErrorMessage="1" sqref="B17">
      <formula1>"Fanpage Kids,Fanpage TOEIC,Hotline,HV giới thiệu,Người quen,Seeding,Data cũ,Form Google"</formula1>
    </dataValidation>
    <dataValidation type="list" allowBlank="1" showErrorMessage="1" sqref="W4:W15 W18">
      <formula1>"Vườn ươm Ielts,Giao tiếp phản xạ,Giao tiếp người lớn,TOEIC nền tảng,Luyện thi TOEIC,Phonics Fun"</formula1>
    </dataValidation>
  </dataValidations>
  <hyperlinks>
    <hyperlink r:id="rId2" ref="J4"/>
    <hyperlink r:id="rId3" ref="J5"/>
    <hyperlink r:id="rId4" ref="J6"/>
    <hyperlink r:id="rId5" ref="M6"/>
    <hyperlink r:id="rId6" ref="J7"/>
    <hyperlink r:id="rId7" ref="M7"/>
    <hyperlink r:id="rId8" ref="M16"/>
    <hyperlink r:id="rId9" ref="J18"/>
    <hyperlink r:id="rId10" ref="J19"/>
    <hyperlink r:id="rId11" ref="M19"/>
    <hyperlink r:id="rId12" ref="J22"/>
    <hyperlink r:id="rId13" ref="M22"/>
    <hyperlink r:id="rId14" ref="J26"/>
    <hyperlink r:id="rId15" ref="M26"/>
    <hyperlink r:id="rId16" ref="M36"/>
    <hyperlink r:id="rId17" ref="M37"/>
    <hyperlink r:id="rId18" ref="M47"/>
    <hyperlink r:id="rId19" ref="M52"/>
    <hyperlink r:id="rId20" ref="M54"/>
    <hyperlink r:id="rId21" ref="M55"/>
    <hyperlink r:id="rId22" ref="M62"/>
    <hyperlink r:id="rId23" ref="J64"/>
    <hyperlink r:id="rId24" ref="M64"/>
    <hyperlink r:id="rId25" ref="M67"/>
    <hyperlink r:id="rId26" ref="M78"/>
    <hyperlink r:id="rId27" ref="M80"/>
    <hyperlink r:id="rId28" ref="M82"/>
    <hyperlink r:id="rId29" ref="M83"/>
    <hyperlink r:id="rId30" ref="M100"/>
    <hyperlink r:id="rId31" ref="M109"/>
    <hyperlink r:id="rId32" ref="M110"/>
    <hyperlink r:id="rId33" ref="M111"/>
    <hyperlink r:id="rId34" ref="M113"/>
    <hyperlink r:id="rId35" ref="M114"/>
    <hyperlink r:id="rId36" ref="M115"/>
    <hyperlink r:id="rId37" ref="M116"/>
    <hyperlink r:id="rId38" ref="M117"/>
    <hyperlink r:id="rId39" ref="M118"/>
    <hyperlink r:id="rId40" ref="M119"/>
    <hyperlink r:id="rId41" ref="M121"/>
    <hyperlink r:id="rId42" ref="M122"/>
    <hyperlink r:id="rId43" ref="M123"/>
    <hyperlink r:id="rId44" ref="M124"/>
    <hyperlink r:id="rId45" ref="M126"/>
    <hyperlink r:id="rId46" ref="M127"/>
    <hyperlink r:id="rId47" ref="M128"/>
    <hyperlink r:id="rId48" ref="M129"/>
    <hyperlink r:id="rId49" ref="M139"/>
    <hyperlink r:id="rId50" ref="M140"/>
    <hyperlink r:id="rId51" ref="M141"/>
    <hyperlink r:id="rId52" ref="M144"/>
    <hyperlink r:id="rId53" ref="M150"/>
    <hyperlink r:id="rId54" ref="M152"/>
    <hyperlink r:id="rId55" ref="M153"/>
    <hyperlink r:id="rId56" ref="M154"/>
    <hyperlink r:id="rId57" ref="M155"/>
    <hyperlink r:id="rId58" ref="M156"/>
    <hyperlink r:id="rId59" ref="M159"/>
    <hyperlink r:id="rId60" ref="M178"/>
    <hyperlink r:id="rId61" ref="M245"/>
    <hyperlink r:id="rId62" ref="J278"/>
    <hyperlink r:id="rId63" ref="J284"/>
    <hyperlink r:id="rId64" ref="J285"/>
    <hyperlink r:id="rId65" ref="J286"/>
    <hyperlink r:id="rId66" ref="M346"/>
    <hyperlink r:id="rId67" ref="M458"/>
    <hyperlink r:id="rId68" ref="L523"/>
    <hyperlink r:id="rId69" location="gid=445902500" ref="L575"/>
    <hyperlink r:id="rId70" location="gid=445902500" ref="L576"/>
    <hyperlink r:id="rId71" location="gid=445902500" ref="L577"/>
    <hyperlink r:id="rId72" location="gid=445902500" ref="L578"/>
    <hyperlink r:id="rId73" location="gid=445902500" ref="L579"/>
    <hyperlink r:id="rId74" location="gid=445902500" ref="L580"/>
    <hyperlink r:id="rId75" location="gid=445902500" ref="L581"/>
    <hyperlink r:id="rId76" location="gid=445902500" ref="L582"/>
    <hyperlink r:id="rId77" location="gid=445902500" ref="L583"/>
    <hyperlink r:id="rId78" location="gid=445902500" ref="L584"/>
    <hyperlink r:id="rId79" location="gid=445902500" ref="L597"/>
    <hyperlink r:id="rId80" location="gid=445902500" ref="L608"/>
    <hyperlink r:id="rId81" location="gid=445902500" ref="L609"/>
    <hyperlink r:id="rId82" location="gid=445902500" ref="L610"/>
    <hyperlink r:id="rId83" location="gid=445902500" ref="L611"/>
    <hyperlink r:id="rId84" location="gid=445902500" ref="L612"/>
    <hyperlink r:id="rId85" location="gid=445902500" ref="L616"/>
    <hyperlink r:id="rId86" location="gid=1666319970" ref="L617"/>
    <hyperlink r:id="rId87" location="gid=1666319970" ref="L618"/>
    <hyperlink r:id="rId88" location="gid=1666319970" ref="L619"/>
    <hyperlink r:id="rId89" location="gid=1666319970" ref="L624"/>
    <hyperlink r:id="rId90" location="gid=1819601126" ref="L626"/>
    <hyperlink r:id="rId91" location="gid=1819601126" ref="L630"/>
    <hyperlink r:id="rId92" location="gid=1819601126" ref="L631"/>
    <hyperlink r:id="rId93" location="gid=1666319970" ref="L640"/>
    <hyperlink r:id="rId94" location="gid=1666319970" ref="L645"/>
    <hyperlink r:id="rId95" location="gid=1666319970" ref="L646"/>
    <hyperlink r:id="rId96" location="gid=1666319970" ref="L647"/>
    <hyperlink r:id="rId97" location="gid=1666319970" ref="L653"/>
    <hyperlink r:id="rId98" location="gid=445902500" ref="L654"/>
    <hyperlink r:id="rId99" location="gid=1666319970" ref="L659"/>
    <hyperlink r:id="rId100" location="gid=1666319970" ref="L660"/>
    <hyperlink r:id="rId101" location="gid=445902500" ref="L664"/>
    <hyperlink r:id="rId102" location="gid=445902500" ref="L665"/>
    <hyperlink r:id="rId103" location="gid=1666319970" ref="L670"/>
    <hyperlink r:id="rId104" ref="M679"/>
    <hyperlink r:id="rId105" ref="M680"/>
  </hyperlinks>
  <drawing r:id="rId106"/>
  <legacyDrawing r:id="rId107"/>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0"/>
  <cols>
    <col customWidth="1" min="1" max="1" width="12.0"/>
    <col customWidth="1" min="2" max="2" width="17.25"/>
    <col customWidth="1" min="3" max="3" width="20.88"/>
    <col customWidth="1" min="4" max="4" width="18.88"/>
    <col customWidth="1" min="5" max="5" width="10.25"/>
    <col customWidth="1" min="6" max="6" width="12.88"/>
    <col customWidth="1" min="7" max="7" width="7.25"/>
    <col customWidth="1" min="8" max="8" width="8.75"/>
    <col customWidth="1" min="9" max="9" width="14.0"/>
    <col customWidth="1" min="10" max="10" width="10.5"/>
    <col customWidth="1" min="11" max="11" width="10.25"/>
    <col customWidth="1" min="12" max="12" width="20.63"/>
    <col customWidth="1" min="13" max="13" width="14.5"/>
    <col customWidth="1" min="14" max="15" width="21.38"/>
    <col customWidth="1" min="16" max="16" width="52.88"/>
    <col customWidth="1" min="17" max="17" width="10.63"/>
    <col customWidth="1" min="18" max="18" width="10.38"/>
    <col customWidth="1" min="19" max="19" width="42.25"/>
    <col customWidth="1" min="20" max="22" width="19.5"/>
    <col customWidth="1" min="23" max="23" width="22.25"/>
    <col customWidth="1" min="24" max="26" width="19.5"/>
    <col customWidth="1" min="27" max="27" width="6.25"/>
    <col customWidth="1" min="28" max="29" width="7.38"/>
  </cols>
  <sheetData>
    <row r="1" ht="15.75" customHeight="1">
      <c r="A1" s="1" t="s">
        <v>0</v>
      </c>
      <c r="B1" s="2" t="s">
        <v>1</v>
      </c>
      <c r="C1" s="2" t="s">
        <v>2</v>
      </c>
      <c r="D1" s="2" t="s">
        <v>3</v>
      </c>
      <c r="E1" s="234" t="s">
        <v>4030</v>
      </c>
      <c r="F1" s="235"/>
      <c r="G1" s="235"/>
      <c r="H1" s="236"/>
      <c r="I1" s="237" t="s">
        <v>4031</v>
      </c>
      <c r="J1" s="235"/>
      <c r="K1" s="236"/>
      <c r="L1" s="6" t="s">
        <v>10</v>
      </c>
      <c r="M1" s="2" t="s">
        <v>11</v>
      </c>
      <c r="N1" s="2" t="s">
        <v>12</v>
      </c>
      <c r="O1" s="2" t="s">
        <v>13</v>
      </c>
      <c r="P1" s="2" t="s">
        <v>14</v>
      </c>
      <c r="Q1" s="2" t="s">
        <v>16</v>
      </c>
      <c r="R1" s="2" t="s">
        <v>17</v>
      </c>
      <c r="S1" s="2" t="s">
        <v>18</v>
      </c>
      <c r="T1" s="2" t="s">
        <v>19</v>
      </c>
      <c r="U1" s="7" t="s">
        <v>20</v>
      </c>
      <c r="V1" s="234" t="s">
        <v>4032</v>
      </c>
      <c r="W1" s="235"/>
      <c r="X1" s="235"/>
      <c r="Y1" s="235"/>
      <c r="Z1" s="236"/>
      <c r="AA1" s="10" t="s">
        <v>26</v>
      </c>
      <c r="AB1" s="10" t="s">
        <v>27</v>
      </c>
      <c r="AC1" s="10" t="s">
        <v>4033</v>
      </c>
    </row>
    <row r="2" ht="15.75" customHeight="1">
      <c r="A2" s="11"/>
      <c r="B2" s="11"/>
      <c r="C2" s="11"/>
      <c r="D2" s="11"/>
      <c r="E2" s="238" t="s">
        <v>4034</v>
      </c>
      <c r="F2" s="238" t="s">
        <v>4035</v>
      </c>
      <c r="G2" s="238" t="s">
        <v>5</v>
      </c>
      <c r="H2" s="238" t="s">
        <v>6</v>
      </c>
      <c r="I2" s="239" t="s">
        <v>4036</v>
      </c>
      <c r="J2" s="240" t="s">
        <v>8</v>
      </c>
      <c r="K2" s="240" t="s">
        <v>9</v>
      </c>
      <c r="L2" s="11"/>
      <c r="M2" s="11"/>
      <c r="N2" s="11"/>
      <c r="O2" s="11"/>
      <c r="P2" s="11"/>
      <c r="Q2" s="11"/>
      <c r="R2" s="11"/>
      <c r="S2" s="11"/>
      <c r="T2" s="11"/>
      <c r="U2" s="11"/>
      <c r="V2" s="238" t="s">
        <v>4037</v>
      </c>
      <c r="W2" s="238" t="s">
        <v>16</v>
      </c>
      <c r="X2" s="241" t="s">
        <v>4038</v>
      </c>
      <c r="Y2" s="241" t="s">
        <v>24</v>
      </c>
      <c r="Z2" s="241" t="s">
        <v>4039</v>
      </c>
    </row>
    <row r="3" ht="15.75" customHeight="1">
      <c r="A3" s="12">
        <v>45047.0</v>
      </c>
      <c r="B3" s="13" t="s">
        <v>28</v>
      </c>
      <c r="C3" s="14" t="s">
        <v>4040</v>
      </c>
      <c r="D3" s="14"/>
      <c r="E3" s="14"/>
      <c r="F3" s="14"/>
      <c r="G3" s="14"/>
      <c r="H3" s="14"/>
      <c r="I3" s="15" t="s">
        <v>30</v>
      </c>
      <c r="J3" s="16" t="s">
        <v>4041</v>
      </c>
      <c r="K3" s="14"/>
      <c r="L3" s="14"/>
      <c r="M3" s="14" t="s">
        <v>33</v>
      </c>
      <c r="N3" s="14" t="s">
        <v>34</v>
      </c>
      <c r="O3" s="14" t="b">
        <v>0</v>
      </c>
      <c r="P3" s="14"/>
      <c r="Q3" s="14"/>
      <c r="R3" s="14"/>
      <c r="S3" s="14" t="s">
        <v>35</v>
      </c>
      <c r="T3" s="14" t="s">
        <v>36</v>
      </c>
      <c r="U3" s="17"/>
      <c r="V3" s="14"/>
      <c r="W3" s="14"/>
      <c r="X3" s="18"/>
      <c r="Y3" s="18"/>
      <c r="Z3" s="18"/>
      <c r="AA3" s="19">
        <f t="shared" ref="AA3:AA954" si="1">if(or(month(A3)&lt;5,A3=""),"", month(A3))</f>
        <v>5</v>
      </c>
      <c r="AB3" s="19" t="str">
        <f t="shared" ref="AB3:AB933" si="2">if(V3="","", month(V3))</f>
        <v/>
      </c>
      <c r="AC3" s="19"/>
    </row>
    <row r="4" ht="15.75" customHeight="1">
      <c r="A4" s="12">
        <v>45047.0</v>
      </c>
      <c r="B4" s="13" t="s">
        <v>28</v>
      </c>
      <c r="C4" s="14" t="s">
        <v>37</v>
      </c>
      <c r="D4" s="14" t="s">
        <v>38</v>
      </c>
      <c r="E4" s="14"/>
      <c r="F4" s="13" t="s">
        <v>289</v>
      </c>
      <c r="G4" s="14"/>
      <c r="H4" s="14"/>
      <c r="I4" s="15" t="s">
        <v>39</v>
      </c>
      <c r="J4" s="16" t="s">
        <v>40</v>
      </c>
      <c r="K4" s="14"/>
      <c r="L4" s="242"/>
      <c r="M4" s="14" t="s">
        <v>33</v>
      </c>
      <c r="N4" s="14" t="s">
        <v>34</v>
      </c>
      <c r="O4" s="14" t="b">
        <v>1</v>
      </c>
      <c r="P4" s="14" t="s">
        <v>41</v>
      </c>
      <c r="Q4" s="14"/>
      <c r="R4" s="14"/>
      <c r="S4" s="14" t="s">
        <v>43</v>
      </c>
      <c r="T4" s="14" t="s">
        <v>36</v>
      </c>
      <c r="U4" s="17"/>
      <c r="V4" s="14"/>
      <c r="W4" s="14"/>
      <c r="X4" s="18"/>
      <c r="Y4" s="18"/>
      <c r="Z4" s="18"/>
      <c r="AA4" s="19">
        <f t="shared" si="1"/>
        <v>5</v>
      </c>
      <c r="AB4" s="19" t="str">
        <f t="shared" si="2"/>
        <v/>
      </c>
      <c r="AC4" s="19"/>
    </row>
    <row r="5" ht="15.75" customHeight="1">
      <c r="A5" s="12">
        <v>45052.0</v>
      </c>
      <c r="B5" s="13" t="s">
        <v>28</v>
      </c>
      <c r="C5" s="14" t="s">
        <v>44</v>
      </c>
      <c r="D5" s="14" t="s">
        <v>45</v>
      </c>
      <c r="E5" s="14"/>
      <c r="F5" s="14" t="s">
        <v>419</v>
      </c>
      <c r="G5" s="14"/>
      <c r="H5" s="14"/>
      <c r="I5" s="21" t="s">
        <v>46</v>
      </c>
      <c r="J5" s="16" t="s">
        <v>47</v>
      </c>
      <c r="K5" s="14"/>
      <c r="L5" s="14"/>
      <c r="M5" s="14" t="s">
        <v>48</v>
      </c>
      <c r="N5" s="14" t="s">
        <v>34</v>
      </c>
      <c r="O5" s="14" t="b">
        <v>0</v>
      </c>
      <c r="P5" s="14"/>
      <c r="Q5" s="14"/>
      <c r="R5" s="14"/>
      <c r="S5" s="14" t="s">
        <v>49</v>
      </c>
      <c r="T5" s="14" t="s">
        <v>36</v>
      </c>
      <c r="U5" s="17"/>
      <c r="V5" s="14"/>
      <c r="W5" s="14"/>
      <c r="X5" s="18"/>
      <c r="Y5" s="18"/>
      <c r="Z5" s="18"/>
      <c r="AA5" s="19">
        <f t="shared" si="1"/>
        <v>5</v>
      </c>
      <c r="AB5" s="19" t="str">
        <f t="shared" si="2"/>
        <v/>
      </c>
      <c r="AC5" s="19"/>
    </row>
    <row r="6" ht="15.75" customHeight="1">
      <c r="A6" s="12">
        <v>45054.0</v>
      </c>
      <c r="B6" s="13" t="s">
        <v>28</v>
      </c>
      <c r="C6" s="14" t="s">
        <v>50</v>
      </c>
      <c r="D6" s="14" t="s">
        <v>51</v>
      </c>
      <c r="E6" s="14"/>
      <c r="F6" s="14" t="s">
        <v>4042</v>
      </c>
      <c r="G6" s="14" t="s">
        <v>52</v>
      </c>
      <c r="H6" s="14"/>
      <c r="I6" s="15" t="s">
        <v>53</v>
      </c>
      <c r="J6" s="16" t="s">
        <v>54</v>
      </c>
      <c r="K6" s="14">
        <v>9.05575651E8</v>
      </c>
      <c r="L6" s="14" t="s">
        <v>4043</v>
      </c>
      <c r="M6" s="14" t="s">
        <v>56</v>
      </c>
      <c r="N6" s="14" t="s">
        <v>34</v>
      </c>
      <c r="O6" s="14" t="b">
        <v>1</v>
      </c>
      <c r="P6" s="14" t="s">
        <v>57</v>
      </c>
      <c r="Q6" s="14"/>
      <c r="R6" s="14"/>
      <c r="S6" s="14" t="s">
        <v>58</v>
      </c>
      <c r="T6" s="14" t="s">
        <v>36</v>
      </c>
      <c r="U6" s="22"/>
      <c r="V6" s="14"/>
      <c r="W6" s="14"/>
      <c r="X6" s="18"/>
      <c r="Y6" s="18"/>
      <c r="Z6" s="18"/>
      <c r="AA6" s="19">
        <f t="shared" si="1"/>
        <v>5</v>
      </c>
      <c r="AB6" s="19" t="str">
        <f t="shared" si="2"/>
        <v/>
      </c>
      <c r="AC6" s="19"/>
    </row>
    <row r="7" ht="15.75" customHeight="1">
      <c r="A7" s="26">
        <v>45054.0</v>
      </c>
      <c r="B7" s="27" t="s">
        <v>60</v>
      </c>
      <c r="C7" s="28" t="s">
        <v>61</v>
      </c>
      <c r="D7" s="27" t="s">
        <v>62</v>
      </c>
      <c r="E7" s="27"/>
      <c r="F7" s="27" t="s">
        <v>646</v>
      </c>
      <c r="G7" s="27" t="s">
        <v>63</v>
      </c>
      <c r="H7" s="27" t="s">
        <v>64</v>
      </c>
      <c r="I7" s="29" t="s">
        <v>65</v>
      </c>
      <c r="J7" s="27"/>
      <c r="K7" s="27" t="s">
        <v>4044</v>
      </c>
      <c r="L7" s="27"/>
      <c r="M7" s="27" t="s">
        <v>66</v>
      </c>
      <c r="N7" s="27" t="s">
        <v>67</v>
      </c>
      <c r="O7" s="14" t="b">
        <v>0</v>
      </c>
      <c r="P7" s="27" t="s">
        <v>68</v>
      </c>
      <c r="Q7" s="27" t="s">
        <v>4045</v>
      </c>
      <c r="R7" s="27" t="s">
        <v>70</v>
      </c>
      <c r="S7" s="27" t="s">
        <v>4046</v>
      </c>
      <c r="T7" s="27"/>
      <c r="U7" s="26"/>
      <c r="V7" s="23">
        <v>45075.0</v>
      </c>
      <c r="W7" s="27" t="s">
        <v>59</v>
      </c>
      <c r="X7" s="25"/>
      <c r="Y7" s="25"/>
      <c r="Z7" s="25">
        <v>1000000.0</v>
      </c>
      <c r="AA7" s="19">
        <f t="shared" si="1"/>
        <v>5</v>
      </c>
      <c r="AB7" s="19">
        <f t="shared" si="2"/>
        <v>5</v>
      </c>
      <c r="AC7" s="19"/>
    </row>
    <row r="8" ht="15.75" customHeight="1">
      <c r="A8" s="12">
        <v>45054.0</v>
      </c>
      <c r="B8" s="14" t="s">
        <v>73</v>
      </c>
      <c r="C8" s="14"/>
      <c r="D8" s="14" t="s">
        <v>4047</v>
      </c>
      <c r="E8" s="14"/>
      <c r="F8" s="14"/>
      <c r="G8" s="14"/>
      <c r="H8" s="14" t="s">
        <v>64</v>
      </c>
      <c r="I8" s="15" t="s">
        <v>75</v>
      </c>
      <c r="J8" s="14"/>
      <c r="K8" s="14"/>
      <c r="L8" s="14" t="s">
        <v>76</v>
      </c>
      <c r="M8" s="14" t="s">
        <v>33</v>
      </c>
      <c r="N8" s="14" t="s">
        <v>34</v>
      </c>
      <c r="O8" s="14" t="b">
        <v>0</v>
      </c>
      <c r="P8" s="14"/>
      <c r="Q8" s="14"/>
      <c r="R8" s="14"/>
      <c r="S8" s="14" t="s">
        <v>77</v>
      </c>
      <c r="T8" s="14"/>
      <c r="U8" s="17"/>
      <c r="V8" s="14"/>
      <c r="W8" s="14"/>
      <c r="X8" s="18"/>
      <c r="Y8" s="18"/>
      <c r="Z8" s="18"/>
      <c r="AA8" s="19">
        <f t="shared" si="1"/>
        <v>5</v>
      </c>
      <c r="AB8" s="19" t="str">
        <f t="shared" si="2"/>
        <v/>
      </c>
      <c r="AC8" s="19"/>
    </row>
    <row r="9" ht="15.75" customHeight="1">
      <c r="A9" s="26">
        <v>45054.0</v>
      </c>
      <c r="B9" s="24" t="s">
        <v>28</v>
      </c>
      <c r="C9" s="27"/>
      <c r="D9" s="27" t="s">
        <v>4048</v>
      </c>
      <c r="E9" s="27"/>
      <c r="F9" s="27"/>
      <c r="G9" s="27"/>
      <c r="H9" s="27" t="s">
        <v>64</v>
      </c>
      <c r="I9" s="34"/>
      <c r="J9" s="27"/>
      <c r="K9" s="27"/>
      <c r="L9" s="27" t="s">
        <v>76</v>
      </c>
      <c r="M9" s="27" t="s">
        <v>33</v>
      </c>
      <c r="N9" s="27" t="s">
        <v>67</v>
      </c>
      <c r="O9" s="14" t="b">
        <v>0</v>
      </c>
      <c r="P9" s="27"/>
      <c r="Q9" s="27"/>
      <c r="R9" s="27"/>
      <c r="S9" s="27" t="s">
        <v>82</v>
      </c>
      <c r="T9" s="27"/>
      <c r="U9" s="26"/>
      <c r="V9" s="30">
        <v>45056.0</v>
      </c>
      <c r="W9" s="27" t="s">
        <v>78</v>
      </c>
      <c r="X9" s="25">
        <v>7500000.0</v>
      </c>
      <c r="Y9" s="25">
        <v>0.0</v>
      </c>
      <c r="Z9" s="25">
        <v>7500000.0</v>
      </c>
      <c r="AA9" s="19">
        <f t="shared" si="1"/>
        <v>5</v>
      </c>
      <c r="AB9" s="19">
        <f t="shared" si="2"/>
        <v>5</v>
      </c>
      <c r="AC9" s="19"/>
    </row>
    <row r="10" ht="15.75" customHeight="1">
      <c r="A10" s="12">
        <v>45054.0</v>
      </c>
      <c r="B10" s="243" t="s">
        <v>84</v>
      </c>
      <c r="C10" s="244" t="s">
        <v>85</v>
      </c>
      <c r="D10" s="243" t="s">
        <v>86</v>
      </c>
      <c r="E10" s="243"/>
      <c r="F10" s="243"/>
      <c r="G10" s="243" t="s">
        <v>87</v>
      </c>
      <c r="H10" s="243" t="s">
        <v>64</v>
      </c>
      <c r="I10" s="245" t="s">
        <v>88</v>
      </c>
      <c r="J10" s="243"/>
      <c r="K10" s="243"/>
      <c r="L10" s="243"/>
      <c r="M10" s="243" t="s">
        <v>89</v>
      </c>
      <c r="N10" s="243" t="s">
        <v>67</v>
      </c>
      <c r="O10" s="14" t="b">
        <v>0</v>
      </c>
      <c r="P10" s="243" t="s">
        <v>90</v>
      </c>
      <c r="Q10" s="243" t="s">
        <v>91</v>
      </c>
      <c r="R10" s="243"/>
      <c r="S10" s="243" t="s">
        <v>92</v>
      </c>
      <c r="T10" s="243" t="s">
        <v>4049</v>
      </c>
      <c r="U10" s="246"/>
      <c r="V10" s="247">
        <v>45073.0</v>
      </c>
      <c r="W10" s="243" t="s">
        <v>4050</v>
      </c>
      <c r="X10" s="248">
        <v>8750000.0</v>
      </c>
      <c r="Y10" s="248">
        <f>X10-Z10</f>
        <v>1312500</v>
      </c>
      <c r="Z10" s="248">
        <v>7437500.0</v>
      </c>
      <c r="AA10" s="19">
        <f t="shared" si="1"/>
        <v>5</v>
      </c>
      <c r="AB10" s="19">
        <f t="shared" si="2"/>
        <v>5</v>
      </c>
      <c r="AC10" s="19"/>
    </row>
    <row r="11" ht="15.75" customHeight="1">
      <c r="A11" s="12">
        <v>45054.0</v>
      </c>
      <c r="B11" s="24" t="s">
        <v>28</v>
      </c>
      <c r="C11" s="14"/>
      <c r="D11" s="14" t="s">
        <v>93</v>
      </c>
      <c r="E11" s="14"/>
      <c r="F11" s="14"/>
      <c r="G11" s="14"/>
      <c r="H11" s="14" t="s">
        <v>64</v>
      </c>
      <c r="I11" s="15" t="s">
        <v>94</v>
      </c>
      <c r="J11" s="14"/>
      <c r="K11" s="14"/>
      <c r="L11" s="14" t="s">
        <v>95</v>
      </c>
      <c r="M11" s="14" t="s">
        <v>33</v>
      </c>
      <c r="N11" s="14" t="s">
        <v>34</v>
      </c>
      <c r="O11" s="14" t="b">
        <v>0</v>
      </c>
      <c r="P11" s="14"/>
      <c r="Q11" s="14"/>
      <c r="R11" s="14"/>
      <c r="S11" s="14" t="s">
        <v>96</v>
      </c>
      <c r="T11" s="14"/>
      <c r="U11" s="17"/>
      <c r="V11" s="14"/>
      <c r="W11" s="14"/>
      <c r="X11" s="18"/>
      <c r="Y11" s="18"/>
      <c r="Z11" s="18"/>
      <c r="AA11" s="19">
        <f t="shared" si="1"/>
        <v>5</v>
      </c>
      <c r="AB11" s="19" t="str">
        <f t="shared" si="2"/>
        <v/>
      </c>
      <c r="AC11" s="19"/>
    </row>
    <row r="12" ht="15.75" customHeight="1">
      <c r="A12" s="12">
        <v>45055.0</v>
      </c>
      <c r="B12" s="13" t="s">
        <v>28</v>
      </c>
      <c r="C12" s="37" t="s">
        <v>4051</v>
      </c>
      <c r="D12" s="14" t="s">
        <v>4052</v>
      </c>
      <c r="E12" s="14"/>
      <c r="F12" s="14"/>
      <c r="G12" s="14"/>
      <c r="H12" s="14"/>
      <c r="I12" s="15" t="s">
        <v>99</v>
      </c>
      <c r="J12" s="14"/>
      <c r="K12" s="14"/>
      <c r="L12" s="14"/>
      <c r="M12" s="14" t="s">
        <v>48</v>
      </c>
      <c r="N12" s="14" t="s">
        <v>34</v>
      </c>
      <c r="O12" s="14" t="b">
        <v>0</v>
      </c>
      <c r="P12" s="14"/>
      <c r="Q12" s="14"/>
      <c r="R12" s="14"/>
      <c r="S12" s="14" t="s">
        <v>100</v>
      </c>
      <c r="T12" s="14" t="s">
        <v>4053</v>
      </c>
      <c r="U12" s="36"/>
      <c r="V12" s="14"/>
      <c r="W12" s="14"/>
      <c r="X12" s="18"/>
      <c r="Y12" s="18"/>
      <c r="Z12" s="18"/>
      <c r="AA12" s="19">
        <f t="shared" si="1"/>
        <v>5</v>
      </c>
      <c r="AB12" s="19" t="str">
        <f t="shared" si="2"/>
        <v/>
      </c>
      <c r="AC12" s="19"/>
    </row>
    <row r="13" ht="15.75" customHeight="1">
      <c r="A13" s="39">
        <v>45056.0</v>
      </c>
      <c r="B13" s="13" t="s">
        <v>28</v>
      </c>
      <c r="C13" s="37" t="s">
        <v>4054</v>
      </c>
      <c r="D13" s="37" t="s">
        <v>102</v>
      </c>
      <c r="E13" s="37"/>
      <c r="F13" s="37"/>
      <c r="G13" s="37" t="s">
        <v>103</v>
      </c>
      <c r="H13" s="37" t="s">
        <v>64</v>
      </c>
      <c r="I13" s="40" t="s">
        <v>104</v>
      </c>
      <c r="J13" s="37"/>
      <c r="K13" s="37"/>
      <c r="L13" s="37" t="s">
        <v>105</v>
      </c>
      <c r="M13" s="37" t="s">
        <v>33</v>
      </c>
      <c r="N13" s="37" t="s">
        <v>34</v>
      </c>
      <c r="O13" s="14" t="b">
        <v>1</v>
      </c>
      <c r="P13" s="37" t="s">
        <v>106</v>
      </c>
      <c r="Q13" s="14"/>
      <c r="R13" s="14"/>
      <c r="S13" s="37" t="s">
        <v>107</v>
      </c>
      <c r="T13" s="37" t="s">
        <v>36</v>
      </c>
      <c r="U13" s="36"/>
      <c r="V13" s="37"/>
      <c r="W13" s="37"/>
      <c r="X13" s="38"/>
      <c r="Y13" s="38"/>
      <c r="Z13" s="38"/>
      <c r="AA13" s="19">
        <f t="shared" si="1"/>
        <v>5</v>
      </c>
      <c r="AB13" s="19" t="str">
        <f t="shared" si="2"/>
        <v/>
      </c>
      <c r="AC13" s="19"/>
    </row>
    <row r="14" ht="15.75" customHeight="1">
      <c r="A14" s="12">
        <v>45057.0</v>
      </c>
      <c r="B14" s="13" t="s">
        <v>28</v>
      </c>
      <c r="C14" s="14" t="s">
        <v>108</v>
      </c>
      <c r="D14" s="14" t="s">
        <v>109</v>
      </c>
      <c r="E14" s="14"/>
      <c r="F14" s="14">
        <v>2007.0</v>
      </c>
      <c r="G14" s="14" t="s">
        <v>103</v>
      </c>
      <c r="H14" s="14"/>
      <c r="I14" s="15" t="s">
        <v>110</v>
      </c>
      <c r="J14" s="14"/>
      <c r="K14" s="14"/>
      <c r="L14" s="14"/>
      <c r="M14" s="14" t="s">
        <v>111</v>
      </c>
      <c r="N14" s="14" t="s">
        <v>34</v>
      </c>
      <c r="O14" s="14" t="b">
        <v>1</v>
      </c>
      <c r="P14" s="14" t="s">
        <v>112</v>
      </c>
      <c r="Q14" s="14"/>
      <c r="R14" s="14"/>
      <c r="S14" s="14" t="s">
        <v>113</v>
      </c>
      <c r="T14" s="14" t="s">
        <v>4053</v>
      </c>
      <c r="U14" s="17"/>
      <c r="V14" s="14"/>
      <c r="W14" s="14"/>
      <c r="X14" s="18"/>
      <c r="Y14" s="18"/>
      <c r="Z14" s="18"/>
      <c r="AA14" s="19">
        <f t="shared" si="1"/>
        <v>5</v>
      </c>
      <c r="AB14" s="19" t="str">
        <f t="shared" si="2"/>
        <v/>
      </c>
      <c r="AC14" s="19"/>
    </row>
    <row r="15" ht="15.75" customHeight="1">
      <c r="A15" s="12">
        <v>45057.0</v>
      </c>
      <c r="B15" s="13" t="s">
        <v>28</v>
      </c>
      <c r="C15" s="14" t="s">
        <v>114</v>
      </c>
      <c r="D15" s="14"/>
      <c r="E15" s="14"/>
      <c r="F15" s="14"/>
      <c r="G15" s="14" t="s">
        <v>115</v>
      </c>
      <c r="H15" s="14" t="s">
        <v>64</v>
      </c>
      <c r="I15" s="15" t="s">
        <v>116</v>
      </c>
      <c r="J15" s="14"/>
      <c r="K15" s="14"/>
      <c r="L15" s="14"/>
      <c r="M15" s="14" t="s">
        <v>48</v>
      </c>
      <c r="N15" s="14" t="s">
        <v>34</v>
      </c>
      <c r="O15" s="14" t="b">
        <v>0</v>
      </c>
      <c r="P15" s="14"/>
      <c r="Q15" s="14"/>
      <c r="R15" s="14"/>
      <c r="S15" s="14" t="s">
        <v>4055</v>
      </c>
      <c r="T15" s="14" t="s">
        <v>36</v>
      </c>
      <c r="U15" s="41"/>
      <c r="V15" s="14"/>
      <c r="W15" s="14"/>
      <c r="X15" s="18"/>
      <c r="Y15" s="18"/>
      <c r="Z15" s="18"/>
      <c r="AA15" s="19">
        <f t="shared" si="1"/>
        <v>5</v>
      </c>
      <c r="AB15" s="19" t="str">
        <f t="shared" si="2"/>
        <v/>
      </c>
      <c r="AC15" s="19"/>
    </row>
    <row r="16" ht="15.75" customHeight="1">
      <c r="A16" s="12">
        <v>45057.0</v>
      </c>
      <c r="B16" s="13" t="s">
        <v>28</v>
      </c>
      <c r="C16" s="14" t="s">
        <v>118</v>
      </c>
      <c r="D16" s="14" t="s">
        <v>119</v>
      </c>
      <c r="E16" s="14"/>
      <c r="F16" s="14" t="s">
        <v>1244</v>
      </c>
      <c r="G16" s="14"/>
      <c r="H16" s="14" t="s">
        <v>64</v>
      </c>
      <c r="I16" s="15" t="s">
        <v>120</v>
      </c>
      <c r="J16" s="14"/>
      <c r="K16" s="14"/>
      <c r="L16" s="14" t="s">
        <v>121</v>
      </c>
      <c r="M16" s="14" t="s">
        <v>111</v>
      </c>
      <c r="N16" s="14" t="s">
        <v>34</v>
      </c>
      <c r="O16" s="14" t="b">
        <v>0</v>
      </c>
      <c r="P16" s="14"/>
      <c r="Q16" s="14"/>
      <c r="R16" s="14"/>
      <c r="S16" s="14" t="s">
        <v>122</v>
      </c>
      <c r="T16" s="14" t="s">
        <v>36</v>
      </c>
      <c r="U16" s="41"/>
      <c r="V16" s="14"/>
      <c r="W16" s="14"/>
      <c r="X16" s="18"/>
      <c r="Y16" s="18"/>
      <c r="Z16" s="18"/>
      <c r="AA16" s="19">
        <f t="shared" si="1"/>
        <v>5</v>
      </c>
      <c r="AB16" s="19" t="str">
        <f t="shared" si="2"/>
        <v/>
      </c>
      <c r="AC16" s="19"/>
    </row>
    <row r="17" ht="15.75" customHeight="1">
      <c r="A17" s="12">
        <v>45057.0</v>
      </c>
      <c r="B17" s="13" t="s">
        <v>28</v>
      </c>
      <c r="C17" s="14" t="s">
        <v>4056</v>
      </c>
      <c r="D17" s="14" t="s">
        <v>124</v>
      </c>
      <c r="E17" s="14"/>
      <c r="F17" s="14">
        <v>2015.0</v>
      </c>
      <c r="G17" s="14">
        <v>3.0</v>
      </c>
      <c r="H17" s="14" t="s">
        <v>64</v>
      </c>
      <c r="I17" s="42" t="s">
        <v>125</v>
      </c>
      <c r="J17" s="14"/>
      <c r="K17" s="42" t="s">
        <v>125</v>
      </c>
      <c r="L17" s="14" t="s">
        <v>126</v>
      </c>
      <c r="M17" s="14" t="s">
        <v>111</v>
      </c>
      <c r="N17" s="14" t="s">
        <v>34</v>
      </c>
      <c r="O17" s="14" t="b">
        <v>0</v>
      </c>
      <c r="P17" s="14" t="s">
        <v>127</v>
      </c>
      <c r="Q17" s="14"/>
      <c r="R17" s="14"/>
      <c r="S17" s="14" t="s">
        <v>128</v>
      </c>
      <c r="T17" s="14" t="s">
        <v>4057</v>
      </c>
      <c r="U17" s="41"/>
      <c r="V17" s="14"/>
      <c r="W17" s="14"/>
      <c r="X17" s="18"/>
      <c r="Y17" s="18"/>
      <c r="Z17" s="18"/>
      <c r="AA17" s="19">
        <f t="shared" si="1"/>
        <v>5</v>
      </c>
      <c r="AB17" s="19" t="str">
        <f t="shared" si="2"/>
        <v/>
      </c>
      <c r="AC17" s="19"/>
    </row>
    <row r="18" ht="15.75" customHeight="1">
      <c r="A18" s="26">
        <v>45057.0</v>
      </c>
      <c r="B18" s="13" t="s">
        <v>28</v>
      </c>
      <c r="C18" s="27" t="s">
        <v>131</v>
      </c>
      <c r="D18" s="27" t="s">
        <v>132</v>
      </c>
      <c r="E18" s="27"/>
      <c r="F18" s="27" t="s">
        <v>1244</v>
      </c>
      <c r="G18" s="27"/>
      <c r="H18" s="27" t="s">
        <v>64</v>
      </c>
      <c r="I18" s="29" t="s">
        <v>133</v>
      </c>
      <c r="J18" s="27"/>
      <c r="K18" s="27"/>
      <c r="L18" s="27"/>
      <c r="M18" s="27" t="s">
        <v>66</v>
      </c>
      <c r="N18" s="27" t="s">
        <v>67</v>
      </c>
      <c r="O18" s="14" t="b">
        <v>0</v>
      </c>
      <c r="P18" s="27" t="s">
        <v>127</v>
      </c>
      <c r="Q18" s="27"/>
      <c r="R18" s="27"/>
      <c r="S18" s="27" t="s">
        <v>134</v>
      </c>
      <c r="T18" s="27" t="s">
        <v>4058</v>
      </c>
      <c r="U18" s="26"/>
      <c r="V18" s="23">
        <v>45072.0</v>
      </c>
      <c r="W18" s="27" t="s">
        <v>4050</v>
      </c>
      <c r="X18" s="25"/>
      <c r="Y18" s="25"/>
      <c r="Z18" s="25">
        <v>5205400.0</v>
      </c>
      <c r="AA18" s="19">
        <f t="shared" si="1"/>
        <v>5</v>
      </c>
      <c r="AB18" s="19">
        <f t="shared" si="2"/>
        <v>5</v>
      </c>
      <c r="AC18" s="19"/>
    </row>
    <row r="19" ht="15.75" customHeight="1">
      <c r="A19" s="12">
        <v>45057.0</v>
      </c>
      <c r="B19" s="13" t="s">
        <v>28</v>
      </c>
      <c r="C19" s="14" t="s">
        <v>135</v>
      </c>
      <c r="D19" s="14"/>
      <c r="E19" s="14"/>
      <c r="F19" s="14" t="s">
        <v>457</v>
      </c>
      <c r="G19" s="14"/>
      <c r="H19" s="14" t="s">
        <v>64</v>
      </c>
      <c r="I19" s="15" t="s">
        <v>136</v>
      </c>
      <c r="J19" s="14"/>
      <c r="K19" s="14"/>
      <c r="L19" s="14" t="s">
        <v>137</v>
      </c>
      <c r="M19" s="14" t="s">
        <v>48</v>
      </c>
      <c r="N19" s="14" t="s">
        <v>34</v>
      </c>
      <c r="O19" s="14" t="b">
        <v>0</v>
      </c>
      <c r="P19" s="14"/>
      <c r="Q19" s="14"/>
      <c r="R19" s="14"/>
      <c r="S19" s="14" t="s">
        <v>138</v>
      </c>
      <c r="T19" s="14" t="s">
        <v>36</v>
      </c>
      <c r="U19" s="41"/>
      <c r="V19" s="14"/>
      <c r="W19" s="14"/>
      <c r="X19" s="18"/>
      <c r="Y19" s="18"/>
      <c r="Z19" s="18"/>
      <c r="AA19" s="19">
        <f t="shared" si="1"/>
        <v>5</v>
      </c>
      <c r="AB19" s="19" t="str">
        <f t="shared" si="2"/>
        <v/>
      </c>
      <c r="AC19" s="19"/>
    </row>
    <row r="20" ht="15.75" customHeight="1">
      <c r="A20" s="12">
        <v>45058.0</v>
      </c>
      <c r="B20" s="13" t="s">
        <v>28</v>
      </c>
      <c r="C20" s="14"/>
      <c r="D20" s="43" t="s">
        <v>139</v>
      </c>
      <c r="E20" s="14"/>
      <c r="F20" s="14"/>
      <c r="G20" s="14">
        <v>3.0</v>
      </c>
      <c r="H20" s="14"/>
      <c r="I20" s="42" t="s">
        <v>140</v>
      </c>
      <c r="J20" s="14"/>
      <c r="K20" s="14"/>
      <c r="L20" s="14"/>
      <c r="M20" s="14" t="s">
        <v>48</v>
      </c>
      <c r="N20" s="14" t="s">
        <v>34</v>
      </c>
      <c r="O20" s="14" t="b">
        <v>0</v>
      </c>
      <c r="P20" s="14"/>
      <c r="Q20" s="14"/>
      <c r="R20" s="14"/>
      <c r="S20" s="14" t="s">
        <v>141</v>
      </c>
      <c r="T20" s="14" t="s">
        <v>36</v>
      </c>
      <c r="U20" s="17"/>
      <c r="V20" s="14"/>
      <c r="W20" s="14"/>
      <c r="X20" s="18"/>
      <c r="Y20" s="18"/>
      <c r="Z20" s="18"/>
      <c r="AA20" s="19">
        <f t="shared" si="1"/>
        <v>5</v>
      </c>
      <c r="AB20" s="19" t="str">
        <f t="shared" si="2"/>
        <v/>
      </c>
      <c r="AC20" s="19"/>
    </row>
    <row r="21" ht="15.75" customHeight="1">
      <c r="A21" s="12">
        <v>45048.0</v>
      </c>
      <c r="B21" s="24" t="s">
        <v>28</v>
      </c>
      <c r="C21" s="14"/>
      <c r="D21" s="14" t="s">
        <v>142</v>
      </c>
      <c r="E21" s="14"/>
      <c r="F21" s="14"/>
      <c r="G21" s="14" t="s">
        <v>143</v>
      </c>
      <c r="H21" s="14"/>
      <c r="I21" s="15" t="s">
        <v>144</v>
      </c>
      <c r="J21" s="16" t="s">
        <v>145</v>
      </c>
      <c r="K21" s="14"/>
      <c r="L21" s="14" t="s">
        <v>146</v>
      </c>
      <c r="M21" s="14" t="s">
        <v>48</v>
      </c>
      <c r="N21" s="14" t="s">
        <v>34</v>
      </c>
      <c r="O21" s="14" t="b">
        <v>0</v>
      </c>
      <c r="P21" s="14"/>
      <c r="Q21" s="14"/>
      <c r="R21" s="14"/>
      <c r="S21" s="14" t="s">
        <v>147</v>
      </c>
      <c r="T21" s="14" t="s">
        <v>36</v>
      </c>
      <c r="U21" s="41"/>
      <c r="V21" s="14"/>
      <c r="W21" s="14"/>
      <c r="X21" s="18"/>
      <c r="Y21" s="18"/>
      <c r="Z21" s="18"/>
      <c r="AA21" s="19">
        <f t="shared" si="1"/>
        <v>5</v>
      </c>
      <c r="AB21" s="19" t="str">
        <f t="shared" si="2"/>
        <v/>
      </c>
      <c r="AC21" s="19"/>
    </row>
    <row r="22" ht="15.75" customHeight="1">
      <c r="A22" s="12">
        <v>45059.0</v>
      </c>
      <c r="B22" s="24" t="s">
        <v>28</v>
      </c>
      <c r="C22" s="14"/>
      <c r="D22" s="14" t="s">
        <v>148</v>
      </c>
      <c r="E22" s="14"/>
      <c r="F22" s="14"/>
      <c r="G22" s="14" t="s">
        <v>149</v>
      </c>
      <c r="H22" s="14" t="s">
        <v>64</v>
      </c>
      <c r="I22" s="15"/>
      <c r="J22" s="16" t="s">
        <v>150</v>
      </c>
      <c r="K22" s="14"/>
      <c r="L22" s="14" t="s">
        <v>151</v>
      </c>
      <c r="M22" s="14" t="s">
        <v>152</v>
      </c>
      <c r="N22" s="14" t="s">
        <v>34</v>
      </c>
      <c r="O22" s="14" t="b">
        <v>0</v>
      </c>
      <c r="P22" s="14"/>
      <c r="Q22" s="14"/>
      <c r="R22" s="14"/>
      <c r="S22" s="14" t="s">
        <v>153</v>
      </c>
      <c r="T22" s="14" t="s">
        <v>36</v>
      </c>
      <c r="U22" s="17"/>
      <c r="V22" s="14"/>
      <c r="W22" s="14"/>
      <c r="X22" s="18"/>
      <c r="Y22" s="18"/>
      <c r="Z22" s="18"/>
      <c r="AA22" s="19">
        <f t="shared" si="1"/>
        <v>5</v>
      </c>
      <c r="AB22" s="19" t="str">
        <f t="shared" si="2"/>
        <v/>
      </c>
      <c r="AC22" s="19"/>
    </row>
    <row r="23" ht="15.75" customHeight="1">
      <c r="A23" s="12">
        <v>45059.0</v>
      </c>
      <c r="B23" s="14" t="s">
        <v>60</v>
      </c>
      <c r="C23" s="14" t="s">
        <v>154</v>
      </c>
      <c r="D23" s="14" t="s">
        <v>4059</v>
      </c>
      <c r="E23" s="14"/>
      <c r="F23" s="14">
        <v>2012.0</v>
      </c>
      <c r="G23" s="14" t="s">
        <v>155</v>
      </c>
      <c r="H23" s="14"/>
      <c r="I23" s="15" t="s">
        <v>156</v>
      </c>
      <c r="J23" s="14"/>
      <c r="K23" s="14"/>
      <c r="L23" s="14" t="s">
        <v>4060</v>
      </c>
      <c r="M23" s="14" t="s">
        <v>48</v>
      </c>
      <c r="N23" s="14" t="s">
        <v>158</v>
      </c>
      <c r="O23" s="13" t="b">
        <v>1</v>
      </c>
      <c r="P23" s="14" t="s">
        <v>159</v>
      </c>
      <c r="Q23" s="14"/>
      <c r="R23" s="14"/>
      <c r="S23" s="14" t="s">
        <v>160</v>
      </c>
      <c r="T23" s="14" t="s">
        <v>4061</v>
      </c>
      <c r="U23" s="17"/>
      <c r="V23" s="14"/>
      <c r="W23" s="14"/>
      <c r="X23" s="18"/>
      <c r="Y23" s="18"/>
      <c r="Z23" s="18"/>
      <c r="AA23" s="19">
        <f t="shared" si="1"/>
        <v>5</v>
      </c>
      <c r="AB23" s="19" t="str">
        <f t="shared" si="2"/>
        <v/>
      </c>
      <c r="AC23" s="19"/>
    </row>
    <row r="24" ht="15.75" customHeight="1">
      <c r="A24" s="12">
        <v>45059.0</v>
      </c>
      <c r="B24" s="44" t="s">
        <v>60</v>
      </c>
      <c r="C24" s="44" t="s">
        <v>161</v>
      </c>
      <c r="D24" s="44" t="s">
        <v>162</v>
      </c>
      <c r="E24" s="44"/>
      <c r="F24" s="44" t="s">
        <v>646</v>
      </c>
      <c r="G24" s="44"/>
      <c r="H24" s="44"/>
      <c r="I24" s="47" t="s">
        <v>163</v>
      </c>
      <c r="J24" s="44"/>
      <c r="K24" s="44" t="s">
        <v>164</v>
      </c>
      <c r="L24" s="249">
        <v>45052.0</v>
      </c>
      <c r="M24" s="44" t="s">
        <v>111</v>
      </c>
      <c r="N24" s="44" t="s">
        <v>34</v>
      </c>
      <c r="O24" s="14" t="b">
        <v>0</v>
      </c>
      <c r="P24" s="44" t="s">
        <v>4062</v>
      </c>
      <c r="Q24" s="14"/>
      <c r="R24" s="14"/>
      <c r="S24" s="44" t="s">
        <v>166</v>
      </c>
      <c r="T24" s="44" t="s">
        <v>4063</v>
      </c>
      <c r="U24" s="48">
        <v>45094.0</v>
      </c>
      <c r="V24" s="44"/>
      <c r="W24" s="44"/>
      <c r="X24" s="45"/>
      <c r="Y24" s="45"/>
      <c r="Z24" s="45"/>
      <c r="AA24" s="19">
        <f t="shared" si="1"/>
        <v>5</v>
      </c>
      <c r="AB24" s="19" t="str">
        <f t="shared" si="2"/>
        <v/>
      </c>
      <c r="AC24" s="19"/>
    </row>
    <row r="25" ht="15.75" customHeight="1">
      <c r="A25" s="49">
        <v>45061.0</v>
      </c>
      <c r="B25" s="13" t="s">
        <v>28</v>
      </c>
      <c r="C25" s="53" t="s">
        <v>4064</v>
      </c>
      <c r="D25" s="14" t="s">
        <v>168</v>
      </c>
      <c r="E25" s="14"/>
      <c r="F25" s="14">
        <v>2016.0</v>
      </c>
      <c r="G25" s="14" t="s">
        <v>169</v>
      </c>
      <c r="H25" s="14"/>
      <c r="I25" s="51" t="s">
        <v>170</v>
      </c>
      <c r="J25" s="52" t="s">
        <v>171</v>
      </c>
      <c r="K25" s="53"/>
      <c r="L25" s="53" t="s">
        <v>4065</v>
      </c>
      <c r="M25" s="14" t="s">
        <v>111</v>
      </c>
      <c r="N25" s="14" t="s">
        <v>34</v>
      </c>
      <c r="O25" s="14" t="b">
        <v>1</v>
      </c>
      <c r="P25" s="14" t="s">
        <v>173</v>
      </c>
      <c r="Q25" s="14"/>
      <c r="R25" s="14"/>
      <c r="S25" s="53" t="s">
        <v>174</v>
      </c>
      <c r="T25" s="53" t="s">
        <v>36</v>
      </c>
      <c r="U25" s="54"/>
      <c r="V25" s="14"/>
      <c r="W25" s="14"/>
      <c r="X25" s="18"/>
      <c r="Y25" s="18"/>
      <c r="Z25" s="18"/>
      <c r="AA25" s="19">
        <f t="shared" si="1"/>
        <v>5</v>
      </c>
      <c r="AB25" s="19" t="str">
        <f t="shared" si="2"/>
        <v/>
      </c>
      <c r="AC25" s="19"/>
    </row>
    <row r="26" ht="15.75" customHeight="1">
      <c r="A26" s="49">
        <v>45061.0</v>
      </c>
      <c r="B26" s="13" t="s">
        <v>28</v>
      </c>
      <c r="C26" s="11"/>
      <c r="D26" s="14" t="s">
        <v>175</v>
      </c>
      <c r="E26" s="14"/>
      <c r="F26" s="14">
        <v>2015.0</v>
      </c>
      <c r="G26" s="14" t="s">
        <v>176</v>
      </c>
      <c r="H26" s="14"/>
      <c r="I26" s="11"/>
      <c r="J26" s="11"/>
      <c r="K26" s="11"/>
      <c r="L26" s="11"/>
      <c r="M26" s="14" t="s">
        <v>111</v>
      </c>
      <c r="N26" s="14" t="s">
        <v>34</v>
      </c>
      <c r="O26" s="14" t="b">
        <v>1</v>
      </c>
      <c r="P26" s="62" t="s">
        <v>177</v>
      </c>
      <c r="Q26" s="14"/>
      <c r="R26" s="14"/>
      <c r="S26" s="11"/>
      <c r="T26" s="11"/>
      <c r="U26" s="11"/>
      <c r="V26" s="14"/>
      <c r="W26" s="14"/>
      <c r="X26" s="18"/>
      <c r="Y26" s="18"/>
      <c r="Z26" s="18"/>
      <c r="AA26" s="19">
        <f t="shared" si="1"/>
        <v>5</v>
      </c>
      <c r="AB26" s="19" t="str">
        <f t="shared" si="2"/>
        <v/>
      </c>
      <c r="AC26" s="19"/>
    </row>
    <row r="27" ht="15.75" customHeight="1">
      <c r="A27" s="12">
        <v>45061.0</v>
      </c>
      <c r="B27" s="14" t="s">
        <v>84</v>
      </c>
      <c r="C27" s="14"/>
      <c r="D27" s="14" t="s">
        <v>178</v>
      </c>
      <c r="E27" s="14"/>
      <c r="F27" s="14"/>
      <c r="G27" s="14"/>
      <c r="H27" s="14"/>
      <c r="I27" s="15" t="s">
        <v>179</v>
      </c>
      <c r="J27" s="14"/>
      <c r="K27" s="14"/>
      <c r="L27" s="14" t="s">
        <v>180</v>
      </c>
      <c r="M27" s="14" t="s">
        <v>111</v>
      </c>
      <c r="N27" s="14" t="s">
        <v>34</v>
      </c>
      <c r="O27" s="14" t="b">
        <v>0</v>
      </c>
      <c r="P27" s="14"/>
      <c r="Q27" s="14"/>
      <c r="R27" s="14"/>
      <c r="S27" s="14" t="s">
        <v>181</v>
      </c>
      <c r="T27" s="14" t="s">
        <v>36</v>
      </c>
      <c r="U27" s="17"/>
      <c r="V27" s="14"/>
      <c r="W27" s="14"/>
      <c r="X27" s="18"/>
      <c r="Y27" s="18"/>
      <c r="Z27" s="18"/>
      <c r="AA27" s="19">
        <f t="shared" si="1"/>
        <v>5</v>
      </c>
      <c r="AB27" s="19" t="str">
        <f t="shared" si="2"/>
        <v/>
      </c>
      <c r="AC27" s="19"/>
    </row>
    <row r="28" ht="15.75" customHeight="1">
      <c r="A28" s="12">
        <v>45062.0</v>
      </c>
      <c r="B28" s="14" t="s">
        <v>60</v>
      </c>
      <c r="C28" s="14" t="s">
        <v>4066</v>
      </c>
      <c r="D28" s="14" t="s">
        <v>183</v>
      </c>
      <c r="E28" s="14"/>
      <c r="F28" s="14"/>
      <c r="G28" s="14"/>
      <c r="H28" s="14"/>
      <c r="I28" s="56" t="s">
        <v>184</v>
      </c>
      <c r="J28" s="14"/>
      <c r="K28" s="13" t="s">
        <v>185</v>
      </c>
      <c r="L28" s="14" t="s">
        <v>186</v>
      </c>
      <c r="M28" s="14" t="s">
        <v>111</v>
      </c>
      <c r="N28" s="14" t="s">
        <v>34</v>
      </c>
      <c r="O28" s="14" t="b">
        <v>1</v>
      </c>
      <c r="P28" s="14" t="s">
        <v>187</v>
      </c>
      <c r="Q28" s="14"/>
      <c r="R28" s="14"/>
      <c r="S28" s="14" t="s">
        <v>188</v>
      </c>
      <c r="T28" s="14" t="s">
        <v>36</v>
      </c>
      <c r="U28" s="17"/>
      <c r="V28" s="14"/>
      <c r="W28" s="14"/>
      <c r="X28" s="18"/>
      <c r="Y28" s="18"/>
      <c r="Z28" s="18"/>
      <c r="AA28" s="19">
        <f t="shared" si="1"/>
        <v>5</v>
      </c>
      <c r="AB28" s="19" t="str">
        <f t="shared" si="2"/>
        <v/>
      </c>
      <c r="AC28" s="19"/>
    </row>
    <row r="29" ht="15.75" customHeight="1">
      <c r="A29" s="12">
        <v>45062.0</v>
      </c>
      <c r="B29" s="13" t="s">
        <v>28</v>
      </c>
      <c r="C29" s="14" t="s">
        <v>189</v>
      </c>
      <c r="D29" s="14" t="s">
        <v>190</v>
      </c>
      <c r="E29" s="14"/>
      <c r="F29" s="14" t="s">
        <v>425</v>
      </c>
      <c r="G29" s="14"/>
      <c r="H29" s="14" t="s">
        <v>191</v>
      </c>
      <c r="I29" s="57" t="s">
        <v>192</v>
      </c>
      <c r="J29" s="16" t="s">
        <v>193</v>
      </c>
      <c r="K29" s="14"/>
      <c r="L29" s="14" t="s">
        <v>4067</v>
      </c>
      <c r="M29" s="14" t="s">
        <v>48</v>
      </c>
      <c r="N29" s="14" t="s">
        <v>34</v>
      </c>
      <c r="O29" s="14" t="b">
        <v>0</v>
      </c>
      <c r="P29" s="14"/>
      <c r="Q29" s="14"/>
      <c r="R29" s="14"/>
      <c r="S29" s="14" t="s">
        <v>195</v>
      </c>
      <c r="T29" s="14" t="s">
        <v>36</v>
      </c>
      <c r="U29" s="17"/>
      <c r="V29" s="14"/>
      <c r="W29" s="14"/>
      <c r="X29" s="18"/>
      <c r="Y29" s="18"/>
      <c r="Z29" s="18"/>
      <c r="AA29" s="19">
        <f t="shared" si="1"/>
        <v>5</v>
      </c>
      <c r="AB29" s="19" t="str">
        <f t="shared" si="2"/>
        <v/>
      </c>
      <c r="AC29" s="19"/>
    </row>
    <row r="30" ht="15.75" customHeight="1">
      <c r="A30" s="12">
        <v>45063.0</v>
      </c>
      <c r="B30" s="13" t="s">
        <v>28</v>
      </c>
      <c r="C30" s="14" t="s">
        <v>4068</v>
      </c>
      <c r="D30" s="14" t="s">
        <v>197</v>
      </c>
      <c r="E30" s="14"/>
      <c r="F30" s="142">
        <v>42500.0</v>
      </c>
      <c r="G30" s="14"/>
      <c r="H30" s="14"/>
      <c r="I30" s="15" t="s">
        <v>198</v>
      </c>
      <c r="J30" s="14"/>
      <c r="K30" s="14"/>
      <c r="L30" s="14" t="s">
        <v>199</v>
      </c>
      <c r="M30" s="14" t="s">
        <v>111</v>
      </c>
      <c r="N30" s="14" t="s">
        <v>34</v>
      </c>
      <c r="O30" s="14" t="b">
        <v>0</v>
      </c>
      <c r="P30" s="14"/>
      <c r="Q30" s="14"/>
      <c r="R30" s="14"/>
      <c r="S30" s="14" t="s">
        <v>200</v>
      </c>
      <c r="T30" s="14" t="s">
        <v>4069</v>
      </c>
      <c r="U30" s="17"/>
      <c r="V30" s="14"/>
      <c r="W30" s="14"/>
      <c r="X30" s="18"/>
      <c r="Y30" s="18"/>
      <c r="Z30" s="18"/>
      <c r="AA30" s="19">
        <f t="shared" si="1"/>
        <v>5</v>
      </c>
      <c r="AB30" s="19" t="str">
        <f t="shared" si="2"/>
        <v/>
      </c>
      <c r="AC30" s="19"/>
    </row>
    <row r="31" ht="15.75" customHeight="1">
      <c r="A31" s="12">
        <v>45063.0</v>
      </c>
      <c r="B31" s="14" t="s">
        <v>201</v>
      </c>
      <c r="C31" s="14" t="s">
        <v>4070</v>
      </c>
      <c r="D31" s="14"/>
      <c r="E31" s="14"/>
      <c r="F31" s="14" t="s">
        <v>4071</v>
      </c>
      <c r="G31" s="14">
        <v>2.0</v>
      </c>
      <c r="H31" s="14" t="s">
        <v>203</v>
      </c>
      <c r="I31" s="15" t="s">
        <v>204</v>
      </c>
      <c r="J31" s="14"/>
      <c r="K31" s="14"/>
      <c r="L31" s="14"/>
      <c r="M31" s="14" t="s">
        <v>56</v>
      </c>
      <c r="N31" s="14" t="s">
        <v>34</v>
      </c>
      <c r="O31" s="14" t="b">
        <v>1</v>
      </c>
      <c r="P31" s="14" t="s">
        <v>205</v>
      </c>
      <c r="Q31" s="14"/>
      <c r="R31" s="14"/>
      <c r="S31" s="14" t="s">
        <v>206</v>
      </c>
      <c r="T31" s="14" t="s">
        <v>4072</v>
      </c>
      <c r="U31" s="17"/>
      <c r="V31" s="14"/>
      <c r="W31" s="14"/>
      <c r="X31" s="18"/>
      <c r="Y31" s="18"/>
      <c r="Z31" s="18"/>
      <c r="AA31" s="19">
        <f t="shared" si="1"/>
        <v>5</v>
      </c>
      <c r="AB31" s="19" t="str">
        <f t="shared" si="2"/>
        <v/>
      </c>
      <c r="AC31" s="19"/>
    </row>
    <row r="32" ht="15.75" customHeight="1">
      <c r="A32" s="12">
        <v>45063.0</v>
      </c>
      <c r="B32" s="24" t="s">
        <v>28</v>
      </c>
      <c r="C32" s="14"/>
      <c r="D32" s="14" t="s">
        <v>207</v>
      </c>
      <c r="E32" s="14"/>
      <c r="F32" s="14"/>
      <c r="G32" s="14" t="s">
        <v>149</v>
      </c>
      <c r="H32" s="14"/>
      <c r="I32" s="15" t="s">
        <v>94</v>
      </c>
      <c r="J32" s="14"/>
      <c r="K32" s="14" t="s">
        <v>208</v>
      </c>
      <c r="L32" s="14" t="s">
        <v>209</v>
      </c>
      <c r="M32" s="14" t="s">
        <v>56</v>
      </c>
      <c r="N32" s="14" t="s">
        <v>34</v>
      </c>
      <c r="O32" s="14" t="b">
        <v>0</v>
      </c>
      <c r="P32" s="14"/>
      <c r="Q32" s="14"/>
      <c r="R32" s="14"/>
      <c r="S32" s="14"/>
      <c r="T32" s="14"/>
      <c r="U32" s="17"/>
      <c r="V32" s="14"/>
      <c r="W32" s="14"/>
      <c r="X32" s="18"/>
      <c r="Y32" s="18"/>
      <c r="Z32" s="18"/>
      <c r="AA32" s="19">
        <f t="shared" si="1"/>
        <v>5</v>
      </c>
      <c r="AB32" s="19" t="str">
        <f t="shared" si="2"/>
        <v/>
      </c>
      <c r="AC32" s="19"/>
    </row>
    <row r="33" ht="15.75" customHeight="1">
      <c r="A33" s="12">
        <v>45063.0</v>
      </c>
      <c r="B33" s="13" t="s">
        <v>28</v>
      </c>
      <c r="C33" s="14"/>
      <c r="D33" s="14" t="s">
        <v>210</v>
      </c>
      <c r="E33" s="14"/>
      <c r="F33" s="14"/>
      <c r="G33" s="14">
        <v>4.0</v>
      </c>
      <c r="H33" s="14"/>
      <c r="I33" s="15" t="s">
        <v>211</v>
      </c>
      <c r="J33" s="14"/>
      <c r="K33" s="14"/>
      <c r="L33" s="14"/>
      <c r="M33" s="14" t="s">
        <v>48</v>
      </c>
      <c r="N33" s="14" t="s">
        <v>34</v>
      </c>
      <c r="O33" s="14" t="b">
        <v>0</v>
      </c>
      <c r="P33" s="14"/>
      <c r="Q33" s="14"/>
      <c r="R33" s="14"/>
      <c r="S33" s="14" t="s">
        <v>212</v>
      </c>
      <c r="T33" s="14" t="s">
        <v>4073</v>
      </c>
      <c r="U33" s="17"/>
      <c r="V33" s="14"/>
      <c r="W33" s="14"/>
      <c r="X33" s="18"/>
      <c r="Y33" s="18"/>
      <c r="Z33" s="18"/>
      <c r="AA33" s="19">
        <f t="shared" si="1"/>
        <v>5</v>
      </c>
      <c r="AB33" s="19" t="str">
        <f t="shared" si="2"/>
        <v/>
      </c>
      <c r="AC33" s="19"/>
    </row>
    <row r="34" ht="15.75" customHeight="1">
      <c r="A34" s="12">
        <v>45063.0</v>
      </c>
      <c r="B34" s="24" t="s">
        <v>28</v>
      </c>
      <c r="C34" s="14"/>
      <c r="D34" s="14" t="s">
        <v>213</v>
      </c>
      <c r="E34" s="14"/>
      <c r="F34" s="14"/>
      <c r="G34" s="14"/>
      <c r="H34" s="14"/>
      <c r="I34" s="15" t="s">
        <v>214</v>
      </c>
      <c r="J34" s="14"/>
      <c r="K34" s="14"/>
      <c r="L34" s="14" t="s">
        <v>215</v>
      </c>
      <c r="M34" s="14" t="s">
        <v>152</v>
      </c>
      <c r="N34" s="14" t="s">
        <v>216</v>
      </c>
      <c r="O34" s="14" t="b">
        <v>0</v>
      </c>
      <c r="P34" s="14"/>
      <c r="Q34" s="14"/>
      <c r="R34" s="14"/>
      <c r="S34" s="14" t="s">
        <v>217</v>
      </c>
      <c r="T34" s="14" t="s">
        <v>4073</v>
      </c>
      <c r="U34" s="17"/>
      <c r="V34" s="14"/>
      <c r="W34" s="14"/>
      <c r="X34" s="18"/>
      <c r="Y34" s="18"/>
      <c r="Z34" s="18"/>
      <c r="AA34" s="19">
        <f t="shared" si="1"/>
        <v>5</v>
      </c>
      <c r="AB34" s="19" t="str">
        <f t="shared" si="2"/>
        <v/>
      </c>
      <c r="AC34" s="19"/>
    </row>
    <row r="35" ht="15.75" customHeight="1">
      <c r="A35" s="12">
        <v>45064.0</v>
      </c>
      <c r="B35" s="24" t="s">
        <v>28</v>
      </c>
      <c r="C35" s="14"/>
      <c r="D35" s="14" t="s">
        <v>218</v>
      </c>
      <c r="E35" s="14"/>
      <c r="F35" s="14"/>
      <c r="G35" s="14" t="s">
        <v>219</v>
      </c>
      <c r="H35" s="14"/>
      <c r="I35" s="15"/>
      <c r="J35" s="14"/>
      <c r="K35" s="14"/>
      <c r="L35" s="14" t="s">
        <v>221</v>
      </c>
      <c r="M35" s="14" t="s">
        <v>152</v>
      </c>
      <c r="N35" s="14" t="s">
        <v>216</v>
      </c>
      <c r="O35" s="14" t="b">
        <v>0</v>
      </c>
      <c r="P35" s="14"/>
      <c r="Q35" s="14"/>
      <c r="R35" s="14"/>
      <c r="S35" s="14" t="s">
        <v>222</v>
      </c>
      <c r="T35" s="14" t="s">
        <v>4073</v>
      </c>
      <c r="U35" s="17"/>
      <c r="V35" s="14"/>
      <c r="W35" s="14"/>
      <c r="X35" s="18"/>
      <c r="Y35" s="18"/>
      <c r="Z35" s="18"/>
      <c r="AA35" s="19">
        <f t="shared" si="1"/>
        <v>5</v>
      </c>
      <c r="AB35" s="19" t="str">
        <f t="shared" si="2"/>
        <v/>
      </c>
      <c r="AC35" s="19"/>
    </row>
    <row r="36" ht="15.75" customHeight="1">
      <c r="A36" s="12">
        <v>45064.0</v>
      </c>
      <c r="B36" s="24" t="s">
        <v>28</v>
      </c>
      <c r="C36" s="14"/>
      <c r="D36" s="14" t="s">
        <v>223</v>
      </c>
      <c r="E36" s="14"/>
      <c r="F36" s="14"/>
      <c r="G36" s="14"/>
      <c r="H36" s="14"/>
      <c r="I36" s="15"/>
      <c r="J36" s="14"/>
      <c r="K36" s="14"/>
      <c r="L36" s="14"/>
      <c r="M36" s="14" t="s">
        <v>152</v>
      </c>
      <c r="N36" s="14" t="s">
        <v>34</v>
      </c>
      <c r="O36" s="14" t="b">
        <v>0</v>
      </c>
      <c r="P36" s="14"/>
      <c r="Q36" s="14"/>
      <c r="R36" s="14"/>
      <c r="S36" s="14" t="s">
        <v>225</v>
      </c>
      <c r="T36" s="14"/>
      <c r="U36" s="17"/>
      <c r="V36" s="14"/>
      <c r="W36" s="14"/>
      <c r="X36" s="18"/>
      <c r="Y36" s="18"/>
      <c r="Z36" s="18"/>
      <c r="AA36" s="19">
        <f t="shared" si="1"/>
        <v>5</v>
      </c>
      <c r="AB36" s="19" t="str">
        <f t="shared" si="2"/>
        <v/>
      </c>
      <c r="AC36" s="19"/>
    </row>
    <row r="37" ht="15.75" customHeight="1">
      <c r="A37" s="12">
        <v>45064.0</v>
      </c>
      <c r="B37" s="13" t="s">
        <v>28</v>
      </c>
      <c r="C37" s="14" t="s">
        <v>226</v>
      </c>
      <c r="D37" s="14"/>
      <c r="E37" s="14"/>
      <c r="F37" s="14" t="s">
        <v>1244</v>
      </c>
      <c r="G37" s="14"/>
      <c r="H37" s="14"/>
      <c r="I37" s="15" t="s">
        <v>227</v>
      </c>
      <c r="J37" s="14"/>
      <c r="K37" s="14"/>
      <c r="L37" s="14"/>
      <c r="M37" s="14" t="s">
        <v>56</v>
      </c>
      <c r="N37" s="14" t="s">
        <v>34</v>
      </c>
      <c r="O37" s="14" t="b">
        <v>0</v>
      </c>
      <c r="P37" s="14"/>
      <c r="Q37" s="14"/>
      <c r="R37" s="14"/>
      <c r="S37" s="14" t="s">
        <v>228</v>
      </c>
      <c r="T37" s="14" t="s">
        <v>4074</v>
      </c>
      <c r="U37" s="17"/>
      <c r="V37" s="14"/>
      <c r="W37" s="14"/>
      <c r="X37" s="18"/>
      <c r="Y37" s="18"/>
      <c r="Z37" s="18"/>
      <c r="AA37" s="19">
        <f t="shared" si="1"/>
        <v>5</v>
      </c>
      <c r="AB37" s="19" t="str">
        <f t="shared" si="2"/>
        <v/>
      </c>
      <c r="AC37" s="19"/>
    </row>
    <row r="38" ht="15.75" customHeight="1">
      <c r="A38" s="26">
        <v>45064.0</v>
      </c>
      <c r="B38" s="13" t="s">
        <v>28</v>
      </c>
      <c r="C38" s="27" t="s">
        <v>4075</v>
      </c>
      <c r="D38" s="27" t="s">
        <v>233</v>
      </c>
      <c r="E38" s="27"/>
      <c r="F38" s="27"/>
      <c r="G38" s="58" t="s">
        <v>234</v>
      </c>
      <c r="H38" s="27"/>
      <c r="I38" s="34" t="s">
        <v>235</v>
      </c>
      <c r="J38" s="27"/>
      <c r="K38" s="27"/>
      <c r="L38" s="27" t="s">
        <v>236</v>
      </c>
      <c r="M38" s="27" t="s">
        <v>66</v>
      </c>
      <c r="N38" s="27" t="s">
        <v>67</v>
      </c>
      <c r="O38" s="14" t="b">
        <v>1</v>
      </c>
      <c r="P38" s="27" t="s">
        <v>4076</v>
      </c>
      <c r="Q38" s="27"/>
      <c r="R38" s="27"/>
      <c r="S38" s="27" t="s">
        <v>239</v>
      </c>
      <c r="T38" s="27" t="s">
        <v>4077</v>
      </c>
      <c r="U38" s="26"/>
      <c r="V38" s="32">
        <v>45071.0</v>
      </c>
      <c r="W38" s="27" t="s">
        <v>397</v>
      </c>
      <c r="X38" s="25" t="s">
        <v>231</v>
      </c>
      <c r="Y38" s="25"/>
      <c r="Z38" s="25">
        <v>5348000.0</v>
      </c>
      <c r="AA38" s="19">
        <f t="shared" si="1"/>
        <v>5</v>
      </c>
      <c r="AB38" s="19">
        <f t="shared" si="2"/>
        <v>5</v>
      </c>
      <c r="AC38" s="19"/>
    </row>
    <row r="39" ht="15.75" customHeight="1">
      <c r="A39" s="12">
        <v>45065.0</v>
      </c>
      <c r="B39" s="13" t="s">
        <v>28</v>
      </c>
      <c r="C39" s="14" t="s">
        <v>240</v>
      </c>
      <c r="D39" s="14"/>
      <c r="E39" s="14"/>
      <c r="F39" s="14" t="s">
        <v>4078</v>
      </c>
      <c r="G39" s="14"/>
      <c r="H39" s="14"/>
      <c r="I39" s="15" t="s">
        <v>241</v>
      </c>
      <c r="J39" s="14"/>
      <c r="K39" s="14"/>
      <c r="L39" s="14" t="s">
        <v>242</v>
      </c>
      <c r="M39" s="14" t="s">
        <v>111</v>
      </c>
      <c r="N39" s="14" t="s">
        <v>34</v>
      </c>
      <c r="O39" s="14" t="b">
        <v>0</v>
      </c>
      <c r="P39" s="14"/>
      <c r="Q39" s="14"/>
      <c r="R39" s="14"/>
      <c r="S39" s="14" t="s">
        <v>243</v>
      </c>
      <c r="T39" s="14" t="s">
        <v>36</v>
      </c>
      <c r="U39" s="17"/>
      <c r="V39" s="14"/>
      <c r="W39" s="14"/>
      <c r="X39" s="18"/>
      <c r="Y39" s="18"/>
      <c r="Z39" s="18"/>
      <c r="AA39" s="19">
        <f t="shared" si="1"/>
        <v>5</v>
      </c>
      <c r="AB39" s="19" t="str">
        <f t="shared" si="2"/>
        <v/>
      </c>
      <c r="AC39" s="19"/>
    </row>
    <row r="40" ht="15.75" customHeight="1">
      <c r="A40" s="59">
        <v>45065.0</v>
      </c>
      <c r="B40" s="24" t="s">
        <v>28</v>
      </c>
      <c r="C40" s="250"/>
      <c r="D40" s="14" t="s">
        <v>244</v>
      </c>
      <c r="E40" s="14"/>
      <c r="F40" s="14"/>
      <c r="G40" s="14"/>
      <c r="H40" s="14"/>
      <c r="I40" s="15"/>
      <c r="J40" s="14"/>
      <c r="K40" s="14"/>
      <c r="L40" s="14" t="s">
        <v>4079</v>
      </c>
      <c r="M40" s="14" t="s">
        <v>152</v>
      </c>
      <c r="N40" s="14" t="s">
        <v>34</v>
      </c>
      <c r="O40" s="14" t="b">
        <v>0</v>
      </c>
      <c r="P40" s="14"/>
      <c r="Q40" s="14"/>
      <c r="R40" s="14"/>
      <c r="S40" s="14" t="s">
        <v>246</v>
      </c>
      <c r="T40" s="14" t="s">
        <v>36</v>
      </c>
      <c r="U40" s="17"/>
      <c r="V40" s="14"/>
      <c r="W40" s="14"/>
      <c r="X40" s="18"/>
      <c r="Y40" s="18"/>
      <c r="Z40" s="18"/>
      <c r="AA40" s="19">
        <f t="shared" si="1"/>
        <v>5</v>
      </c>
      <c r="AB40" s="19" t="str">
        <f t="shared" si="2"/>
        <v/>
      </c>
      <c r="AC40" s="19"/>
    </row>
    <row r="41" ht="15.75" customHeight="1">
      <c r="A41" s="59">
        <v>45065.0</v>
      </c>
      <c r="B41" s="24" t="s">
        <v>28</v>
      </c>
      <c r="C41" s="250"/>
      <c r="D41" s="14" t="s">
        <v>247</v>
      </c>
      <c r="E41" s="14"/>
      <c r="F41" s="14" t="s">
        <v>219</v>
      </c>
      <c r="G41" s="14"/>
      <c r="H41" s="14"/>
      <c r="I41" s="15"/>
      <c r="J41" s="14"/>
      <c r="K41" s="14"/>
      <c r="L41" s="14" t="s">
        <v>249</v>
      </c>
      <c r="M41" s="14" t="s">
        <v>152</v>
      </c>
      <c r="N41" s="14" t="s">
        <v>34</v>
      </c>
      <c r="O41" s="14" t="b">
        <v>0</v>
      </c>
      <c r="P41" s="14"/>
      <c r="Q41" s="14"/>
      <c r="R41" s="14"/>
      <c r="S41" s="14" t="s">
        <v>250</v>
      </c>
      <c r="T41" s="14"/>
      <c r="U41" s="17"/>
      <c r="V41" s="14"/>
      <c r="W41" s="14"/>
      <c r="X41" s="18"/>
      <c r="Y41" s="18"/>
      <c r="Z41" s="18"/>
      <c r="AA41" s="19">
        <f t="shared" si="1"/>
        <v>5</v>
      </c>
      <c r="AB41" s="19" t="str">
        <f t="shared" si="2"/>
        <v/>
      </c>
      <c r="AC41" s="19"/>
    </row>
    <row r="42" ht="15.75" customHeight="1">
      <c r="A42" s="12">
        <v>45063.0</v>
      </c>
      <c r="B42" s="14" t="s">
        <v>201</v>
      </c>
      <c r="C42" s="14"/>
      <c r="D42" s="14" t="s">
        <v>4080</v>
      </c>
      <c r="E42" s="14"/>
      <c r="F42" s="14"/>
      <c r="G42" s="14"/>
      <c r="H42" s="14" t="s">
        <v>203</v>
      </c>
      <c r="I42" s="15" t="s">
        <v>252</v>
      </c>
      <c r="J42" s="14"/>
      <c r="K42" s="14"/>
      <c r="L42" s="14" t="s">
        <v>253</v>
      </c>
      <c r="M42" s="14" t="s">
        <v>111</v>
      </c>
      <c r="N42" s="14" t="s">
        <v>34</v>
      </c>
      <c r="O42" s="14" t="b">
        <v>0</v>
      </c>
      <c r="P42" s="14"/>
      <c r="Q42" s="14"/>
      <c r="R42" s="14"/>
      <c r="S42" s="14" t="s">
        <v>254</v>
      </c>
      <c r="T42" s="14" t="s">
        <v>4053</v>
      </c>
      <c r="U42" s="17"/>
      <c r="V42" s="14"/>
      <c r="W42" s="14"/>
      <c r="X42" s="18"/>
      <c r="Y42" s="18"/>
      <c r="Z42" s="18"/>
      <c r="AA42" s="19">
        <f t="shared" si="1"/>
        <v>5</v>
      </c>
      <c r="AB42" s="19" t="str">
        <f t="shared" si="2"/>
        <v/>
      </c>
      <c r="AC42" s="19"/>
    </row>
    <row r="43" ht="15.75" customHeight="1">
      <c r="A43" s="12">
        <v>45066.0</v>
      </c>
      <c r="B43" s="13" t="s">
        <v>28</v>
      </c>
      <c r="C43" s="14" t="s">
        <v>255</v>
      </c>
      <c r="D43" s="14"/>
      <c r="E43" s="14"/>
      <c r="F43" s="14"/>
      <c r="G43" s="14"/>
      <c r="H43" s="14"/>
      <c r="I43" s="15" t="s">
        <v>256</v>
      </c>
      <c r="J43" s="14"/>
      <c r="K43" s="14"/>
      <c r="L43" s="14"/>
      <c r="M43" s="14" t="s">
        <v>56</v>
      </c>
      <c r="N43" s="14" t="s">
        <v>34</v>
      </c>
      <c r="O43" s="14" t="b">
        <v>0</v>
      </c>
      <c r="P43" s="14"/>
      <c r="Q43" s="14"/>
      <c r="R43" s="14"/>
      <c r="S43" s="14" t="s">
        <v>257</v>
      </c>
      <c r="T43" s="14" t="s">
        <v>36</v>
      </c>
      <c r="U43" s="17"/>
      <c r="V43" s="14"/>
      <c r="W43" s="14"/>
      <c r="X43" s="18"/>
      <c r="Y43" s="18"/>
      <c r="Z43" s="18"/>
      <c r="AA43" s="19">
        <f t="shared" si="1"/>
        <v>5</v>
      </c>
      <c r="AB43" s="19" t="str">
        <f t="shared" si="2"/>
        <v/>
      </c>
      <c r="AC43" s="19"/>
    </row>
    <row r="44" ht="15.75" customHeight="1">
      <c r="A44" s="12">
        <v>45066.0</v>
      </c>
      <c r="B44" s="13" t="s">
        <v>28</v>
      </c>
      <c r="C44" s="14" t="s">
        <v>258</v>
      </c>
      <c r="D44" s="14"/>
      <c r="E44" s="14"/>
      <c r="F44" s="14" t="s">
        <v>437</v>
      </c>
      <c r="G44" s="14"/>
      <c r="H44" s="14"/>
      <c r="I44" s="15" t="s">
        <v>259</v>
      </c>
      <c r="J44" s="14"/>
      <c r="K44" s="14"/>
      <c r="L44" s="14" t="s">
        <v>260</v>
      </c>
      <c r="M44" s="14" t="s">
        <v>111</v>
      </c>
      <c r="N44" s="14" t="s">
        <v>34</v>
      </c>
      <c r="O44" s="14" t="b">
        <v>0</v>
      </c>
      <c r="P44" s="14"/>
      <c r="Q44" s="14"/>
      <c r="R44" s="14"/>
      <c r="S44" s="14" t="s">
        <v>261</v>
      </c>
      <c r="T44" s="14" t="s">
        <v>36</v>
      </c>
      <c r="U44" s="17"/>
      <c r="V44" s="14"/>
      <c r="W44" s="14"/>
      <c r="X44" s="18"/>
      <c r="Y44" s="18"/>
      <c r="Z44" s="18"/>
      <c r="AA44" s="19">
        <f t="shared" si="1"/>
        <v>5</v>
      </c>
      <c r="AB44" s="19" t="str">
        <f t="shared" si="2"/>
        <v/>
      </c>
      <c r="AC44" s="19"/>
    </row>
    <row r="45" ht="15.75" customHeight="1">
      <c r="A45" s="12">
        <v>45066.0</v>
      </c>
      <c r="B45" s="13" t="s">
        <v>28</v>
      </c>
      <c r="C45" s="14" t="s">
        <v>262</v>
      </c>
      <c r="D45" s="14" t="s">
        <v>263</v>
      </c>
      <c r="E45" s="14"/>
      <c r="F45" s="14" t="s">
        <v>419</v>
      </c>
      <c r="G45" s="14"/>
      <c r="H45" s="14"/>
      <c r="I45" s="60" t="s">
        <v>264</v>
      </c>
      <c r="J45" s="14"/>
      <c r="K45" s="14"/>
      <c r="L45" s="14" t="s">
        <v>265</v>
      </c>
      <c r="M45" s="14" t="s">
        <v>48</v>
      </c>
      <c r="N45" s="14" t="s">
        <v>34</v>
      </c>
      <c r="O45" s="14" t="b">
        <v>0</v>
      </c>
      <c r="P45" s="14"/>
      <c r="Q45" s="14"/>
      <c r="R45" s="14"/>
      <c r="S45" s="14" t="s">
        <v>266</v>
      </c>
      <c r="T45" s="14" t="s">
        <v>4073</v>
      </c>
      <c r="U45" s="17"/>
      <c r="V45" s="14"/>
      <c r="W45" s="14"/>
      <c r="X45" s="18"/>
      <c r="Y45" s="18"/>
      <c r="Z45" s="18"/>
      <c r="AA45" s="19">
        <f t="shared" si="1"/>
        <v>5</v>
      </c>
      <c r="AB45" s="19" t="str">
        <f t="shared" si="2"/>
        <v/>
      </c>
      <c r="AC45" s="19"/>
    </row>
    <row r="46" ht="15.75" customHeight="1">
      <c r="A46" s="12">
        <v>45066.0</v>
      </c>
      <c r="B46" s="13" t="s">
        <v>28</v>
      </c>
      <c r="C46" s="250" t="s">
        <v>267</v>
      </c>
      <c r="D46" s="14"/>
      <c r="E46" s="14"/>
      <c r="F46" s="14" t="s">
        <v>542</v>
      </c>
      <c r="G46" s="14"/>
      <c r="H46" s="14"/>
      <c r="I46" s="57" t="s">
        <v>268</v>
      </c>
      <c r="J46" s="14"/>
      <c r="K46" s="14"/>
      <c r="L46" s="14"/>
      <c r="M46" s="14" t="s">
        <v>111</v>
      </c>
      <c r="N46" s="14" t="s">
        <v>34</v>
      </c>
      <c r="O46" s="14" t="b">
        <v>0</v>
      </c>
      <c r="P46" s="14"/>
      <c r="Q46" s="14"/>
      <c r="R46" s="14"/>
      <c r="S46" s="14" t="s">
        <v>269</v>
      </c>
      <c r="T46" s="14" t="s">
        <v>4053</v>
      </c>
      <c r="U46" s="17"/>
      <c r="V46" s="14"/>
      <c r="W46" s="14"/>
      <c r="X46" s="18"/>
      <c r="Y46" s="18"/>
      <c r="Z46" s="18"/>
      <c r="AA46" s="19">
        <f t="shared" si="1"/>
        <v>5</v>
      </c>
      <c r="AB46" s="19" t="str">
        <f t="shared" si="2"/>
        <v/>
      </c>
      <c r="AC46" s="19"/>
    </row>
    <row r="47" ht="15.75" customHeight="1">
      <c r="A47" s="12">
        <v>45066.0</v>
      </c>
      <c r="B47" s="13" t="s">
        <v>28</v>
      </c>
      <c r="C47" s="14" t="s">
        <v>270</v>
      </c>
      <c r="D47" s="14" t="s">
        <v>271</v>
      </c>
      <c r="E47" s="14"/>
      <c r="F47" s="14" t="s">
        <v>437</v>
      </c>
      <c r="G47" s="14">
        <v>10.0</v>
      </c>
      <c r="H47" s="14"/>
      <c r="I47" s="57" t="s">
        <v>272</v>
      </c>
      <c r="J47" s="14"/>
      <c r="K47" s="14"/>
      <c r="L47" s="14" t="s">
        <v>273</v>
      </c>
      <c r="M47" s="14" t="s">
        <v>48</v>
      </c>
      <c r="N47" s="14" t="s">
        <v>34</v>
      </c>
      <c r="O47" s="14" t="b">
        <v>1</v>
      </c>
      <c r="P47" s="14" t="s">
        <v>274</v>
      </c>
      <c r="Q47" s="14"/>
      <c r="R47" s="14"/>
      <c r="S47" s="14" t="s">
        <v>275</v>
      </c>
      <c r="T47" s="14" t="s">
        <v>4081</v>
      </c>
      <c r="U47" s="17"/>
      <c r="V47" s="14"/>
      <c r="W47" s="14"/>
      <c r="X47" s="18"/>
      <c r="Y47" s="18"/>
      <c r="Z47" s="18"/>
      <c r="AA47" s="19">
        <f t="shared" si="1"/>
        <v>5</v>
      </c>
      <c r="AB47" s="19" t="str">
        <f t="shared" si="2"/>
        <v/>
      </c>
      <c r="AC47" s="19"/>
    </row>
    <row r="48" ht="15.75" customHeight="1">
      <c r="A48" s="12">
        <v>45067.0</v>
      </c>
      <c r="B48" s="13" t="s">
        <v>28</v>
      </c>
      <c r="C48" s="14" t="s">
        <v>276</v>
      </c>
      <c r="D48" s="14" t="s">
        <v>4082</v>
      </c>
      <c r="E48" s="14"/>
      <c r="F48" s="142">
        <v>43054.0</v>
      </c>
      <c r="G48" s="14"/>
      <c r="H48" s="14"/>
      <c r="I48" s="57" t="s">
        <v>278</v>
      </c>
      <c r="J48" s="14"/>
      <c r="K48" s="14"/>
      <c r="L48" s="14"/>
      <c r="M48" s="14" t="s">
        <v>111</v>
      </c>
      <c r="N48" s="14" t="s">
        <v>13</v>
      </c>
      <c r="O48" s="14" t="b">
        <v>1</v>
      </c>
      <c r="P48" s="14" t="s">
        <v>279</v>
      </c>
      <c r="Q48" s="14"/>
      <c r="R48" s="14"/>
      <c r="S48" s="14" t="s">
        <v>280</v>
      </c>
      <c r="T48" s="14" t="s">
        <v>4083</v>
      </c>
      <c r="U48" s="17"/>
      <c r="V48" s="14"/>
      <c r="W48" s="14"/>
      <c r="X48" s="18"/>
      <c r="Y48" s="18"/>
      <c r="Z48" s="18"/>
      <c r="AA48" s="19">
        <f t="shared" si="1"/>
        <v>5</v>
      </c>
      <c r="AB48" s="19" t="str">
        <f t="shared" si="2"/>
        <v/>
      </c>
      <c r="AC48" s="19"/>
    </row>
    <row r="49" ht="15.75" customHeight="1">
      <c r="A49" s="12">
        <v>45067.0</v>
      </c>
      <c r="B49" s="13" t="s">
        <v>28</v>
      </c>
      <c r="C49" s="14" t="s">
        <v>281</v>
      </c>
      <c r="D49" s="14" t="s">
        <v>282</v>
      </c>
      <c r="E49" s="14"/>
      <c r="F49" s="14" t="s">
        <v>358</v>
      </c>
      <c r="G49" s="14"/>
      <c r="H49" s="14"/>
      <c r="I49" s="57" t="s">
        <v>283</v>
      </c>
      <c r="J49" s="14"/>
      <c r="K49" s="14"/>
      <c r="L49" s="14"/>
      <c r="M49" s="14" t="s">
        <v>56</v>
      </c>
      <c r="N49" s="14" t="s">
        <v>34</v>
      </c>
      <c r="O49" s="14" t="b">
        <v>0</v>
      </c>
      <c r="P49" s="14"/>
      <c r="Q49" s="14"/>
      <c r="R49" s="14"/>
      <c r="S49" s="14" t="s">
        <v>284</v>
      </c>
      <c r="T49" s="14" t="s">
        <v>4053</v>
      </c>
      <c r="U49" s="17"/>
      <c r="V49" s="14"/>
      <c r="W49" s="14"/>
      <c r="X49" s="18"/>
      <c r="Y49" s="18"/>
      <c r="Z49" s="18"/>
      <c r="AA49" s="19">
        <f t="shared" si="1"/>
        <v>5</v>
      </c>
      <c r="AB49" s="19" t="str">
        <f t="shared" si="2"/>
        <v/>
      </c>
      <c r="AC49" s="19"/>
    </row>
    <row r="50" ht="15.75" customHeight="1">
      <c r="A50" s="12">
        <v>45068.0</v>
      </c>
      <c r="B50" s="14" t="s">
        <v>201</v>
      </c>
      <c r="C50" s="14" t="s">
        <v>4084</v>
      </c>
      <c r="D50" s="14" t="s">
        <v>286</v>
      </c>
      <c r="E50" s="14"/>
      <c r="F50" s="14" t="s">
        <v>155</v>
      </c>
      <c r="G50" s="14"/>
      <c r="H50" s="14"/>
      <c r="I50" s="57" t="s">
        <v>287</v>
      </c>
      <c r="J50" s="14"/>
      <c r="K50" s="14"/>
      <c r="L50" s="14"/>
      <c r="M50" s="14" t="s">
        <v>111</v>
      </c>
      <c r="N50" s="14" t="s">
        <v>158</v>
      </c>
      <c r="O50" s="14" t="b">
        <v>0</v>
      </c>
      <c r="P50" s="14" t="s">
        <v>289</v>
      </c>
      <c r="Q50" s="14"/>
      <c r="R50" s="14"/>
      <c r="S50" s="14" t="s">
        <v>290</v>
      </c>
      <c r="T50" s="14" t="s">
        <v>4085</v>
      </c>
      <c r="U50" s="17"/>
      <c r="V50" s="14"/>
      <c r="W50" s="14"/>
      <c r="X50" s="18"/>
      <c r="Y50" s="18"/>
      <c r="Z50" s="18"/>
      <c r="AA50" s="19">
        <f t="shared" si="1"/>
        <v>5</v>
      </c>
      <c r="AB50" s="19" t="str">
        <f t="shared" si="2"/>
        <v/>
      </c>
      <c r="AC50" s="19"/>
    </row>
    <row r="51" ht="15.75" customHeight="1">
      <c r="A51" s="12">
        <v>45068.0</v>
      </c>
      <c r="B51" s="24" t="s">
        <v>28</v>
      </c>
      <c r="C51" s="14" t="s">
        <v>291</v>
      </c>
      <c r="D51" s="14" t="s">
        <v>292</v>
      </c>
      <c r="E51" s="14"/>
      <c r="F51" s="14" t="s">
        <v>505</v>
      </c>
      <c r="G51" s="14"/>
      <c r="H51" s="14"/>
      <c r="I51" s="57" t="s">
        <v>293</v>
      </c>
      <c r="J51" s="14"/>
      <c r="K51" s="14"/>
      <c r="L51" s="14" t="s">
        <v>294</v>
      </c>
      <c r="M51" s="14" t="s">
        <v>111</v>
      </c>
      <c r="N51" s="14" t="s">
        <v>34</v>
      </c>
      <c r="O51" s="14" t="b">
        <v>0</v>
      </c>
      <c r="P51" s="14"/>
      <c r="Q51" s="14"/>
      <c r="R51" s="14"/>
      <c r="S51" s="14" t="s">
        <v>295</v>
      </c>
      <c r="T51" s="14" t="s">
        <v>4083</v>
      </c>
      <c r="U51" s="17"/>
      <c r="V51" s="14"/>
      <c r="W51" s="14"/>
      <c r="X51" s="18"/>
      <c r="Y51" s="18"/>
      <c r="Z51" s="18"/>
      <c r="AA51" s="19">
        <f t="shared" si="1"/>
        <v>5</v>
      </c>
      <c r="AB51" s="19" t="str">
        <f t="shared" si="2"/>
        <v/>
      </c>
      <c r="AC51" s="19"/>
    </row>
    <row r="52" ht="15.75" customHeight="1">
      <c r="A52" s="12">
        <v>45068.0</v>
      </c>
      <c r="B52" s="14" t="s">
        <v>201</v>
      </c>
      <c r="C52" s="14" t="s">
        <v>296</v>
      </c>
      <c r="D52" s="14"/>
      <c r="E52" s="14"/>
      <c r="F52" s="14"/>
      <c r="G52" s="14" t="s">
        <v>297</v>
      </c>
      <c r="H52" s="14"/>
      <c r="I52" s="57" t="s">
        <v>298</v>
      </c>
      <c r="J52" s="14"/>
      <c r="K52" s="14"/>
      <c r="L52" s="14"/>
      <c r="M52" s="14" t="s">
        <v>111</v>
      </c>
      <c r="N52" s="14" t="s">
        <v>34</v>
      </c>
      <c r="O52" s="14" t="b">
        <v>1</v>
      </c>
      <c r="P52" s="14" t="s">
        <v>299</v>
      </c>
      <c r="Q52" s="14" t="s">
        <v>91</v>
      </c>
      <c r="R52" s="14"/>
      <c r="S52" s="14" t="s">
        <v>300</v>
      </c>
      <c r="T52" s="14" t="s">
        <v>4086</v>
      </c>
      <c r="U52" s="61" t="s">
        <v>36</v>
      </c>
      <c r="V52" s="14"/>
      <c r="W52" s="14"/>
      <c r="X52" s="18"/>
      <c r="Y52" s="18"/>
      <c r="Z52" s="18"/>
      <c r="AA52" s="19">
        <f t="shared" si="1"/>
        <v>5</v>
      </c>
      <c r="AB52" s="19" t="str">
        <f t="shared" si="2"/>
        <v/>
      </c>
      <c r="AC52" s="19"/>
    </row>
    <row r="53" ht="15.75" customHeight="1">
      <c r="A53" s="12">
        <v>45068.0</v>
      </c>
      <c r="B53" s="24" t="s">
        <v>28</v>
      </c>
      <c r="C53" s="14"/>
      <c r="D53" s="62" t="s">
        <v>301</v>
      </c>
      <c r="E53" s="14"/>
      <c r="F53" s="14"/>
      <c r="G53" s="14"/>
      <c r="H53" s="14"/>
      <c r="I53" s="15" t="s">
        <v>302</v>
      </c>
      <c r="J53" s="14"/>
      <c r="K53" s="14"/>
      <c r="L53" s="14"/>
      <c r="M53" s="14" t="s">
        <v>152</v>
      </c>
      <c r="N53" s="14" t="s">
        <v>34</v>
      </c>
      <c r="O53" s="14" t="b">
        <v>0</v>
      </c>
      <c r="P53" s="14"/>
      <c r="Q53" s="14"/>
      <c r="R53" s="14"/>
      <c r="S53" s="14" t="s">
        <v>303</v>
      </c>
      <c r="T53" s="14" t="s">
        <v>4083</v>
      </c>
      <c r="U53" s="17"/>
      <c r="V53" s="14"/>
      <c r="W53" s="14"/>
      <c r="X53" s="18"/>
      <c r="Y53" s="18"/>
      <c r="Z53" s="18"/>
      <c r="AA53" s="19">
        <f t="shared" si="1"/>
        <v>5</v>
      </c>
      <c r="AB53" s="19" t="str">
        <f t="shared" si="2"/>
        <v/>
      </c>
      <c r="AC53" s="19"/>
    </row>
    <row r="54" ht="15.75" customHeight="1">
      <c r="A54" s="26">
        <v>45069.0</v>
      </c>
      <c r="B54" s="27" t="s">
        <v>60</v>
      </c>
      <c r="C54" s="27" t="s">
        <v>305</v>
      </c>
      <c r="D54" s="27" t="s">
        <v>306</v>
      </c>
      <c r="E54" s="27"/>
      <c r="F54" s="27" t="s">
        <v>1244</v>
      </c>
      <c r="G54" s="64"/>
      <c r="H54" s="64"/>
      <c r="I54" s="65" t="s">
        <v>307</v>
      </c>
      <c r="J54" s="64"/>
      <c r="K54" s="64"/>
      <c r="L54" s="27" t="s">
        <v>308</v>
      </c>
      <c r="M54" s="27" t="s">
        <v>66</v>
      </c>
      <c r="N54" s="27" t="s">
        <v>67</v>
      </c>
      <c r="O54" s="14" t="b">
        <v>1</v>
      </c>
      <c r="P54" s="27" t="s">
        <v>309</v>
      </c>
      <c r="Q54" s="27" t="s">
        <v>91</v>
      </c>
      <c r="R54" s="27" t="s">
        <v>70</v>
      </c>
      <c r="S54" s="64" t="s">
        <v>310</v>
      </c>
      <c r="T54" s="64" t="s">
        <v>4087</v>
      </c>
      <c r="U54" s="66"/>
      <c r="V54" s="23">
        <v>45072.0</v>
      </c>
      <c r="W54" s="27" t="s">
        <v>91</v>
      </c>
      <c r="X54" s="25" t="s">
        <v>304</v>
      </c>
      <c r="Y54" s="25">
        <v>0.15</v>
      </c>
      <c r="Z54" s="63">
        <v>5205000.0</v>
      </c>
      <c r="AA54" s="19">
        <f t="shared" si="1"/>
        <v>5</v>
      </c>
      <c r="AB54" s="19">
        <f t="shared" si="2"/>
        <v>5</v>
      </c>
      <c r="AC54" s="19"/>
    </row>
    <row r="55" ht="15.75" customHeight="1">
      <c r="A55" s="17">
        <v>45069.0</v>
      </c>
      <c r="B55" s="14" t="s">
        <v>60</v>
      </c>
      <c r="C55" s="14" t="s">
        <v>305</v>
      </c>
      <c r="D55" s="14" t="s">
        <v>312</v>
      </c>
      <c r="E55" s="14"/>
      <c r="F55" s="14" t="s">
        <v>4088</v>
      </c>
      <c r="G55" s="11"/>
      <c r="H55" s="11"/>
      <c r="I55" s="11"/>
      <c r="J55" s="11"/>
      <c r="K55" s="11"/>
      <c r="L55" s="14"/>
      <c r="M55" s="14" t="s">
        <v>66</v>
      </c>
      <c r="N55" s="14" t="s">
        <v>67</v>
      </c>
      <c r="O55" s="14" t="b">
        <v>1</v>
      </c>
      <c r="P55" s="14" t="s">
        <v>313</v>
      </c>
      <c r="Q55" s="14" t="s">
        <v>91</v>
      </c>
      <c r="R55" s="14"/>
      <c r="S55" s="11"/>
      <c r="T55" s="11"/>
      <c r="U55" s="11"/>
      <c r="V55" s="14"/>
      <c r="W55" s="14"/>
      <c r="X55" s="18"/>
      <c r="Y55" s="18"/>
      <c r="Z55" s="18"/>
      <c r="AA55" s="19">
        <f t="shared" si="1"/>
        <v>5</v>
      </c>
      <c r="AB55" s="19" t="str">
        <f t="shared" si="2"/>
        <v/>
      </c>
      <c r="AC55" s="19"/>
    </row>
    <row r="56" ht="15.75" customHeight="1">
      <c r="A56" s="26">
        <v>45069.0</v>
      </c>
      <c r="B56" s="27" t="s">
        <v>84</v>
      </c>
      <c r="C56" s="27" t="s">
        <v>315</v>
      </c>
      <c r="D56" s="27" t="s">
        <v>316</v>
      </c>
      <c r="E56" s="33" t="s">
        <v>4089</v>
      </c>
      <c r="F56" s="27"/>
      <c r="G56" s="27" t="s">
        <v>317</v>
      </c>
      <c r="H56" s="27"/>
      <c r="I56" s="34" t="s">
        <v>318</v>
      </c>
      <c r="J56" s="27"/>
      <c r="K56" s="27"/>
      <c r="L56" s="27"/>
      <c r="M56" s="27" t="s">
        <v>89</v>
      </c>
      <c r="N56" s="27" t="s">
        <v>67</v>
      </c>
      <c r="O56" s="14" t="b">
        <v>1</v>
      </c>
      <c r="P56" s="27" t="s">
        <v>4090</v>
      </c>
      <c r="Q56" s="27"/>
      <c r="R56" s="27"/>
      <c r="S56" s="27" t="s">
        <v>321</v>
      </c>
      <c r="T56" s="27"/>
      <c r="U56" s="26"/>
      <c r="V56" s="70">
        <v>45076.0</v>
      </c>
      <c r="W56" s="27" t="s">
        <v>4091</v>
      </c>
      <c r="X56" s="25">
        <v>7116000.0</v>
      </c>
      <c r="Y56" s="25">
        <f>X56-Z56</f>
        <v>1767400</v>
      </c>
      <c r="Z56" s="25">
        <v>5348600.0</v>
      </c>
      <c r="AA56" s="19">
        <f t="shared" si="1"/>
        <v>5</v>
      </c>
      <c r="AB56" s="19">
        <f t="shared" si="2"/>
        <v>5</v>
      </c>
      <c r="AC56" s="19"/>
    </row>
    <row r="57" ht="15.75" customHeight="1">
      <c r="A57" s="12">
        <v>45069.0</v>
      </c>
      <c r="B57" s="14" t="s">
        <v>201</v>
      </c>
      <c r="C57" s="14" t="s">
        <v>4092</v>
      </c>
      <c r="D57" s="14"/>
      <c r="E57" s="14"/>
      <c r="F57" s="14" t="s">
        <v>505</v>
      </c>
      <c r="G57" s="14"/>
      <c r="H57" s="14"/>
      <c r="I57" s="71" t="s">
        <v>323</v>
      </c>
      <c r="J57" s="14"/>
      <c r="K57" s="14"/>
      <c r="L57" s="14" t="s">
        <v>4093</v>
      </c>
      <c r="M57" s="14" t="s">
        <v>152</v>
      </c>
      <c r="N57" s="14" t="s">
        <v>34</v>
      </c>
      <c r="O57" s="14" t="b">
        <v>0</v>
      </c>
      <c r="P57" s="14"/>
      <c r="Q57" s="14"/>
      <c r="R57" s="14"/>
      <c r="S57" s="14" t="s">
        <v>325</v>
      </c>
      <c r="T57" s="14"/>
      <c r="U57" s="17"/>
      <c r="V57" s="14"/>
      <c r="W57" s="14"/>
      <c r="X57" s="18"/>
      <c r="Y57" s="18"/>
      <c r="Z57" s="18"/>
      <c r="AA57" s="19">
        <f t="shared" si="1"/>
        <v>5</v>
      </c>
      <c r="AB57" s="19" t="str">
        <f t="shared" si="2"/>
        <v/>
      </c>
      <c r="AC57" s="19"/>
    </row>
    <row r="58" ht="15.75" customHeight="1">
      <c r="A58" s="12">
        <v>45069.0</v>
      </c>
      <c r="B58" s="14" t="s">
        <v>201</v>
      </c>
      <c r="C58" s="14" t="s">
        <v>4094</v>
      </c>
      <c r="D58" s="14"/>
      <c r="E58" s="14"/>
      <c r="F58" s="14" t="s">
        <v>155</v>
      </c>
      <c r="G58" s="14"/>
      <c r="H58" s="14"/>
      <c r="I58" s="15" t="s">
        <v>327</v>
      </c>
      <c r="J58" s="14"/>
      <c r="K58" s="14"/>
      <c r="L58" s="14" t="s">
        <v>4095</v>
      </c>
      <c r="M58" s="14" t="s">
        <v>111</v>
      </c>
      <c r="N58" s="14" t="s">
        <v>34</v>
      </c>
      <c r="O58" s="14" t="b">
        <v>0</v>
      </c>
      <c r="P58" s="14"/>
      <c r="Q58" s="14"/>
      <c r="R58" s="14"/>
      <c r="S58" s="14" t="s">
        <v>329</v>
      </c>
      <c r="T58" s="14" t="s">
        <v>4096</v>
      </c>
      <c r="U58" s="17">
        <v>45094.0</v>
      </c>
      <c r="V58" s="14"/>
      <c r="W58" s="14"/>
      <c r="X58" s="18"/>
      <c r="Y58" s="18"/>
      <c r="Z58" s="18"/>
      <c r="AA58" s="19">
        <f t="shared" si="1"/>
        <v>5</v>
      </c>
      <c r="AB58" s="19" t="str">
        <f t="shared" si="2"/>
        <v/>
      </c>
      <c r="AC58" s="19"/>
    </row>
    <row r="59" ht="15.75" customHeight="1">
      <c r="A59" s="12">
        <v>45069.0</v>
      </c>
      <c r="B59" s="13" t="s">
        <v>28</v>
      </c>
      <c r="C59" s="14" t="s">
        <v>4097</v>
      </c>
      <c r="D59" s="14"/>
      <c r="E59" s="14"/>
      <c r="F59" s="14" t="s">
        <v>505</v>
      </c>
      <c r="G59" s="14"/>
      <c r="H59" s="14"/>
      <c r="I59" s="15" t="s">
        <v>331</v>
      </c>
      <c r="J59" s="14"/>
      <c r="K59" s="14"/>
      <c r="L59" s="14" t="s">
        <v>332</v>
      </c>
      <c r="M59" s="14" t="s">
        <v>48</v>
      </c>
      <c r="N59" s="14" t="s">
        <v>333</v>
      </c>
      <c r="O59" s="14" t="b">
        <v>0</v>
      </c>
      <c r="P59" s="14"/>
      <c r="Q59" s="14"/>
      <c r="R59" s="14"/>
      <c r="S59" s="14" t="s">
        <v>334</v>
      </c>
      <c r="T59" s="14" t="s">
        <v>36</v>
      </c>
      <c r="U59" s="17"/>
      <c r="V59" s="14"/>
      <c r="W59" s="14"/>
      <c r="X59" s="18"/>
      <c r="Y59" s="18"/>
      <c r="Z59" s="18"/>
      <c r="AA59" s="19">
        <f t="shared" si="1"/>
        <v>5</v>
      </c>
      <c r="AB59" s="19" t="str">
        <f t="shared" si="2"/>
        <v/>
      </c>
      <c r="AC59" s="19"/>
    </row>
    <row r="60" ht="15.75" customHeight="1">
      <c r="A60" s="246">
        <v>45069.0</v>
      </c>
      <c r="B60" s="243" t="s">
        <v>84</v>
      </c>
      <c r="C60" s="243" t="s">
        <v>335</v>
      </c>
      <c r="D60" s="243"/>
      <c r="E60" s="243"/>
      <c r="F60" s="243"/>
      <c r="G60" s="243">
        <v>3.0</v>
      </c>
      <c r="H60" s="243"/>
      <c r="I60" s="245" t="s">
        <v>336</v>
      </c>
      <c r="J60" s="243"/>
      <c r="K60" s="243"/>
      <c r="L60" s="243" t="s">
        <v>4098</v>
      </c>
      <c r="M60" s="243" t="s">
        <v>89</v>
      </c>
      <c r="N60" s="243" t="s">
        <v>67</v>
      </c>
      <c r="O60" s="14" t="b">
        <v>1</v>
      </c>
      <c r="P60" s="243" t="s">
        <v>338</v>
      </c>
      <c r="Q60" s="243" t="s">
        <v>91</v>
      </c>
      <c r="R60" s="243"/>
      <c r="S60" s="243" t="s">
        <v>339</v>
      </c>
      <c r="T60" s="243"/>
      <c r="U60" s="246"/>
      <c r="V60" s="251">
        <v>45072.0</v>
      </c>
      <c r="W60" s="243" t="s">
        <v>4050</v>
      </c>
      <c r="X60" s="248">
        <v>8750000.0</v>
      </c>
      <c r="Y60" s="248">
        <f>X60-Z60</f>
        <v>1312500</v>
      </c>
      <c r="Z60" s="248">
        <v>7437500.0</v>
      </c>
      <c r="AA60" s="19">
        <f t="shared" si="1"/>
        <v>5</v>
      </c>
      <c r="AB60" s="19">
        <f t="shared" si="2"/>
        <v>5</v>
      </c>
      <c r="AC60" s="19"/>
    </row>
    <row r="61" ht="15.75" customHeight="1">
      <c r="A61" s="12">
        <v>45070.0</v>
      </c>
      <c r="B61" s="14" t="s">
        <v>340</v>
      </c>
      <c r="C61" s="14" t="s">
        <v>341</v>
      </c>
      <c r="D61" s="14" t="s">
        <v>342</v>
      </c>
      <c r="E61" s="14"/>
      <c r="F61" s="14"/>
      <c r="G61" s="14" t="s">
        <v>343</v>
      </c>
      <c r="H61" s="14"/>
      <c r="I61" s="15" t="s">
        <v>344</v>
      </c>
      <c r="J61" s="14"/>
      <c r="K61" s="14"/>
      <c r="L61" s="14" t="s">
        <v>345</v>
      </c>
      <c r="M61" s="14" t="s">
        <v>48</v>
      </c>
      <c r="N61" s="14" t="s">
        <v>34</v>
      </c>
      <c r="O61" s="14" t="b">
        <v>1</v>
      </c>
      <c r="P61" s="14" t="s">
        <v>4099</v>
      </c>
      <c r="Q61" s="14"/>
      <c r="R61" s="14"/>
      <c r="S61" s="14" t="s">
        <v>347</v>
      </c>
      <c r="T61" s="14" t="s">
        <v>36</v>
      </c>
      <c r="U61" s="17"/>
      <c r="V61" s="14"/>
      <c r="W61" s="14"/>
      <c r="X61" s="18"/>
      <c r="Y61" s="18"/>
      <c r="Z61" s="18"/>
      <c r="AA61" s="19">
        <f t="shared" si="1"/>
        <v>5</v>
      </c>
      <c r="AB61" s="19" t="str">
        <f t="shared" si="2"/>
        <v/>
      </c>
      <c r="AC61" s="19"/>
    </row>
    <row r="62" ht="15.75" customHeight="1">
      <c r="A62" s="26">
        <v>45068.0</v>
      </c>
      <c r="B62" s="13" t="s">
        <v>28</v>
      </c>
      <c r="C62" s="27" t="s">
        <v>348</v>
      </c>
      <c r="D62" s="27"/>
      <c r="E62" s="27"/>
      <c r="F62" s="27"/>
      <c r="G62" s="27" t="s">
        <v>349</v>
      </c>
      <c r="H62" s="27"/>
      <c r="I62" s="72" t="s">
        <v>350</v>
      </c>
      <c r="J62" s="27"/>
      <c r="K62" s="27"/>
      <c r="L62" s="252" t="s">
        <v>351</v>
      </c>
      <c r="M62" s="27" t="s">
        <v>66</v>
      </c>
      <c r="N62" s="27" t="s">
        <v>67</v>
      </c>
      <c r="O62" s="14" t="b">
        <v>0</v>
      </c>
      <c r="P62" s="27"/>
      <c r="Q62" s="27" t="s">
        <v>4045</v>
      </c>
      <c r="R62" s="27" t="s">
        <v>70</v>
      </c>
      <c r="S62" s="27" t="s">
        <v>352</v>
      </c>
      <c r="T62" s="27"/>
      <c r="U62" s="26"/>
      <c r="V62" s="32">
        <v>45076.0</v>
      </c>
      <c r="W62" s="27" t="s">
        <v>59</v>
      </c>
      <c r="X62" s="25">
        <v>2000000.0</v>
      </c>
      <c r="Y62" s="25">
        <v>1000000.0</v>
      </c>
      <c r="Z62" s="25">
        <v>1000000.0</v>
      </c>
      <c r="AA62" s="19">
        <f t="shared" si="1"/>
        <v>5</v>
      </c>
      <c r="AB62" s="19">
        <f t="shared" si="2"/>
        <v>5</v>
      </c>
      <c r="AC62" s="19"/>
    </row>
    <row r="63" ht="15.75" customHeight="1">
      <c r="A63" s="12">
        <v>45070.0</v>
      </c>
      <c r="B63" s="13" t="s">
        <v>28</v>
      </c>
      <c r="C63" s="14" t="s">
        <v>353</v>
      </c>
      <c r="D63" s="14"/>
      <c r="E63" s="14" t="s">
        <v>168</v>
      </c>
      <c r="F63" s="14"/>
      <c r="G63" s="14"/>
      <c r="H63" s="14"/>
      <c r="I63" s="15" t="s">
        <v>354</v>
      </c>
      <c r="J63" s="14"/>
      <c r="K63" s="14"/>
      <c r="L63" s="253" t="s">
        <v>355</v>
      </c>
      <c r="M63" s="14" t="s">
        <v>111</v>
      </c>
      <c r="N63" s="14" t="s">
        <v>34</v>
      </c>
      <c r="O63" s="14" t="b">
        <v>0</v>
      </c>
      <c r="P63" s="14"/>
      <c r="Q63" s="14"/>
      <c r="R63" s="14"/>
      <c r="S63" s="14" t="s">
        <v>356</v>
      </c>
      <c r="T63" s="14" t="s">
        <v>36</v>
      </c>
      <c r="U63" s="17"/>
      <c r="V63" s="14"/>
      <c r="W63" s="14"/>
      <c r="X63" s="18"/>
      <c r="Y63" s="18"/>
      <c r="Z63" s="18"/>
      <c r="AA63" s="19">
        <f t="shared" si="1"/>
        <v>5</v>
      </c>
      <c r="AB63" s="19" t="str">
        <f t="shared" si="2"/>
        <v/>
      </c>
      <c r="AC63" s="19"/>
    </row>
    <row r="64" ht="15.75" customHeight="1">
      <c r="A64" s="12">
        <v>45070.0</v>
      </c>
      <c r="B64" s="13" t="s">
        <v>28</v>
      </c>
      <c r="C64" s="14" t="s">
        <v>357</v>
      </c>
      <c r="D64" s="14"/>
      <c r="E64" s="14" t="s">
        <v>4100</v>
      </c>
      <c r="F64" s="14"/>
      <c r="G64" s="14" t="s">
        <v>358</v>
      </c>
      <c r="H64" s="15"/>
      <c r="I64" s="15" t="s">
        <v>359</v>
      </c>
      <c r="J64" s="14"/>
      <c r="K64" s="14"/>
      <c r="L64" s="14" t="s">
        <v>360</v>
      </c>
      <c r="M64" s="14" t="s">
        <v>111</v>
      </c>
      <c r="N64" s="14" t="s">
        <v>34</v>
      </c>
      <c r="O64" s="14" t="b">
        <v>1</v>
      </c>
      <c r="P64" s="14" t="s">
        <v>361</v>
      </c>
      <c r="Q64" s="14"/>
      <c r="R64" s="14"/>
      <c r="S64" s="14" t="s">
        <v>362</v>
      </c>
      <c r="T64" s="14" t="s">
        <v>4053</v>
      </c>
      <c r="U64" s="17"/>
      <c r="V64" s="14"/>
      <c r="W64" s="14"/>
      <c r="X64" s="18"/>
      <c r="Y64" s="18"/>
      <c r="Z64" s="18"/>
      <c r="AA64" s="19">
        <f t="shared" si="1"/>
        <v>5</v>
      </c>
      <c r="AB64" s="19" t="str">
        <f t="shared" si="2"/>
        <v/>
      </c>
      <c r="AC64" s="19"/>
    </row>
    <row r="65" ht="15.75" customHeight="1">
      <c r="A65" s="12">
        <v>45070.0</v>
      </c>
      <c r="B65" s="13" t="s">
        <v>28</v>
      </c>
      <c r="C65" s="14" t="s">
        <v>363</v>
      </c>
      <c r="D65" s="14" t="s">
        <v>364</v>
      </c>
      <c r="E65" s="14"/>
      <c r="F65" s="142">
        <v>43083.0</v>
      </c>
      <c r="G65" s="14" t="s">
        <v>365</v>
      </c>
      <c r="H65" s="14"/>
      <c r="I65" s="15" t="s">
        <v>366</v>
      </c>
      <c r="J65" s="14"/>
      <c r="K65" s="14"/>
      <c r="L65" s="254" t="s">
        <v>4101</v>
      </c>
      <c r="M65" s="14" t="s">
        <v>111</v>
      </c>
      <c r="N65" s="14" t="s">
        <v>34</v>
      </c>
      <c r="O65" s="14" t="b">
        <v>0</v>
      </c>
      <c r="P65" s="14"/>
      <c r="Q65" s="14"/>
      <c r="R65" s="14"/>
      <c r="S65" s="14" t="s">
        <v>368</v>
      </c>
      <c r="T65" s="14" t="s">
        <v>36</v>
      </c>
      <c r="U65" s="17"/>
      <c r="V65" s="14"/>
      <c r="W65" s="14"/>
      <c r="X65" s="18"/>
      <c r="Y65" s="18"/>
      <c r="Z65" s="18"/>
      <c r="AA65" s="19">
        <f t="shared" si="1"/>
        <v>5</v>
      </c>
      <c r="AB65" s="19" t="str">
        <f t="shared" si="2"/>
        <v/>
      </c>
      <c r="AC65" s="19"/>
    </row>
    <row r="66" ht="15.75" customHeight="1">
      <c r="A66" s="255">
        <v>45070.0</v>
      </c>
      <c r="B66" s="256" t="s">
        <v>84</v>
      </c>
      <c r="C66" s="256" t="s">
        <v>369</v>
      </c>
      <c r="D66" s="256" t="s">
        <v>370</v>
      </c>
      <c r="E66" s="256"/>
      <c r="F66" s="256"/>
      <c r="G66" s="256" t="s">
        <v>371</v>
      </c>
      <c r="H66" s="256"/>
      <c r="I66" s="257" t="s">
        <v>372</v>
      </c>
      <c r="J66" s="256"/>
      <c r="K66" s="256"/>
      <c r="L66" s="256" t="s">
        <v>373</v>
      </c>
      <c r="M66" s="256" t="s">
        <v>89</v>
      </c>
      <c r="N66" s="256" t="s">
        <v>34</v>
      </c>
      <c r="O66" s="14" t="b">
        <v>1</v>
      </c>
      <c r="P66" s="256" t="s">
        <v>374</v>
      </c>
      <c r="Q66" s="256"/>
      <c r="R66" s="256"/>
      <c r="S66" s="256" t="s">
        <v>375</v>
      </c>
      <c r="T66" s="256" t="s">
        <v>36</v>
      </c>
      <c r="U66" s="258" t="s">
        <v>36</v>
      </c>
      <c r="V66" s="256"/>
      <c r="W66" s="256"/>
      <c r="X66" s="259"/>
      <c r="Y66" s="259"/>
      <c r="Z66" s="259"/>
      <c r="AA66" s="19">
        <f t="shared" si="1"/>
        <v>5</v>
      </c>
      <c r="AB66" s="19" t="str">
        <f t="shared" si="2"/>
        <v/>
      </c>
      <c r="AC66" s="19"/>
    </row>
    <row r="67" ht="15.75" customHeight="1">
      <c r="A67" s="12">
        <v>45070.0</v>
      </c>
      <c r="B67" s="13" t="s">
        <v>28</v>
      </c>
      <c r="C67" s="14" t="s">
        <v>376</v>
      </c>
      <c r="D67" s="14" t="s">
        <v>377</v>
      </c>
      <c r="E67" s="14"/>
      <c r="F67" s="59">
        <v>41701.0</v>
      </c>
      <c r="G67" s="14">
        <v>4.0</v>
      </c>
      <c r="H67" s="14" t="s">
        <v>64</v>
      </c>
      <c r="I67" s="42" t="s">
        <v>378</v>
      </c>
      <c r="J67" s="14" t="s">
        <v>379</v>
      </c>
      <c r="K67" s="14"/>
      <c r="L67" s="106" t="s">
        <v>4102</v>
      </c>
      <c r="M67" s="14" t="s">
        <v>56</v>
      </c>
      <c r="N67" s="14" t="s">
        <v>34</v>
      </c>
      <c r="O67" s="14" t="b">
        <v>0</v>
      </c>
      <c r="P67" s="14"/>
      <c r="Q67" s="14"/>
      <c r="R67" s="14"/>
      <c r="S67" s="14" t="s">
        <v>381</v>
      </c>
      <c r="T67" s="14"/>
      <c r="U67" s="61" t="s">
        <v>36</v>
      </c>
      <c r="V67" s="14"/>
      <c r="W67" s="14"/>
      <c r="X67" s="18"/>
      <c r="Y67" s="18"/>
      <c r="Z67" s="18"/>
      <c r="AA67" s="19">
        <f t="shared" si="1"/>
        <v>5</v>
      </c>
      <c r="AB67" s="19" t="str">
        <f t="shared" si="2"/>
        <v/>
      </c>
      <c r="AC67" s="19"/>
    </row>
    <row r="68" ht="15.75" customHeight="1">
      <c r="A68" s="26">
        <v>45071.0</v>
      </c>
      <c r="B68" s="13" t="s">
        <v>28</v>
      </c>
      <c r="C68" s="27" t="s">
        <v>382</v>
      </c>
      <c r="D68" s="27" t="s">
        <v>383</v>
      </c>
      <c r="E68" s="27"/>
      <c r="F68" s="27"/>
      <c r="G68" s="27">
        <v>1.0</v>
      </c>
      <c r="H68" s="27"/>
      <c r="I68" s="34" t="s">
        <v>384</v>
      </c>
      <c r="J68" s="27"/>
      <c r="K68" s="27"/>
      <c r="L68" s="58" t="s">
        <v>385</v>
      </c>
      <c r="M68" s="27" t="s">
        <v>66</v>
      </c>
      <c r="N68" s="27" t="s">
        <v>67</v>
      </c>
      <c r="O68" s="14" t="b">
        <v>0</v>
      </c>
      <c r="P68" s="27"/>
      <c r="Q68" s="27" t="s">
        <v>4045</v>
      </c>
      <c r="R68" s="27"/>
      <c r="S68" s="27" t="s">
        <v>386</v>
      </c>
      <c r="T68" s="27"/>
      <c r="U68" s="26"/>
      <c r="V68" s="23">
        <v>45083.0</v>
      </c>
      <c r="W68" s="27" t="s">
        <v>59</v>
      </c>
      <c r="X68" s="25">
        <v>2000000.0</v>
      </c>
      <c r="Y68" s="25">
        <v>1000000.0</v>
      </c>
      <c r="Z68" s="25">
        <v>1000000.0</v>
      </c>
      <c r="AA68" s="19">
        <f t="shared" si="1"/>
        <v>5</v>
      </c>
      <c r="AB68" s="19">
        <f t="shared" si="2"/>
        <v>6</v>
      </c>
      <c r="AC68" s="19"/>
    </row>
    <row r="69" ht="15.75" customHeight="1">
      <c r="A69" s="12">
        <v>45071.0</v>
      </c>
      <c r="B69" s="13" t="s">
        <v>28</v>
      </c>
      <c r="C69" s="14" t="s">
        <v>387</v>
      </c>
      <c r="D69" s="14" t="s">
        <v>388</v>
      </c>
      <c r="E69" s="14"/>
      <c r="F69" s="14"/>
      <c r="G69" s="14">
        <v>8.0</v>
      </c>
      <c r="H69" s="14"/>
      <c r="I69" s="15" t="s">
        <v>389</v>
      </c>
      <c r="J69" s="14"/>
      <c r="K69" s="14"/>
      <c r="L69" s="14" t="s">
        <v>4103</v>
      </c>
      <c r="M69" s="14" t="s">
        <v>111</v>
      </c>
      <c r="N69" s="14" t="s">
        <v>34</v>
      </c>
      <c r="O69" s="14" t="b">
        <v>1</v>
      </c>
      <c r="P69" s="14" t="s">
        <v>391</v>
      </c>
      <c r="Q69" s="14"/>
      <c r="R69" s="14"/>
      <c r="S69" s="14" t="s">
        <v>392</v>
      </c>
      <c r="T69" s="14" t="s">
        <v>4069</v>
      </c>
      <c r="U69" s="17"/>
      <c r="V69" s="14"/>
      <c r="W69" s="14"/>
      <c r="X69" s="18"/>
      <c r="Y69" s="18"/>
      <c r="Z69" s="18"/>
      <c r="AA69" s="19">
        <f t="shared" si="1"/>
        <v>5</v>
      </c>
      <c r="AB69" s="19" t="str">
        <f t="shared" si="2"/>
        <v/>
      </c>
      <c r="AC69" s="19"/>
    </row>
    <row r="70" ht="15.75" customHeight="1">
      <c r="A70" s="81">
        <v>45071.0</v>
      </c>
      <c r="B70" s="33" t="s">
        <v>60</v>
      </c>
      <c r="C70" s="33" t="s">
        <v>393</v>
      </c>
      <c r="D70" s="33" t="s">
        <v>394</v>
      </c>
      <c r="E70" s="33"/>
      <c r="F70" s="33"/>
      <c r="G70" s="33" t="s">
        <v>155</v>
      </c>
      <c r="H70" s="33"/>
      <c r="I70" s="82" t="s">
        <v>395</v>
      </c>
      <c r="J70" s="33"/>
      <c r="K70" s="33"/>
      <c r="L70" s="33" t="s">
        <v>396</v>
      </c>
      <c r="M70" s="33" t="s">
        <v>66</v>
      </c>
      <c r="N70" s="33" t="s">
        <v>67</v>
      </c>
      <c r="O70" s="14" t="b">
        <v>1</v>
      </c>
      <c r="P70" s="33" t="s">
        <v>397</v>
      </c>
      <c r="Q70" s="33"/>
      <c r="R70" s="33"/>
      <c r="S70" s="33" t="s">
        <v>4104</v>
      </c>
      <c r="T70" s="33"/>
      <c r="U70" s="81"/>
      <c r="V70" s="78">
        <v>45077.0</v>
      </c>
      <c r="W70" s="33" t="s">
        <v>4105</v>
      </c>
      <c r="X70" s="80"/>
      <c r="Y70" s="80"/>
      <c r="Z70" s="80">
        <v>5348600.0</v>
      </c>
      <c r="AA70" s="19">
        <f t="shared" si="1"/>
        <v>5</v>
      </c>
      <c r="AB70" s="19">
        <f t="shared" si="2"/>
        <v>5</v>
      </c>
      <c r="AC70" s="19"/>
    </row>
    <row r="71" ht="15.75" customHeight="1">
      <c r="A71" s="26">
        <v>45071.0</v>
      </c>
      <c r="B71" s="27" t="s">
        <v>84</v>
      </c>
      <c r="C71" s="27" t="s">
        <v>400</v>
      </c>
      <c r="D71" s="27" t="s">
        <v>401</v>
      </c>
      <c r="E71" s="27"/>
      <c r="F71" s="27"/>
      <c r="G71" s="27" t="s">
        <v>402</v>
      </c>
      <c r="H71" s="27"/>
      <c r="I71" s="34" t="s">
        <v>403</v>
      </c>
      <c r="J71" s="27"/>
      <c r="K71" s="27"/>
      <c r="L71" s="27" t="s">
        <v>404</v>
      </c>
      <c r="M71" s="27" t="s">
        <v>48</v>
      </c>
      <c r="N71" s="27" t="s">
        <v>67</v>
      </c>
      <c r="O71" s="14" t="b">
        <v>1</v>
      </c>
      <c r="P71" s="27" t="s">
        <v>405</v>
      </c>
      <c r="Q71" s="27"/>
      <c r="R71" s="27"/>
      <c r="S71" s="27" t="s">
        <v>406</v>
      </c>
      <c r="T71" s="27"/>
      <c r="U71" s="26"/>
      <c r="V71" s="32">
        <v>45107.0</v>
      </c>
      <c r="W71" s="33" t="s">
        <v>4106</v>
      </c>
      <c r="X71" s="25">
        <v>8750000.0</v>
      </c>
      <c r="Y71" s="25">
        <f t="shared" ref="Y71:Y72" si="3">X71-Z71</f>
        <v>1300000</v>
      </c>
      <c r="Z71" s="25">
        <v>7450000.0</v>
      </c>
      <c r="AA71" s="19">
        <f t="shared" si="1"/>
        <v>5</v>
      </c>
      <c r="AB71" s="19">
        <f t="shared" si="2"/>
        <v>6</v>
      </c>
      <c r="AC71" s="19"/>
    </row>
    <row r="72" ht="15.75" customHeight="1">
      <c r="A72" s="26">
        <v>45071.0</v>
      </c>
      <c r="B72" s="13" t="s">
        <v>28</v>
      </c>
      <c r="C72" s="27" t="s">
        <v>408</v>
      </c>
      <c r="D72" s="27" t="s">
        <v>409</v>
      </c>
      <c r="E72" s="27"/>
      <c r="F72" s="23">
        <v>40731.0</v>
      </c>
      <c r="G72" s="27" t="s">
        <v>234</v>
      </c>
      <c r="H72" s="27"/>
      <c r="I72" s="34" t="s">
        <v>410</v>
      </c>
      <c r="J72" s="27"/>
      <c r="K72" s="27"/>
      <c r="L72" s="27" t="s">
        <v>411</v>
      </c>
      <c r="M72" s="27" t="s">
        <v>412</v>
      </c>
      <c r="N72" s="27" t="s">
        <v>67</v>
      </c>
      <c r="O72" s="14" t="b">
        <v>1</v>
      </c>
      <c r="P72" s="27" t="s">
        <v>413</v>
      </c>
      <c r="Q72" s="27" t="s">
        <v>91</v>
      </c>
      <c r="R72" s="27"/>
      <c r="S72" s="27" t="s">
        <v>414</v>
      </c>
      <c r="T72" s="27" t="s">
        <v>4107</v>
      </c>
      <c r="U72" s="26"/>
      <c r="V72" s="23">
        <v>45082.0</v>
      </c>
      <c r="W72" s="27" t="s">
        <v>4108</v>
      </c>
      <c r="X72" s="25">
        <v>6124000.0</v>
      </c>
      <c r="Y72" s="25">
        <f t="shared" si="3"/>
        <v>919000</v>
      </c>
      <c r="Z72" s="25">
        <v>5205000.0</v>
      </c>
      <c r="AA72" s="19">
        <f t="shared" si="1"/>
        <v>5</v>
      </c>
      <c r="AB72" s="19">
        <f t="shared" si="2"/>
        <v>6</v>
      </c>
      <c r="AC72" s="19"/>
    </row>
    <row r="73" ht="15.75" customHeight="1">
      <c r="A73" s="12">
        <v>45071.0</v>
      </c>
      <c r="B73" s="13" t="s">
        <v>28</v>
      </c>
      <c r="C73" s="14" t="s">
        <v>415</v>
      </c>
      <c r="D73" s="14"/>
      <c r="E73" s="14"/>
      <c r="F73" s="14"/>
      <c r="G73" s="14"/>
      <c r="H73" s="14"/>
      <c r="I73" s="15" t="s">
        <v>416</v>
      </c>
      <c r="J73" s="14"/>
      <c r="K73" s="14"/>
      <c r="L73" s="14" t="s">
        <v>417</v>
      </c>
      <c r="M73" s="14" t="s">
        <v>56</v>
      </c>
      <c r="N73" s="14" t="s">
        <v>34</v>
      </c>
      <c r="O73" s="14" t="b">
        <v>0</v>
      </c>
      <c r="P73" s="14"/>
      <c r="Q73" s="14" t="s">
        <v>91</v>
      </c>
      <c r="R73" s="14"/>
      <c r="S73" s="14" t="s">
        <v>414</v>
      </c>
      <c r="T73" s="14" t="s">
        <v>4107</v>
      </c>
      <c r="U73" s="17">
        <v>45079.0</v>
      </c>
      <c r="V73" s="59"/>
      <c r="W73" s="14"/>
      <c r="X73" s="18"/>
      <c r="Y73" s="18"/>
      <c r="Z73" s="18"/>
      <c r="AA73" s="19">
        <f t="shared" si="1"/>
        <v>5</v>
      </c>
      <c r="AB73" s="19" t="str">
        <f t="shared" si="2"/>
        <v/>
      </c>
      <c r="AC73" s="19"/>
    </row>
    <row r="74" ht="15.75" customHeight="1">
      <c r="A74" s="12">
        <v>45071.0</v>
      </c>
      <c r="B74" s="13" t="s">
        <v>28</v>
      </c>
      <c r="C74" s="14" t="s">
        <v>418</v>
      </c>
      <c r="D74" s="14"/>
      <c r="E74" s="14"/>
      <c r="F74" s="14"/>
      <c r="G74" s="14" t="s">
        <v>419</v>
      </c>
      <c r="H74" s="14"/>
      <c r="I74" s="57" t="s">
        <v>420</v>
      </c>
      <c r="J74" s="14"/>
      <c r="K74" s="14"/>
      <c r="L74" s="14" t="s">
        <v>421</v>
      </c>
      <c r="M74" s="14" t="s">
        <v>111</v>
      </c>
      <c r="N74" s="14" t="s">
        <v>34</v>
      </c>
      <c r="O74" s="14" t="b">
        <v>0</v>
      </c>
      <c r="P74" s="14"/>
      <c r="Q74" s="14"/>
      <c r="R74" s="14"/>
      <c r="S74" s="14" t="s">
        <v>422</v>
      </c>
      <c r="T74" s="14" t="s">
        <v>4083</v>
      </c>
      <c r="U74" s="17"/>
      <c r="V74" s="14"/>
      <c r="W74" s="14"/>
      <c r="X74" s="18"/>
      <c r="Y74" s="18"/>
      <c r="Z74" s="18"/>
      <c r="AA74" s="19">
        <f t="shared" si="1"/>
        <v>5</v>
      </c>
      <c r="AB74" s="19" t="str">
        <f t="shared" si="2"/>
        <v/>
      </c>
      <c r="AC74" s="19"/>
    </row>
    <row r="75" ht="15.75" customHeight="1">
      <c r="A75" s="12">
        <v>45072.0</v>
      </c>
      <c r="B75" s="13" t="s">
        <v>28</v>
      </c>
      <c r="C75" s="14" t="s">
        <v>423</v>
      </c>
      <c r="D75" s="14" t="s">
        <v>424</v>
      </c>
      <c r="E75" s="14"/>
      <c r="F75" s="14"/>
      <c r="G75" s="14" t="s">
        <v>425</v>
      </c>
      <c r="H75" s="14"/>
      <c r="I75" s="15" t="s">
        <v>426</v>
      </c>
      <c r="J75" s="14"/>
      <c r="K75" s="14"/>
      <c r="L75" s="14"/>
      <c r="M75" s="14" t="s">
        <v>111</v>
      </c>
      <c r="N75" s="14" t="s">
        <v>13</v>
      </c>
      <c r="O75" s="14" t="b">
        <v>1</v>
      </c>
      <c r="P75" s="14" t="s">
        <v>4109</v>
      </c>
      <c r="Q75" s="14"/>
      <c r="R75" s="14"/>
      <c r="S75" s="14" t="s">
        <v>428</v>
      </c>
      <c r="T75" s="14" t="s">
        <v>4110</v>
      </c>
      <c r="U75" s="17"/>
      <c r="V75" s="14"/>
      <c r="W75" s="14"/>
      <c r="X75" s="18"/>
      <c r="Y75" s="18"/>
      <c r="Z75" s="18"/>
      <c r="AA75" s="19">
        <f t="shared" si="1"/>
        <v>5</v>
      </c>
      <c r="AB75" s="19" t="str">
        <f t="shared" si="2"/>
        <v/>
      </c>
      <c r="AC75" s="19"/>
    </row>
    <row r="76" ht="15.75" customHeight="1">
      <c r="A76" s="12">
        <v>45072.0</v>
      </c>
      <c r="B76" s="14" t="s">
        <v>84</v>
      </c>
      <c r="C76" s="260" t="s">
        <v>429</v>
      </c>
      <c r="D76" s="261" t="s">
        <v>430</v>
      </c>
      <c r="E76" s="14"/>
      <c r="F76" s="14"/>
      <c r="G76" s="14" t="s">
        <v>425</v>
      </c>
      <c r="H76" s="14"/>
      <c r="I76" s="84" t="s">
        <v>431</v>
      </c>
      <c r="J76" s="14"/>
      <c r="K76" s="14" t="s">
        <v>432</v>
      </c>
      <c r="L76" s="14"/>
      <c r="M76" s="14" t="s">
        <v>111</v>
      </c>
      <c r="N76" s="14" t="s">
        <v>72</v>
      </c>
      <c r="O76" s="14" t="b">
        <v>1</v>
      </c>
      <c r="P76" s="14" t="s">
        <v>433</v>
      </c>
      <c r="Q76" s="14"/>
      <c r="R76" s="14"/>
      <c r="S76" s="14" t="s">
        <v>434</v>
      </c>
      <c r="T76" s="62" t="s">
        <v>4111</v>
      </c>
      <c r="U76" s="17"/>
      <c r="V76" s="14"/>
      <c r="W76" s="14"/>
      <c r="X76" s="18"/>
      <c r="Y76" s="18"/>
      <c r="Z76" s="18"/>
      <c r="AA76" s="19">
        <f t="shared" si="1"/>
        <v>5</v>
      </c>
      <c r="AB76" s="19" t="str">
        <f t="shared" si="2"/>
        <v/>
      </c>
      <c r="AC76" s="19"/>
    </row>
    <row r="77" ht="15.75" customHeight="1">
      <c r="A77" s="12">
        <v>45072.0</v>
      </c>
      <c r="B77" s="13" t="s">
        <v>28</v>
      </c>
      <c r="C77" s="14" t="s">
        <v>435</v>
      </c>
      <c r="D77" s="14" t="s">
        <v>436</v>
      </c>
      <c r="E77" s="14"/>
      <c r="F77" s="14"/>
      <c r="G77" s="14" t="s">
        <v>437</v>
      </c>
      <c r="H77" s="14"/>
      <c r="I77" s="57" t="s">
        <v>438</v>
      </c>
      <c r="J77" s="16" t="s">
        <v>439</v>
      </c>
      <c r="K77" s="14"/>
      <c r="L77" s="14" t="s">
        <v>440</v>
      </c>
      <c r="M77" s="14" t="s">
        <v>48</v>
      </c>
      <c r="N77" s="14" t="s">
        <v>13</v>
      </c>
      <c r="O77" s="14" t="b">
        <v>1</v>
      </c>
      <c r="P77" s="14" t="s">
        <v>441</v>
      </c>
      <c r="Q77" s="14"/>
      <c r="R77" s="14"/>
      <c r="S77" s="92" t="s">
        <v>442</v>
      </c>
      <c r="T77" s="14" t="s">
        <v>4073</v>
      </c>
      <c r="U77" s="17"/>
      <c r="V77" s="14"/>
      <c r="W77" s="14"/>
      <c r="X77" s="18"/>
      <c r="Y77" s="18"/>
      <c r="Z77" s="18"/>
      <c r="AA77" s="19">
        <f t="shared" si="1"/>
        <v>5</v>
      </c>
      <c r="AB77" s="19" t="str">
        <f t="shared" si="2"/>
        <v/>
      </c>
      <c r="AC77" s="19"/>
    </row>
    <row r="78" ht="15.75" customHeight="1">
      <c r="A78" s="26">
        <v>45072.0</v>
      </c>
      <c r="B78" s="27" t="s">
        <v>201</v>
      </c>
      <c r="C78" s="262" t="s">
        <v>4112</v>
      </c>
      <c r="D78" s="262" t="s">
        <v>444</v>
      </c>
      <c r="E78" s="27"/>
      <c r="F78" s="27"/>
      <c r="G78" s="27">
        <v>2012.0</v>
      </c>
      <c r="H78" s="27"/>
      <c r="I78" s="88" t="s">
        <v>445</v>
      </c>
      <c r="J78" s="27"/>
      <c r="K78" s="27"/>
      <c r="L78" s="27"/>
      <c r="M78" s="27" t="s">
        <v>412</v>
      </c>
      <c r="N78" s="27" t="s">
        <v>67</v>
      </c>
      <c r="O78" s="14" t="b">
        <v>0</v>
      </c>
      <c r="P78" s="27" t="s">
        <v>447</v>
      </c>
      <c r="Q78" s="27" t="s">
        <v>91</v>
      </c>
      <c r="R78" s="27"/>
      <c r="S78" s="262" t="s">
        <v>448</v>
      </c>
      <c r="T78" s="27" t="s">
        <v>4113</v>
      </c>
      <c r="U78" s="26"/>
      <c r="V78" s="32">
        <v>45080.0</v>
      </c>
      <c r="W78" s="27" t="s">
        <v>4114</v>
      </c>
      <c r="X78" s="25">
        <v>6124000.0</v>
      </c>
      <c r="Y78" s="25">
        <v>0.15</v>
      </c>
      <c r="Z78" s="25">
        <v>2756000.0</v>
      </c>
      <c r="AA78" s="19">
        <f t="shared" si="1"/>
        <v>5</v>
      </c>
      <c r="AB78" s="19">
        <f t="shared" si="2"/>
        <v>6</v>
      </c>
      <c r="AC78" s="19"/>
    </row>
    <row r="79" ht="15.75" customHeight="1">
      <c r="A79" s="12">
        <v>45072.0</v>
      </c>
      <c r="B79" s="14" t="s">
        <v>60</v>
      </c>
      <c r="C79" s="263" t="s">
        <v>449</v>
      </c>
      <c r="D79" s="263" t="s">
        <v>450</v>
      </c>
      <c r="E79" s="14"/>
      <c r="F79" s="14"/>
      <c r="G79" s="14"/>
      <c r="H79" s="14"/>
      <c r="I79" s="89" t="s">
        <v>451</v>
      </c>
      <c r="J79" s="14"/>
      <c r="K79" s="14"/>
      <c r="L79" s="14"/>
      <c r="M79" s="14" t="s">
        <v>48</v>
      </c>
      <c r="N79" s="14" t="s">
        <v>34</v>
      </c>
      <c r="O79" s="14" t="b">
        <v>0</v>
      </c>
      <c r="P79" s="14"/>
      <c r="Q79" s="14"/>
      <c r="R79" s="14"/>
      <c r="S79" s="14" t="s">
        <v>452</v>
      </c>
      <c r="T79" s="14" t="s">
        <v>4115</v>
      </c>
      <c r="U79" s="17"/>
      <c r="V79" s="14"/>
      <c r="W79" s="14"/>
      <c r="X79" s="18"/>
      <c r="Y79" s="18"/>
      <c r="Z79" s="18"/>
      <c r="AA79" s="19">
        <f t="shared" si="1"/>
        <v>5</v>
      </c>
      <c r="AB79" s="19" t="str">
        <f t="shared" si="2"/>
        <v/>
      </c>
      <c r="AC79" s="19"/>
    </row>
    <row r="80" ht="15.75" customHeight="1">
      <c r="A80" s="12">
        <v>45072.0</v>
      </c>
      <c r="B80" s="14" t="s">
        <v>60</v>
      </c>
      <c r="C80" s="264"/>
      <c r="D80" s="264" t="s">
        <v>453</v>
      </c>
      <c r="E80" s="14"/>
      <c r="F80" s="14"/>
      <c r="G80" s="14"/>
      <c r="H80" s="14"/>
      <c r="I80" s="15" t="s">
        <v>454</v>
      </c>
      <c r="J80" s="14"/>
      <c r="K80" s="14"/>
      <c r="L80" s="14"/>
      <c r="M80" s="14" t="s">
        <v>48</v>
      </c>
      <c r="N80" s="14" t="s">
        <v>333</v>
      </c>
      <c r="O80" s="14" t="b">
        <v>0</v>
      </c>
      <c r="P80" s="14"/>
      <c r="Q80" s="14"/>
      <c r="R80" s="14"/>
      <c r="S80" s="62" t="s">
        <v>455</v>
      </c>
      <c r="T80" s="14" t="s">
        <v>4116</v>
      </c>
      <c r="U80" s="17">
        <v>45108.0</v>
      </c>
      <c r="V80" s="14"/>
      <c r="W80" s="14"/>
      <c r="X80" s="18"/>
      <c r="Y80" s="18"/>
      <c r="Z80" s="18"/>
      <c r="AA80" s="19">
        <f t="shared" si="1"/>
        <v>5</v>
      </c>
      <c r="AB80" s="19" t="str">
        <f t="shared" si="2"/>
        <v/>
      </c>
      <c r="AC80" s="19"/>
    </row>
    <row r="81" ht="15.75" customHeight="1">
      <c r="A81" s="12">
        <v>45073.0</v>
      </c>
      <c r="B81" s="13" t="s">
        <v>28</v>
      </c>
      <c r="C81" s="14" t="s">
        <v>456</v>
      </c>
      <c r="D81" s="14"/>
      <c r="E81" s="14"/>
      <c r="F81" s="14"/>
      <c r="G81" s="14" t="s">
        <v>457</v>
      </c>
      <c r="H81" s="14"/>
      <c r="I81" s="15" t="s">
        <v>458</v>
      </c>
      <c r="J81" s="14"/>
      <c r="K81" s="15" t="s">
        <v>458</v>
      </c>
      <c r="L81" s="14" t="s">
        <v>459</v>
      </c>
      <c r="M81" s="14" t="s">
        <v>111</v>
      </c>
      <c r="N81" s="14" t="s">
        <v>158</v>
      </c>
      <c r="O81" s="14" t="b">
        <v>0</v>
      </c>
      <c r="P81" s="14"/>
      <c r="Q81" s="14"/>
      <c r="R81" s="14"/>
      <c r="S81" s="14" t="s">
        <v>460</v>
      </c>
      <c r="T81" s="14" t="s">
        <v>4117</v>
      </c>
      <c r="U81" s="17">
        <v>45093.0</v>
      </c>
      <c r="V81" s="14"/>
      <c r="W81" s="14"/>
      <c r="X81" s="18"/>
      <c r="Y81" s="18"/>
      <c r="Z81" s="18"/>
      <c r="AA81" s="19">
        <f t="shared" si="1"/>
        <v>5</v>
      </c>
      <c r="AB81" s="19" t="str">
        <f t="shared" si="2"/>
        <v/>
      </c>
      <c r="AC81" s="19"/>
    </row>
    <row r="82" ht="15.75" customHeight="1">
      <c r="A82" s="12">
        <v>45073.0</v>
      </c>
      <c r="B82" s="14" t="s">
        <v>60</v>
      </c>
      <c r="C82" s="14" t="s">
        <v>50</v>
      </c>
      <c r="D82" s="250" t="s">
        <v>461</v>
      </c>
      <c r="E82" s="14"/>
      <c r="F82" s="14"/>
      <c r="G82" s="14" t="s">
        <v>437</v>
      </c>
      <c r="H82" s="14"/>
      <c r="I82" s="15" t="s">
        <v>462</v>
      </c>
      <c r="J82" s="14"/>
      <c r="K82" s="14"/>
      <c r="L82" s="250" t="s">
        <v>463</v>
      </c>
      <c r="M82" s="14" t="s">
        <v>111</v>
      </c>
      <c r="N82" s="14" t="s">
        <v>34</v>
      </c>
      <c r="O82" s="14" t="b">
        <v>0</v>
      </c>
      <c r="P82" s="14"/>
      <c r="Q82" s="14"/>
      <c r="R82" s="14"/>
      <c r="S82" s="14" t="s">
        <v>464</v>
      </c>
      <c r="T82" s="14" t="s">
        <v>4083</v>
      </c>
      <c r="U82" s="17"/>
      <c r="V82" s="14"/>
      <c r="W82" s="14"/>
      <c r="X82" s="18"/>
      <c r="Y82" s="18"/>
      <c r="Z82" s="18"/>
      <c r="AA82" s="19">
        <f t="shared" si="1"/>
        <v>5</v>
      </c>
      <c r="AB82" s="19" t="str">
        <f t="shared" si="2"/>
        <v/>
      </c>
      <c r="AC82" s="19"/>
    </row>
    <row r="83" ht="15.75" customHeight="1">
      <c r="A83" s="12">
        <v>45073.0</v>
      </c>
      <c r="B83" s="24" t="s">
        <v>28</v>
      </c>
      <c r="C83" s="14" t="s">
        <v>465</v>
      </c>
      <c r="D83" s="14"/>
      <c r="E83" s="14"/>
      <c r="F83" s="14"/>
      <c r="G83" s="14"/>
      <c r="H83" s="14"/>
      <c r="I83" s="15"/>
      <c r="J83" s="14"/>
      <c r="K83" s="14"/>
      <c r="L83" s="14"/>
      <c r="M83" s="14" t="s">
        <v>152</v>
      </c>
      <c r="N83" s="14" t="s">
        <v>34</v>
      </c>
      <c r="O83" s="14" t="b">
        <v>0</v>
      </c>
      <c r="P83" s="14"/>
      <c r="Q83" s="14"/>
      <c r="R83" s="14"/>
      <c r="S83" s="14" t="s">
        <v>466</v>
      </c>
      <c r="T83" s="14"/>
      <c r="U83" s="17"/>
      <c r="V83" s="14"/>
      <c r="W83" s="14"/>
      <c r="X83" s="18"/>
      <c r="Y83" s="18"/>
      <c r="Z83" s="18"/>
      <c r="AA83" s="19">
        <f t="shared" si="1"/>
        <v>5</v>
      </c>
      <c r="AB83" s="19" t="str">
        <f t="shared" si="2"/>
        <v/>
      </c>
      <c r="AC83" s="19"/>
    </row>
    <row r="84" ht="15.75" customHeight="1">
      <c r="A84" s="12">
        <v>45073.0</v>
      </c>
      <c r="B84" s="14" t="s">
        <v>60</v>
      </c>
      <c r="C84" s="250" t="s">
        <v>467</v>
      </c>
      <c r="D84" s="250" t="s">
        <v>468</v>
      </c>
      <c r="E84" s="14"/>
      <c r="F84" s="142">
        <v>40657.0</v>
      </c>
      <c r="G84" s="14" t="s">
        <v>469</v>
      </c>
      <c r="H84" s="14"/>
      <c r="I84" s="15" t="s">
        <v>470</v>
      </c>
      <c r="J84" s="14"/>
      <c r="K84" s="14"/>
      <c r="L84" s="14"/>
      <c r="M84" s="14" t="s">
        <v>48</v>
      </c>
      <c r="N84" s="14" t="s">
        <v>333</v>
      </c>
      <c r="O84" s="14" t="b">
        <v>0</v>
      </c>
      <c r="P84" s="14"/>
      <c r="Q84" s="14"/>
      <c r="R84" s="14"/>
      <c r="S84" s="14" t="s">
        <v>471</v>
      </c>
      <c r="T84" s="14" t="s">
        <v>36</v>
      </c>
      <c r="U84" s="17"/>
      <c r="V84" s="90"/>
      <c r="W84" s="14"/>
      <c r="X84" s="18"/>
      <c r="Y84" s="18"/>
      <c r="Z84" s="18"/>
      <c r="AA84" s="19">
        <f t="shared" si="1"/>
        <v>5</v>
      </c>
      <c r="AB84" s="19" t="str">
        <f t="shared" si="2"/>
        <v/>
      </c>
      <c r="AC84" s="19"/>
    </row>
    <row r="85" ht="15.75" customHeight="1">
      <c r="A85" s="12">
        <v>45073.0</v>
      </c>
      <c r="B85" s="14" t="s">
        <v>60</v>
      </c>
      <c r="C85" s="250" t="s">
        <v>472</v>
      </c>
      <c r="D85" s="250" t="s">
        <v>473</v>
      </c>
      <c r="E85" s="14"/>
      <c r="F85" s="14"/>
      <c r="G85" s="14" t="s">
        <v>474</v>
      </c>
      <c r="H85" s="14"/>
      <c r="I85" s="91" t="s">
        <v>475</v>
      </c>
      <c r="J85" s="14"/>
      <c r="K85" s="14"/>
      <c r="L85" s="14"/>
      <c r="M85" s="14" t="s">
        <v>111</v>
      </c>
      <c r="N85" s="14" t="s">
        <v>72</v>
      </c>
      <c r="O85" s="14" t="b">
        <v>0</v>
      </c>
      <c r="P85" s="14" t="s">
        <v>476</v>
      </c>
      <c r="Q85" s="14"/>
      <c r="R85" s="14"/>
      <c r="S85" s="14" t="s">
        <v>477</v>
      </c>
      <c r="T85" s="14" t="s">
        <v>4118</v>
      </c>
      <c r="U85" s="17">
        <v>45112.0</v>
      </c>
      <c r="V85" s="14"/>
      <c r="W85" s="14"/>
      <c r="X85" s="18"/>
      <c r="Y85" s="18"/>
      <c r="Z85" s="18"/>
      <c r="AA85" s="19">
        <f t="shared" si="1"/>
        <v>5</v>
      </c>
      <c r="AB85" s="19" t="str">
        <f t="shared" si="2"/>
        <v/>
      </c>
      <c r="AC85" s="19"/>
    </row>
    <row r="86" ht="15.75" customHeight="1">
      <c r="A86" s="12">
        <v>45073.0</v>
      </c>
      <c r="B86" s="14" t="s">
        <v>60</v>
      </c>
      <c r="C86" s="265" t="s">
        <v>478</v>
      </c>
      <c r="D86" s="266" t="s">
        <v>479</v>
      </c>
      <c r="E86" s="14"/>
      <c r="F86" s="14"/>
      <c r="G86" s="14" t="s">
        <v>480</v>
      </c>
      <c r="H86" s="14"/>
      <c r="I86" s="42" t="s">
        <v>481</v>
      </c>
      <c r="J86" s="14"/>
      <c r="K86" s="14"/>
      <c r="L86" s="14"/>
      <c r="M86" s="14" t="s">
        <v>412</v>
      </c>
      <c r="N86" s="14" t="s">
        <v>13</v>
      </c>
      <c r="O86" s="14" t="b">
        <v>1</v>
      </c>
      <c r="P86" s="14" t="s">
        <v>4119</v>
      </c>
      <c r="Q86" s="14"/>
      <c r="R86" s="14"/>
      <c r="S86" s="14" t="s">
        <v>483</v>
      </c>
      <c r="T86" s="14" t="s">
        <v>4120</v>
      </c>
      <c r="U86" s="61" t="s">
        <v>289</v>
      </c>
      <c r="V86" s="14"/>
      <c r="W86" s="14"/>
      <c r="X86" s="18"/>
      <c r="Y86" s="18"/>
      <c r="Z86" s="18"/>
      <c r="AA86" s="19">
        <f t="shared" si="1"/>
        <v>5</v>
      </c>
      <c r="AB86" s="19" t="str">
        <f t="shared" si="2"/>
        <v/>
      </c>
      <c r="AC86" s="19"/>
    </row>
    <row r="87" ht="15.75" customHeight="1">
      <c r="A87" s="12">
        <v>45073.0</v>
      </c>
      <c r="B87" s="14" t="s">
        <v>60</v>
      </c>
      <c r="C87" s="250" t="s">
        <v>484</v>
      </c>
      <c r="D87" s="250" t="s">
        <v>485</v>
      </c>
      <c r="E87" s="14"/>
      <c r="F87" s="14"/>
      <c r="G87" s="14" t="s">
        <v>87</v>
      </c>
      <c r="H87" s="14"/>
      <c r="I87" s="15" t="s">
        <v>486</v>
      </c>
      <c r="J87" s="14"/>
      <c r="K87" s="14"/>
      <c r="L87" s="14" t="s">
        <v>487</v>
      </c>
      <c r="M87" s="14" t="s">
        <v>48</v>
      </c>
      <c r="N87" s="14" t="s">
        <v>34</v>
      </c>
      <c r="O87" s="14" t="b">
        <v>0</v>
      </c>
      <c r="P87" s="14"/>
      <c r="Q87" s="14"/>
      <c r="R87" s="14"/>
      <c r="S87" s="14" t="s">
        <v>488</v>
      </c>
      <c r="T87" s="14"/>
      <c r="U87" s="17">
        <v>45174.0</v>
      </c>
      <c r="V87" s="14"/>
      <c r="W87" s="14"/>
      <c r="X87" s="18"/>
      <c r="Y87" s="18"/>
      <c r="Z87" s="18"/>
      <c r="AA87" s="19">
        <f t="shared" si="1"/>
        <v>5</v>
      </c>
      <c r="AB87" s="19" t="str">
        <f t="shared" si="2"/>
        <v/>
      </c>
      <c r="AC87" s="19"/>
    </row>
    <row r="88" ht="15.75" customHeight="1">
      <c r="A88" s="12">
        <v>45073.0</v>
      </c>
      <c r="B88" s="14" t="s">
        <v>60</v>
      </c>
      <c r="C88" s="265" t="s">
        <v>489</v>
      </c>
      <c r="D88" s="265" t="s">
        <v>490</v>
      </c>
      <c r="E88" s="14"/>
      <c r="F88" s="14"/>
      <c r="G88" s="14" t="s">
        <v>457</v>
      </c>
      <c r="H88" s="14"/>
      <c r="I88" s="15" t="s">
        <v>491</v>
      </c>
      <c r="J88" s="14"/>
      <c r="K88" s="15">
        <v>9.0667962E8</v>
      </c>
      <c r="L88" s="14"/>
      <c r="M88" s="14" t="s">
        <v>111</v>
      </c>
      <c r="N88" s="14" t="s">
        <v>158</v>
      </c>
      <c r="O88" s="14" t="b">
        <v>0</v>
      </c>
      <c r="P88" s="14"/>
      <c r="Q88" s="14"/>
      <c r="R88" s="14"/>
      <c r="S88" s="14" t="s">
        <v>492</v>
      </c>
      <c r="T88" s="14" t="s">
        <v>4121</v>
      </c>
      <c r="U88" s="17">
        <v>45093.0</v>
      </c>
      <c r="V88" s="14"/>
      <c r="W88" s="14"/>
      <c r="X88" s="18"/>
      <c r="Y88" s="18"/>
      <c r="Z88" s="18"/>
      <c r="AA88" s="19">
        <f t="shared" si="1"/>
        <v>5</v>
      </c>
      <c r="AB88" s="19" t="str">
        <f t="shared" si="2"/>
        <v/>
      </c>
      <c r="AC88" s="19"/>
    </row>
    <row r="89" ht="15.75" customHeight="1">
      <c r="A89" s="12">
        <v>45073.0</v>
      </c>
      <c r="B89" s="14" t="s">
        <v>60</v>
      </c>
      <c r="C89" s="265" t="s">
        <v>493</v>
      </c>
      <c r="D89" s="265" t="s">
        <v>494</v>
      </c>
      <c r="E89" s="14"/>
      <c r="F89" s="14"/>
      <c r="G89" s="265" t="s">
        <v>495</v>
      </c>
      <c r="H89" s="14"/>
      <c r="I89" s="15" t="s">
        <v>496</v>
      </c>
      <c r="J89" s="14"/>
      <c r="K89" s="14"/>
      <c r="L89" s="14"/>
      <c r="M89" s="14" t="s">
        <v>48</v>
      </c>
      <c r="N89" s="14" t="s">
        <v>216</v>
      </c>
      <c r="O89" s="14" t="b">
        <v>0</v>
      </c>
      <c r="P89" s="14"/>
      <c r="Q89" s="14"/>
      <c r="R89" s="14"/>
      <c r="S89" s="14" t="s">
        <v>428</v>
      </c>
      <c r="T89" s="14" t="s">
        <v>4083</v>
      </c>
      <c r="U89" s="17"/>
      <c r="V89" s="14"/>
      <c r="W89" s="14"/>
      <c r="X89" s="18"/>
      <c r="Y89" s="18"/>
      <c r="Z89" s="18"/>
      <c r="AA89" s="19">
        <f t="shared" si="1"/>
        <v>5</v>
      </c>
      <c r="AB89" s="19" t="str">
        <f t="shared" si="2"/>
        <v/>
      </c>
      <c r="AC89" s="19"/>
    </row>
    <row r="90" ht="15.75" customHeight="1">
      <c r="A90" s="12">
        <v>45073.0</v>
      </c>
      <c r="B90" s="14" t="s">
        <v>60</v>
      </c>
      <c r="C90" s="14" t="s">
        <v>497</v>
      </c>
      <c r="D90" s="14" t="s">
        <v>498</v>
      </c>
      <c r="E90" s="14"/>
      <c r="F90" s="14"/>
      <c r="G90" s="14"/>
      <c r="H90" s="14"/>
      <c r="I90" s="15" t="s">
        <v>499</v>
      </c>
      <c r="J90" s="14"/>
      <c r="K90" s="14"/>
      <c r="L90" s="14"/>
      <c r="M90" s="14" t="s">
        <v>111</v>
      </c>
      <c r="N90" s="14" t="s">
        <v>158</v>
      </c>
      <c r="O90" s="14" t="b">
        <v>0</v>
      </c>
      <c r="P90" s="14"/>
      <c r="Q90" s="14"/>
      <c r="R90" s="14"/>
      <c r="S90" s="14" t="s">
        <v>500</v>
      </c>
      <c r="T90" s="14" t="s">
        <v>4074</v>
      </c>
      <c r="U90" s="17">
        <v>45108.0</v>
      </c>
      <c r="V90" s="14"/>
      <c r="W90" s="14"/>
      <c r="X90" s="18"/>
      <c r="Y90" s="18"/>
      <c r="Z90" s="18"/>
      <c r="AA90" s="19">
        <f t="shared" si="1"/>
        <v>5</v>
      </c>
      <c r="AB90" s="19" t="str">
        <f t="shared" si="2"/>
        <v/>
      </c>
      <c r="AC90" s="19"/>
    </row>
    <row r="91" ht="15.75" customHeight="1">
      <c r="A91" s="12">
        <v>45073.0</v>
      </c>
      <c r="B91" s="14" t="s">
        <v>60</v>
      </c>
      <c r="C91" s="14" t="s">
        <v>4122</v>
      </c>
      <c r="D91" s="14" t="s">
        <v>502</v>
      </c>
      <c r="E91" s="14"/>
      <c r="F91" s="14"/>
      <c r="G91" s="14"/>
      <c r="H91" s="14"/>
      <c r="I91" s="15" t="s">
        <v>499</v>
      </c>
      <c r="J91" s="14"/>
      <c r="K91" s="14"/>
      <c r="L91" s="14"/>
      <c r="M91" s="14" t="s">
        <v>48</v>
      </c>
      <c r="N91" s="14" t="s">
        <v>34</v>
      </c>
      <c r="O91" s="14" t="b">
        <v>0</v>
      </c>
      <c r="P91" s="14"/>
      <c r="Q91" s="14"/>
      <c r="R91" s="14"/>
      <c r="S91" s="14" t="s">
        <v>503</v>
      </c>
      <c r="T91" s="14" t="s">
        <v>36</v>
      </c>
      <c r="U91" s="17"/>
      <c r="V91" s="14"/>
      <c r="W91" s="14"/>
      <c r="X91" s="18"/>
      <c r="Y91" s="18"/>
      <c r="Z91" s="18"/>
      <c r="AA91" s="19">
        <f t="shared" si="1"/>
        <v>5</v>
      </c>
      <c r="AB91" s="19" t="str">
        <f t="shared" si="2"/>
        <v/>
      </c>
      <c r="AC91" s="19"/>
    </row>
    <row r="92" ht="15.75" customHeight="1">
      <c r="A92" s="12">
        <v>45073.0</v>
      </c>
      <c r="B92" s="13" t="s">
        <v>28</v>
      </c>
      <c r="C92" s="14" t="s">
        <v>504</v>
      </c>
      <c r="D92" s="14" t="s">
        <v>502</v>
      </c>
      <c r="E92" s="14"/>
      <c r="F92" s="14"/>
      <c r="G92" s="14" t="s">
        <v>505</v>
      </c>
      <c r="H92" s="14"/>
      <c r="I92" s="15" t="s">
        <v>506</v>
      </c>
      <c r="J92" s="14"/>
      <c r="K92" s="14"/>
      <c r="L92" s="14"/>
      <c r="M92" s="14" t="s">
        <v>152</v>
      </c>
      <c r="N92" s="14" t="s">
        <v>34</v>
      </c>
      <c r="O92" s="14" t="b">
        <v>1</v>
      </c>
      <c r="P92" s="37" t="s">
        <v>4123</v>
      </c>
      <c r="Q92" s="14" t="s">
        <v>4045</v>
      </c>
      <c r="R92" s="14"/>
      <c r="S92" s="14" t="s">
        <v>508</v>
      </c>
      <c r="T92" s="14" t="s">
        <v>4124</v>
      </c>
      <c r="U92" s="17">
        <v>45078.0</v>
      </c>
      <c r="V92" s="59"/>
      <c r="W92" s="14" t="s">
        <v>59</v>
      </c>
      <c r="X92" s="18">
        <v>1000000.0</v>
      </c>
      <c r="Y92" s="18"/>
      <c r="Z92" s="18"/>
      <c r="AA92" s="19">
        <f t="shared" si="1"/>
        <v>5</v>
      </c>
      <c r="AB92" s="19" t="str">
        <f t="shared" si="2"/>
        <v/>
      </c>
      <c r="AC92" s="19"/>
    </row>
    <row r="93" ht="15.75" customHeight="1">
      <c r="A93" s="12">
        <v>45074.0</v>
      </c>
      <c r="B93" s="13" t="s">
        <v>28</v>
      </c>
      <c r="C93" s="14"/>
      <c r="D93" s="14" t="s">
        <v>509</v>
      </c>
      <c r="E93" s="14"/>
      <c r="F93" s="14" t="s">
        <v>4125</v>
      </c>
      <c r="G93" s="14" t="s">
        <v>155</v>
      </c>
      <c r="H93" s="14"/>
      <c r="I93" s="15" t="s">
        <v>510</v>
      </c>
      <c r="J93" s="14"/>
      <c r="K93" s="14"/>
      <c r="L93" s="14" t="s">
        <v>4126</v>
      </c>
      <c r="M93" s="14" t="s">
        <v>48</v>
      </c>
      <c r="N93" s="14" t="s">
        <v>216</v>
      </c>
      <c r="O93" s="14" t="b">
        <v>0</v>
      </c>
      <c r="P93" s="14"/>
      <c r="Q93" s="14"/>
      <c r="R93" s="14"/>
      <c r="S93" s="14" t="s">
        <v>512</v>
      </c>
      <c r="T93" s="14" t="s">
        <v>4127</v>
      </c>
      <c r="U93" s="17"/>
      <c r="V93" s="14"/>
      <c r="W93" s="14"/>
      <c r="X93" s="18"/>
      <c r="Y93" s="18"/>
      <c r="Z93" s="18"/>
      <c r="AA93" s="19">
        <f t="shared" si="1"/>
        <v>5</v>
      </c>
      <c r="AB93" s="19" t="str">
        <f t="shared" si="2"/>
        <v/>
      </c>
      <c r="AC93" s="19"/>
    </row>
    <row r="94" ht="15.75" customHeight="1">
      <c r="A94" s="12">
        <v>45075.0</v>
      </c>
      <c r="B94" s="24" t="s">
        <v>28</v>
      </c>
      <c r="C94" s="14" t="s">
        <v>513</v>
      </c>
      <c r="D94" s="14" t="s">
        <v>514</v>
      </c>
      <c r="E94" s="14"/>
      <c r="F94" s="14"/>
      <c r="G94" s="14" t="s">
        <v>371</v>
      </c>
      <c r="H94" s="14"/>
      <c r="I94" s="15" t="s">
        <v>515</v>
      </c>
      <c r="J94" s="14"/>
      <c r="K94" s="14"/>
      <c r="L94" s="14" t="s">
        <v>4128</v>
      </c>
      <c r="M94" s="14" t="s">
        <v>111</v>
      </c>
      <c r="N94" s="14" t="s">
        <v>34</v>
      </c>
      <c r="O94" s="14" t="b">
        <v>0</v>
      </c>
      <c r="P94" s="14"/>
      <c r="Q94" s="14"/>
      <c r="R94" s="14"/>
      <c r="S94" s="14" t="s">
        <v>4129</v>
      </c>
      <c r="T94" s="14" t="s">
        <v>4083</v>
      </c>
      <c r="U94" s="17"/>
      <c r="V94" s="14"/>
      <c r="W94" s="14"/>
      <c r="X94" s="18"/>
      <c r="Y94" s="18"/>
      <c r="Z94" s="18"/>
      <c r="AA94" s="19">
        <f t="shared" si="1"/>
        <v>5</v>
      </c>
      <c r="AB94" s="19" t="str">
        <f t="shared" si="2"/>
        <v/>
      </c>
      <c r="AC94" s="19"/>
    </row>
    <row r="95" ht="15.75" customHeight="1">
      <c r="A95" s="12">
        <v>45076.0</v>
      </c>
      <c r="B95" s="24" t="s">
        <v>28</v>
      </c>
      <c r="C95" s="14"/>
      <c r="D95" s="14" t="s">
        <v>518</v>
      </c>
      <c r="E95" s="14"/>
      <c r="F95" s="14"/>
      <c r="G95" s="14"/>
      <c r="H95" s="14"/>
      <c r="I95" s="15" t="s">
        <v>519</v>
      </c>
      <c r="J95" s="14"/>
      <c r="K95" s="14"/>
      <c r="L95" s="14" t="s">
        <v>520</v>
      </c>
      <c r="M95" s="14" t="s">
        <v>48</v>
      </c>
      <c r="N95" s="14" t="s">
        <v>158</v>
      </c>
      <c r="O95" s="14" t="b">
        <v>0</v>
      </c>
      <c r="P95" s="14"/>
      <c r="Q95" s="14"/>
      <c r="R95" s="14"/>
      <c r="S95" s="14" t="s">
        <v>521</v>
      </c>
      <c r="T95" s="14"/>
      <c r="U95" s="17"/>
      <c r="V95" s="14"/>
      <c r="W95" s="14"/>
      <c r="X95" s="18"/>
      <c r="Y95" s="18"/>
      <c r="Z95" s="18"/>
      <c r="AA95" s="19">
        <f t="shared" si="1"/>
        <v>5</v>
      </c>
      <c r="AB95" s="19" t="str">
        <f t="shared" si="2"/>
        <v/>
      </c>
      <c r="AC95" s="19"/>
    </row>
    <row r="96" ht="15.75" customHeight="1">
      <c r="A96" s="12">
        <v>45076.0</v>
      </c>
      <c r="B96" s="13" t="s">
        <v>28</v>
      </c>
      <c r="C96" s="14" t="s">
        <v>522</v>
      </c>
      <c r="D96" s="14"/>
      <c r="E96" s="14"/>
      <c r="F96" s="14"/>
      <c r="G96" s="14"/>
      <c r="H96" s="14"/>
      <c r="I96" s="15" t="s">
        <v>523</v>
      </c>
      <c r="J96" s="14"/>
      <c r="K96" s="14"/>
      <c r="L96" s="14" t="s">
        <v>4130</v>
      </c>
      <c r="M96" s="14" t="s">
        <v>111</v>
      </c>
      <c r="N96" s="14" t="s">
        <v>34</v>
      </c>
      <c r="O96" s="14" t="b">
        <v>0</v>
      </c>
      <c r="P96" s="14"/>
      <c r="Q96" s="14"/>
      <c r="R96" s="14"/>
      <c r="S96" s="14" t="s">
        <v>525</v>
      </c>
      <c r="T96" s="14" t="s">
        <v>4083</v>
      </c>
      <c r="U96" s="17"/>
      <c r="V96" s="14"/>
      <c r="W96" s="14"/>
      <c r="X96" s="18"/>
      <c r="Y96" s="18"/>
      <c r="Z96" s="18"/>
      <c r="AA96" s="19">
        <f t="shared" si="1"/>
        <v>5</v>
      </c>
      <c r="AB96" s="19" t="str">
        <f t="shared" si="2"/>
        <v/>
      </c>
      <c r="AC96" s="19"/>
    </row>
    <row r="97" ht="15.75" customHeight="1">
      <c r="A97" s="12">
        <v>45076.0</v>
      </c>
      <c r="B97" s="13" t="s">
        <v>28</v>
      </c>
      <c r="C97" s="14" t="s">
        <v>526</v>
      </c>
      <c r="D97" s="14" t="s">
        <v>527</v>
      </c>
      <c r="E97" s="14"/>
      <c r="F97" s="14" t="s">
        <v>4131</v>
      </c>
      <c r="G97" s="14" t="s">
        <v>528</v>
      </c>
      <c r="H97" s="14"/>
      <c r="I97" s="15" t="s">
        <v>529</v>
      </c>
      <c r="J97" s="14"/>
      <c r="K97" s="14"/>
      <c r="L97" s="14" t="s">
        <v>530</v>
      </c>
      <c r="M97" s="14" t="s">
        <v>111</v>
      </c>
      <c r="N97" s="14" t="s">
        <v>13</v>
      </c>
      <c r="O97" s="14" t="b">
        <v>1</v>
      </c>
      <c r="P97" s="14" t="s">
        <v>531</v>
      </c>
      <c r="Q97" s="14"/>
      <c r="R97" s="14"/>
      <c r="S97" s="14" t="s">
        <v>532</v>
      </c>
      <c r="T97" s="14" t="s">
        <v>4132</v>
      </c>
      <c r="U97" s="17">
        <v>45093.0</v>
      </c>
      <c r="V97" s="14"/>
      <c r="W97" s="14"/>
      <c r="X97" s="18"/>
      <c r="Y97" s="18"/>
      <c r="Z97" s="18"/>
      <c r="AA97" s="19">
        <f t="shared" si="1"/>
        <v>5</v>
      </c>
      <c r="AB97" s="19" t="str">
        <f t="shared" si="2"/>
        <v/>
      </c>
      <c r="AC97" s="19"/>
    </row>
    <row r="98" ht="15.75" customHeight="1">
      <c r="A98" s="93">
        <v>45076.0</v>
      </c>
      <c r="B98" s="94" t="s">
        <v>84</v>
      </c>
      <c r="C98" s="94" t="s">
        <v>534</v>
      </c>
      <c r="D98" s="94" t="s">
        <v>535</v>
      </c>
      <c r="E98" s="94"/>
      <c r="F98" s="94"/>
      <c r="G98" s="94" t="s">
        <v>505</v>
      </c>
      <c r="H98" s="94"/>
      <c r="I98" s="97" t="s">
        <v>536</v>
      </c>
      <c r="J98" s="94"/>
      <c r="K98" s="94"/>
      <c r="L98" s="94"/>
      <c r="M98" s="94" t="s">
        <v>412</v>
      </c>
      <c r="N98" s="94" t="s">
        <v>67</v>
      </c>
      <c r="O98" s="14" t="b">
        <v>1</v>
      </c>
      <c r="P98" s="94" t="s">
        <v>537</v>
      </c>
      <c r="Q98" s="94"/>
      <c r="R98" s="94"/>
      <c r="S98" s="94" t="s">
        <v>538</v>
      </c>
      <c r="T98" s="94"/>
      <c r="U98" s="98"/>
      <c r="V98" s="93">
        <v>45078.0</v>
      </c>
      <c r="W98" s="94" t="s">
        <v>533</v>
      </c>
      <c r="X98" s="95">
        <v>6124000.0</v>
      </c>
      <c r="Y98" s="95">
        <f>X98-Z98</f>
        <v>919000</v>
      </c>
      <c r="Z98" s="95">
        <v>5205000.0</v>
      </c>
      <c r="AA98" s="19">
        <f t="shared" si="1"/>
        <v>5</v>
      </c>
      <c r="AB98" s="19">
        <f t="shared" si="2"/>
        <v>6</v>
      </c>
      <c r="AC98" s="19"/>
    </row>
    <row r="99" ht="15.75" customHeight="1">
      <c r="A99" s="12">
        <v>45076.0</v>
      </c>
      <c r="B99" s="14" t="s">
        <v>539</v>
      </c>
      <c r="C99" s="14" t="s">
        <v>540</v>
      </c>
      <c r="D99" s="14" t="s">
        <v>541</v>
      </c>
      <c r="E99" s="14"/>
      <c r="F99" s="14"/>
      <c r="G99" s="14" t="s">
        <v>542</v>
      </c>
      <c r="H99" s="14"/>
      <c r="I99" s="99" t="s">
        <v>543</v>
      </c>
      <c r="J99" s="14"/>
      <c r="K99" s="14"/>
      <c r="L99" s="14"/>
      <c r="M99" s="14" t="s">
        <v>111</v>
      </c>
      <c r="N99" s="14" t="s">
        <v>34</v>
      </c>
      <c r="O99" s="14" t="b">
        <v>1</v>
      </c>
      <c r="P99" s="14" t="s">
        <v>544</v>
      </c>
      <c r="Q99" s="14"/>
      <c r="R99" s="14"/>
      <c r="S99" s="14" t="s">
        <v>545</v>
      </c>
      <c r="T99" s="14" t="s">
        <v>4133</v>
      </c>
      <c r="U99" s="17">
        <v>45093.0</v>
      </c>
      <c r="V99" s="14"/>
      <c r="W99" s="14"/>
      <c r="X99" s="18"/>
      <c r="Y99" s="18"/>
      <c r="Z99" s="18"/>
      <c r="AA99" s="19">
        <f t="shared" si="1"/>
        <v>5</v>
      </c>
      <c r="AB99" s="19" t="str">
        <f t="shared" si="2"/>
        <v/>
      </c>
      <c r="AC99" s="19"/>
    </row>
    <row r="100" ht="15.75" customHeight="1">
      <c r="A100" s="12">
        <v>45076.0</v>
      </c>
      <c r="B100" s="14" t="s">
        <v>539</v>
      </c>
      <c r="C100" s="14" t="s">
        <v>546</v>
      </c>
      <c r="D100" s="14" t="s">
        <v>4134</v>
      </c>
      <c r="E100" s="14"/>
      <c r="F100" s="14"/>
      <c r="G100" s="14" t="s">
        <v>542</v>
      </c>
      <c r="H100" s="14"/>
      <c r="I100" s="15" t="s">
        <v>548</v>
      </c>
      <c r="J100" s="14"/>
      <c r="K100" s="14"/>
      <c r="L100" s="14"/>
      <c r="M100" s="14" t="s">
        <v>111</v>
      </c>
      <c r="N100" s="14" t="s">
        <v>13</v>
      </c>
      <c r="O100" s="14" t="b">
        <v>1</v>
      </c>
      <c r="P100" s="61" t="s">
        <v>549</v>
      </c>
      <c r="Q100" s="14"/>
      <c r="R100" s="14"/>
      <c r="S100" s="14" t="s">
        <v>550</v>
      </c>
      <c r="T100" s="14" t="s">
        <v>4135</v>
      </c>
      <c r="U100" s="17">
        <v>45093.0</v>
      </c>
      <c r="V100" s="14"/>
      <c r="W100" s="14"/>
      <c r="X100" s="18"/>
      <c r="Y100" s="18"/>
      <c r="Z100" s="18"/>
      <c r="AA100" s="19">
        <f t="shared" si="1"/>
        <v>5</v>
      </c>
      <c r="AB100" s="19" t="str">
        <f t="shared" si="2"/>
        <v/>
      </c>
      <c r="AC100" s="19"/>
    </row>
    <row r="101" ht="15.75" customHeight="1">
      <c r="A101" s="12">
        <v>45076.0</v>
      </c>
      <c r="B101" s="14" t="s">
        <v>539</v>
      </c>
      <c r="C101" s="61" t="s">
        <v>551</v>
      </c>
      <c r="D101" s="14"/>
      <c r="E101" s="14"/>
      <c r="F101" s="14"/>
      <c r="G101" s="14"/>
      <c r="H101" s="14"/>
      <c r="I101" s="99" t="s">
        <v>552</v>
      </c>
      <c r="J101" s="14"/>
      <c r="K101" s="14"/>
      <c r="L101" s="14"/>
      <c r="M101" s="14" t="s">
        <v>111</v>
      </c>
      <c r="N101" s="14" t="s">
        <v>333</v>
      </c>
      <c r="O101" s="14" t="b">
        <v>0</v>
      </c>
      <c r="P101" s="14"/>
      <c r="Q101" s="14"/>
      <c r="R101" s="14"/>
      <c r="S101" s="14" t="s">
        <v>553</v>
      </c>
      <c r="T101" s="14" t="s">
        <v>4136</v>
      </c>
      <c r="U101" s="17">
        <v>45093.0</v>
      </c>
      <c r="V101" s="14"/>
      <c r="W101" s="14"/>
      <c r="X101" s="18"/>
      <c r="Y101" s="18"/>
      <c r="Z101" s="18"/>
      <c r="AA101" s="19">
        <f t="shared" si="1"/>
        <v>5</v>
      </c>
      <c r="AB101" s="19" t="str">
        <f t="shared" si="2"/>
        <v/>
      </c>
      <c r="AC101" s="19"/>
    </row>
    <row r="102" ht="15.75" customHeight="1">
      <c r="A102" s="12">
        <v>45076.0</v>
      </c>
      <c r="B102" s="14" t="s">
        <v>539</v>
      </c>
      <c r="C102" s="14"/>
      <c r="D102" s="14"/>
      <c r="E102" s="14"/>
      <c r="F102" s="14"/>
      <c r="G102" s="14"/>
      <c r="H102" s="14"/>
      <c r="I102" s="99" t="s">
        <v>555</v>
      </c>
      <c r="J102" s="14"/>
      <c r="K102" s="14"/>
      <c r="L102" s="14"/>
      <c r="M102" s="14" t="s">
        <v>48</v>
      </c>
      <c r="N102" s="14" t="s">
        <v>333</v>
      </c>
      <c r="O102" s="14" t="b">
        <v>0</v>
      </c>
      <c r="P102" s="14"/>
      <c r="Q102" s="14"/>
      <c r="R102" s="14"/>
      <c r="S102" s="14" t="s">
        <v>556</v>
      </c>
      <c r="T102" s="14" t="s">
        <v>4137</v>
      </c>
      <c r="U102" s="17">
        <v>45100.0</v>
      </c>
      <c r="V102" s="14"/>
      <c r="W102" s="14"/>
      <c r="X102" s="18"/>
      <c r="Y102" s="18"/>
      <c r="Z102" s="18"/>
      <c r="AA102" s="19">
        <f t="shared" si="1"/>
        <v>5</v>
      </c>
      <c r="AB102" s="19" t="str">
        <f t="shared" si="2"/>
        <v/>
      </c>
      <c r="AC102" s="19"/>
    </row>
    <row r="103" ht="15.75" customHeight="1">
      <c r="A103" s="12">
        <v>45076.0</v>
      </c>
      <c r="B103" s="14" t="s">
        <v>539</v>
      </c>
      <c r="C103" s="14" t="s">
        <v>557</v>
      </c>
      <c r="D103" s="14" t="s">
        <v>558</v>
      </c>
      <c r="E103" s="14"/>
      <c r="F103" s="14"/>
      <c r="G103" s="14" t="s">
        <v>559</v>
      </c>
      <c r="H103" s="14"/>
      <c r="I103" s="15" t="s">
        <v>560</v>
      </c>
      <c r="J103" s="14"/>
      <c r="K103" s="14"/>
      <c r="L103" s="14"/>
      <c r="M103" s="14" t="s">
        <v>111</v>
      </c>
      <c r="N103" s="14" t="s">
        <v>13</v>
      </c>
      <c r="O103" s="14" t="b">
        <v>1</v>
      </c>
      <c r="P103" s="14" t="s">
        <v>561</v>
      </c>
      <c r="Q103" s="14"/>
      <c r="R103" s="14"/>
      <c r="S103" s="14" t="s">
        <v>562</v>
      </c>
      <c r="T103" s="14" t="s">
        <v>4096</v>
      </c>
      <c r="U103" s="17">
        <v>45093.0</v>
      </c>
      <c r="V103" s="14"/>
      <c r="W103" s="14"/>
      <c r="X103" s="18"/>
      <c r="Y103" s="18"/>
      <c r="Z103" s="18"/>
      <c r="AA103" s="19">
        <f t="shared" si="1"/>
        <v>5</v>
      </c>
      <c r="AB103" s="19" t="str">
        <f t="shared" si="2"/>
        <v/>
      </c>
      <c r="AC103" s="19"/>
    </row>
    <row r="104" ht="15.75" customHeight="1">
      <c r="A104" s="12">
        <v>45076.0</v>
      </c>
      <c r="B104" s="14" t="s">
        <v>539</v>
      </c>
      <c r="C104" s="14" t="s">
        <v>4138</v>
      </c>
      <c r="D104" s="14"/>
      <c r="E104" s="14"/>
      <c r="F104" s="14"/>
      <c r="G104" s="14" t="s">
        <v>87</v>
      </c>
      <c r="H104" s="14"/>
      <c r="I104" s="101" t="s">
        <v>564</v>
      </c>
      <c r="J104" s="14"/>
      <c r="K104" s="14"/>
      <c r="L104" s="14"/>
      <c r="M104" s="14" t="s">
        <v>111</v>
      </c>
      <c r="N104" s="14" t="s">
        <v>565</v>
      </c>
      <c r="O104" s="14" t="b">
        <v>0</v>
      </c>
      <c r="P104" s="14"/>
      <c r="Q104" s="14"/>
      <c r="R104" s="14"/>
      <c r="S104" s="14" t="s">
        <v>566</v>
      </c>
      <c r="T104" s="14" t="s">
        <v>4139</v>
      </c>
      <c r="U104" s="17"/>
      <c r="V104" s="14"/>
      <c r="W104" s="14"/>
      <c r="X104" s="18"/>
      <c r="Y104" s="18"/>
      <c r="Z104" s="18"/>
      <c r="AA104" s="19">
        <f t="shared" si="1"/>
        <v>5</v>
      </c>
      <c r="AB104" s="19" t="str">
        <f t="shared" si="2"/>
        <v/>
      </c>
      <c r="AC104" s="19"/>
    </row>
    <row r="105" ht="15.75" customHeight="1">
      <c r="A105" s="12">
        <v>45076.0</v>
      </c>
      <c r="B105" s="13" t="s">
        <v>28</v>
      </c>
      <c r="C105" s="14" t="s">
        <v>567</v>
      </c>
      <c r="D105" s="14"/>
      <c r="E105" s="14"/>
      <c r="F105" s="14"/>
      <c r="G105" s="14" t="s">
        <v>568</v>
      </c>
      <c r="H105" s="14"/>
      <c r="I105" s="40" t="s">
        <v>4140</v>
      </c>
      <c r="J105" s="14"/>
      <c r="K105" s="14"/>
      <c r="L105" s="14" t="s">
        <v>570</v>
      </c>
      <c r="M105" s="14" t="s">
        <v>48</v>
      </c>
      <c r="N105" s="14" t="s">
        <v>565</v>
      </c>
      <c r="O105" s="14" t="b">
        <v>0</v>
      </c>
      <c r="P105" s="14"/>
      <c r="Q105" s="14"/>
      <c r="R105" s="14"/>
      <c r="S105" s="14" t="s">
        <v>571</v>
      </c>
      <c r="T105" s="14" t="s">
        <v>4096</v>
      </c>
      <c r="U105" s="17"/>
      <c r="V105" s="14"/>
      <c r="W105" s="14"/>
      <c r="X105" s="18"/>
      <c r="Y105" s="18"/>
      <c r="Z105" s="18"/>
      <c r="AA105" s="19">
        <f t="shared" si="1"/>
        <v>5</v>
      </c>
      <c r="AB105" s="19" t="str">
        <f t="shared" si="2"/>
        <v/>
      </c>
      <c r="AC105" s="19"/>
    </row>
    <row r="106" ht="15.75" customHeight="1">
      <c r="A106" s="12">
        <v>45076.0</v>
      </c>
      <c r="B106" s="14" t="s">
        <v>60</v>
      </c>
      <c r="C106" s="14"/>
      <c r="D106" s="14" t="s">
        <v>572</v>
      </c>
      <c r="E106" s="14"/>
      <c r="F106" s="14"/>
      <c r="G106" s="14"/>
      <c r="H106" s="14"/>
      <c r="I106" s="15" t="s">
        <v>573</v>
      </c>
      <c r="J106" s="14"/>
      <c r="K106" s="14"/>
      <c r="L106" s="14"/>
      <c r="M106" s="14" t="s">
        <v>111</v>
      </c>
      <c r="N106" s="14" t="s">
        <v>34</v>
      </c>
      <c r="O106" s="14" t="b">
        <v>0</v>
      </c>
      <c r="P106" s="14"/>
      <c r="Q106" s="14"/>
      <c r="R106" s="14"/>
      <c r="S106" s="14" t="s">
        <v>574</v>
      </c>
      <c r="T106" s="14" t="s">
        <v>4096</v>
      </c>
      <c r="U106" s="17">
        <v>45093.0</v>
      </c>
      <c r="V106" s="14"/>
      <c r="W106" s="14"/>
      <c r="X106" s="18"/>
      <c r="Y106" s="18"/>
      <c r="Z106" s="18"/>
      <c r="AA106" s="19">
        <f t="shared" si="1"/>
        <v>5</v>
      </c>
      <c r="AB106" s="19" t="str">
        <f t="shared" si="2"/>
        <v/>
      </c>
      <c r="AC106" s="19"/>
    </row>
    <row r="107" ht="15.75" customHeight="1">
      <c r="A107" s="26">
        <v>45076.0</v>
      </c>
      <c r="B107" s="27" t="s">
        <v>84</v>
      </c>
      <c r="C107" s="27" t="s">
        <v>4141</v>
      </c>
      <c r="D107" s="27" t="s">
        <v>577</v>
      </c>
      <c r="E107" s="27"/>
      <c r="F107" s="27"/>
      <c r="G107" s="27"/>
      <c r="H107" s="27"/>
      <c r="I107" s="34" t="s">
        <v>578</v>
      </c>
      <c r="J107" s="27"/>
      <c r="K107" s="27"/>
      <c r="L107" s="27"/>
      <c r="M107" s="27" t="s">
        <v>580</v>
      </c>
      <c r="N107" s="27" t="s">
        <v>67</v>
      </c>
      <c r="O107" s="14" t="b">
        <v>1</v>
      </c>
      <c r="P107" s="27" t="s">
        <v>581</v>
      </c>
      <c r="Q107" s="27"/>
      <c r="R107" s="27"/>
      <c r="S107" s="27" t="s">
        <v>582</v>
      </c>
      <c r="T107" s="27" t="s">
        <v>4142</v>
      </c>
      <c r="U107" s="26"/>
      <c r="V107" s="32">
        <v>45077.0</v>
      </c>
      <c r="W107" s="27" t="s">
        <v>4143</v>
      </c>
      <c r="X107" s="25">
        <v>3062000.0</v>
      </c>
      <c r="Y107" s="25"/>
      <c r="Z107" s="25">
        <v>2908900.0</v>
      </c>
      <c r="AA107" s="19">
        <f t="shared" si="1"/>
        <v>5</v>
      </c>
      <c r="AB107" s="19">
        <f t="shared" si="2"/>
        <v>5</v>
      </c>
      <c r="AC107" s="19"/>
    </row>
    <row r="108" ht="15.75" customHeight="1">
      <c r="A108" s="12">
        <v>45077.0</v>
      </c>
      <c r="B108" s="14" t="s">
        <v>84</v>
      </c>
      <c r="C108" s="14" t="s">
        <v>583</v>
      </c>
      <c r="D108" s="14" t="s">
        <v>51</v>
      </c>
      <c r="E108" s="14"/>
      <c r="F108" s="14"/>
      <c r="G108" s="14" t="s">
        <v>358</v>
      </c>
      <c r="H108" s="14"/>
      <c r="I108" s="15" t="s">
        <v>584</v>
      </c>
      <c r="J108" s="14"/>
      <c r="K108" s="14"/>
      <c r="L108" s="14"/>
      <c r="M108" s="14" t="s">
        <v>412</v>
      </c>
      <c r="N108" s="14" t="s">
        <v>333</v>
      </c>
      <c r="O108" s="14" t="b">
        <v>1</v>
      </c>
      <c r="P108" s="14" t="s">
        <v>585</v>
      </c>
      <c r="Q108" s="14"/>
      <c r="R108" s="14"/>
      <c r="S108" s="14" t="s">
        <v>586</v>
      </c>
      <c r="T108" s="14" t="s">
        <v>4144</v>
      </c>
      <c r="U108" s="17">
        <v>45090.0</v>
      </c>
      <c r="V108" s="14"/>
      <c r="W108" s="14"/>
      <c r="X108" s="18"/>
      <c r="Y108" s="18"/>
      <c r="Z108" s="18"/>
      <c r="AA108" s="19">
        <f t="shared" si="1"/>
        <v>5</v>
      </c>
      <c r="AB108" s="19" t="str">
        <f t="shared" si="2"/>
        <v/>
      </c>
      <c r="AC108" s="19"/>
    </row>
    <row r="109" ht="15.75" customHeight="1">
      <c r="A109" s="12">
        <v>45077.0</v>
      </c>
      <c r="B109" s="14" t="s">
        <v>84</v>
      </c>
      <c r="C109" s="14" t="s">
        <v>587</v>
      </c>
      <c r="D109" s="14" t="s">
        <v>4145</v>
      </c>
      <c r="E109" s="14"/>
      <c r="F109" s="14"/>
      <c r="G109" s="14" t="s">
        <v>480</v>
      </c>
      <c r="H109" s="14"/>
      <c r="I109" s="15" t="s">
        <v>589</v>
      </c>
      <c r="J109" s="14"/>
      <c r="K109" s="14"/>
      <c r="L109" s="14" t="s">
        <v>590</v>
      </c>
      <c r="M109" s="14" t="s">
        <v>66</v>
      </c>
      <c r="N109" s="14" t="s">
        <v>565</v>
      </c>
      <c r="O109" s="14" t="b">
        <v>0</v>
      </c>
      <c r="P109" s="14"/>
      <c r="Q109" s="14"/>
      <c r="R109" s="14"/>
      <c r="S109" s="14" t="s">
        <v>591</v>
      </c>
      <c r="T109" s="14"/>
      <c r="U109" s="17"/>
      <c r="V109" s="14"/>
      <c r="W109" s="14"/>
      <c r="X109" s="18"/>
      <c r="Y109" s="18"/>
      <c r="Z109" s="18"/>
      <c r="AA109" s="19">
        <f t="shared" si="1"/>
        <v>5</v>
      </c>
      <c r="AB109" s="19" t="str">
        <f t="shared" si="2"/>
        <v/>
      </c>
      <c r="AC109" s="19"/>
    </row>
    <row r="110" ht="15.75" customHeight="1">
      <c r="A110" s="105">
        <v>45077.0</v>
      </c>
      <c r="B110" s="106" t="s">
        <v>84</v>
      </c>
      <c r="C110" s="106" t="s">
        <v>4146</v>
      </c>
      <c r="D110" s="106"/>
      <c r="E110" s="106"/>
      <c r="F110" s="106"/>
      <c r="G110" s="106">
        <v>14.0</v>
      </c>
      <c r="H110" s="106"/>
      <c r="I110" s="267" t="s">
        <v>4147</v>
      </c>
      <c r="J110" s="106"/>
      <c r="K110" s="106"/>
      <c r="L110" s="106" t="s">
        <v>4148</v>
      </c>
      <c r="M110" s="106" t="s">
        <v>66</v>
      </c>
      <c r="N110" s="106" t="s">
        <v>67</v>
      </c>
      <c r="O110" s="14" t="b">
        <v>1</v>
      </c>
      <c r="P110" s="106" t="s">
        <v>595</v>
      </c>
      <c r="Q110" s="106"/>
      <c r="R110" s="106"/>
      <c r="S110" s="106" t="s">
        <v>596</v>
      </c>
      <c r="T110" s="106"/>
      <c r="U110" s="108"/>
      <c r="V110" s="103">
        <v>45080.0</v>
      </c>
      <c r="W110" s="106" t="s">
        <v>4149</v>
      </c>
      <c r="X110" s="104"/>
      <c r="Y110" s="104"/>
      <c r="Z110" s="18">
        <v>7437500.0</v>
      </c>
      <c r="AA110" s="19">
        <f t="shared" si="1"/>
        <v>5</v>
      </c>
      <c r="AB110" s="19">
        <f t="shared" si="2"/>
        <v>6</v>
      </c>
      <c r="AC110" s="19"/>
    </row>
    <row r="111" ht="15.75" customHeight="1">
      <c r="A111" s="12">
        <v>45077.0</v>
      </c>
      <c r="B111" s="14" t="s">
        <v>60</v>
      </c>
      <c r="C111" s="14"/>
      <c r="D111" s="14" t="s">
        <v>597</v>
      </c>
      <c r="E111" s="14"/>
      <c r="F111" s="14"/>
      <c r="G111" s="14"/>
      <c r="H111" s="14"/>
      <c r="I111" s="15" t="s">
        <v>598</v>
      </c>
      <c r="J111" s="14"/>
      <c r="K111" s="14"/>
      <c r="L111" s="14" t="s">
        <v>599</v>
      </c>
      <c r="M111" s="14" t="s">
        <v>152</v>
      </c>
      <c r="N111" s="14" t="s">
        <v>216</v>
      </c>
      <c r="O111" s="14" t="b">
        <v>0</v>
      </c>
      <c r="P111" s="14" t="s">
        <v>289</v>
      </c>
      <c r="Q111" s="14"/>
      <c r="R111" s="14"/>
      <c r="S111" s="14" t="s">
        <v>600</v>
      </c>
      <c r="T111" s="14"/>
      <c r="U111" s="17"/>
      <c r="V111" s="14"/>
      <c r="W111" s="14"/>
      <c r="X111" s="18"/>
      <c r="Y111" s="18"/>
      <c r="Z111" s="18"/>
      <c r="AA111" s="19">
        <f t="shared" si="1"/>
        <v>5</v>
      </c>
      <c r="AB111" s="19" t="str">
        <f t="shared" si="2"/>
        <v/>
      </c>
      <c r="AC111" s="19"/>
    </row>
    <row r="112" ht="15.75" customHeight="1">
      <c r="A112" s="12">
        <v>45077.0</v>
      </c>
      <c r="B112" s="13" t="s">
        <v>28</v>
      </c>
      <c r="C112" s="14" t="s">
        <v>601</v>
      </c>
      <c r="D112" s="14"/>
      <c r="E112" s="14"/>
      <c r="F112" s="14"/>
      <c r="G112" s="14"/>
      <c r="H112" s="14"/>
      <c r="I112" s="15" t="s">
        <v>602</v>
      </c>
      <c r="J112" s="14"/>
      <c r="K112" s="14"/>
      <c r="L112" s="14" t="s">
        <v>603</v>
      </c>
      <c r="M112" s="14" t="s">
        <v>111</v>
      </c>
      <c r="N112" s="14" t="s">
        <v>34</v>
      </c>
      <c r="O112" s="14" t="b">
        <v>0</v>
      </c>
      <c r="P112" s="14"/>
      <c r="Q112" s="14"/>
      <c r="R112" s="14"/>
      <c r="S112" s="14" t="s">
        <v>604</v>
      </c>
      <c r="T112" s="14" t="s">
        <v>4069</v>
      </c>
      <c r="U112" s="17"/>
      <c r="V112" s="14"/>
      <c r="W112" s="14"/>
      <c r="X112" s="18"/>
      <c r="Y112" s="18"/>
      <c r="Z112" s="18"/>
      <c r="AA112" s="19">
        <f t="shared" si="1"/>
        <v>5</v>
      </c>
      <c r="AB112" s="19" t="str">
        <f t="shared" si="2"/>
        <v/>
      </c>
      <c r="AC112" s="19"/>
    </row>
    <row r="113" ht="15.75" customHeight="1">
      <c r="A113" s="12">
        <v>45077.0</v>
      </c>
      <c r="B113" s="14" t="s">
        <v>539</v>
      </c>
      <c r="C113" s="14"/>
      <c r="D113" s="250" t="s">
        <v>605</v>
      </c>
      <c r="E113" s="14"/>
      <c r="F113" s="14"/>
      <c r="G113" s="14" t="s">
        <v>297</v>
      </c>
      <c r="H113" s="14"/>
      <c r="I113" s="15" t="s">
        <v>606</v>
      </c>
      <c r="J113" s="14"/>
      <c r="K113" s="14"/>
      <c r="L113" s="14" t="s">
        <v>607</v>
      </c>
      <c r="M113" s="14" t="s">
        <v>48</v>
      </c>
      <c r="N113" s="14" t="s">
        <v>565</v>
      </c>
      <c r="O113" s="14" t="b">
        <v>0</v>
      </c>
      <c r="P113" s="14"/>
      <c r="Q113" s="14"/>
      <c r="R113" s="14"/>
      <c r="S113" s="14" t="s">
        <v>608</v>
      </c>
      <c r="T113" s="14"/>
      <c r="U113" s="17"/>
      <c r="V113" s="14"/>
      <c r="W113" s="14"/>
      <c r="X113" s="18"/>
      <c r="Y113" s="18"/>
      <c r="Z113" s="18"/>
      <c r="AA113" s="19">
        <f t="shared" si="1"/>
        <v>5</v>
      </c>
      <c r="AB113" s="19" t="str">
        <f t="shared" si="2"/>
        <v/>
      </c>
      <c r="AC113" s="19"/>
    </row>
    <row r="114" ht="15.75" customHeight="1">
      <c r="A114" s="12">
        <v>45078.0</v>
      </c>
      <c r="B114" s="24" t="s">
        <v>28</v>
      </c>
      <c r="C114" s="14"/>
      <c r="D114" s="14" t="s">
        <v>609</v>
      </c>
      <c r="E114" s="14"/>
      <c r="F114" s="14"/>
      <c r="G114" s="14" t="s">
        <v>219</v>
      </c>
      <c r="H114" s="14"/>
      <c r="I114" s="15" t="s">
        <v>610</v>
      </c>
      <c r="J114" s="14"/>
      <c r="K114" s="14"/>
      <c r="L114" s="14" t="s">
        <v>611</v>
      </c>
      <c r="M114" s="14" t="s">
        <v>48</v>
      </c>
      <c r="N114" s="14" t="s">
        <v>13</v>
      </c>
      <c r="O114" s="14" t="b">
        <v>1</v>
      </c>
      <c r="P114" s="14" t="s">
        <v>612</v>
      </c>
      <c r="Q114" s="14"/>
      <c r="R114" s="14"/>
      <c r="S114" s="14" t="s">
        <v>613</v>
      </c>
      <c r="T114" s="14"/>
      <c r="U114" s="17"/>
      <c r="V114" s="14"/>
      <c r="W114" s="14"/>
      <c r="X114" s="18"/>
      <c r="Y114" s="18"/>
      <c r="Z114" s="18"/>
      <c r="AA114" s="19">
        <f t="shared" si="1"/>
        <v>6</v>
      </c>
      <c r="AB114" s="19" t="str">
        <f t="shared" si="2"/>
        <v/>
      </c>
      <c r="AC114" s="19"/>
    </row>
    <row r="115" ht="15.75" customHeight="1">
      <c r="A115" s="26">
        <v>45078.0</v>
      </c>
      <c r="B115" s="27" t="s">
        <v>201</v>
      </c>
      <c r="C115" s="27" t="s">
        <v>614</v>
      </c>
      <c r="D115" s="27" t="s">
        <v>588</v>
      </c>
      <c r="E115" s="27"/>
      <c r="F115" s="27"/>
      <c r="G115" s="27" t="s">
        <v>155</v>
      </c>
      <c r="H115" s="27"/>
      <c r="I115" s="34" t="s">
        <v>615</v>
      </c>
      <c r="J115" s="27"/>
      <c r="K115" s="27"/>
      <c r="L115" s="27" t="s">
        <v>616</v>
      </c>
      <c r="M115" s="27" t="s">
        <v>66</v>
      </c>
      <c r="N115" s="27" t="s">
        <v>67</v>
      </c>
      <c r="O115" s="14" t="b">
        <v>1</v>
      </c>
      <c r="P115" s="27" t="s">
        <v>4150</v>
      </c>
      <c r="Q115" s="27"/>
      <c r="R115" s="27"/>
      <c r="S115" s="27" t="s">
        <v>4151</v>
      </c>
      <c r="T115" s="27"/>
      <c r="U115" s="26"/>
      <c r="V115" s="23">
        <v>45106.0</v>
      </c>
      <c r="W115" s="27" t="s">
        <v>59</v>
      </c>
      <c r="X115" s="25"/>
      <c r="Y115" s="25"/>
      <c r="Z115" s="25">
        <v>9897200.0</v>
      </c>
      <c r="AA115" s="19">
        <f t="shared" si="1"/>
        <v>6</v>
      </c>
      <c r="AB115" s="19">
        <f t="shared" si="2"/>
        <v>6</v>
      </c>
      <c r="AC115" s="19"/>
    </row>
    <row r="116" ht="15.75" customHeight="1">
      <c r="A116" s="246">
        <v>45070.0</v>
      </c>
      <c r="B116" s="243" t="s">
        <v>84</v>
      </c>
      <c r="C116" s="243" t="s">
        <v>369</v>
      </c>
      <c r="D116" s="243" t="s">
        <v>619</v>
      </c>
      <c r="E116" s="243"/>
      <c r="F116" s="243"/>
      <c r="G116" s="243" t="s">
        <v>297</v>
      </c>
      <c r="H116" s="243"/>
      <c r="I116" s="245" t="s">
        <v>372</v>
      </c>
      <c r="J116" s="243"/>
      <c r="K116" s="243"/>
      <c r="L116" s="243" t="s">
        <v>620</v>
      </c>
      <c r="M116" s="243" t="s">
        <v>89</v>
      </c>
      <c r="N116" s="243" t="s">
        <v>67</v>
      </c>
      <c r="O116" s="14" t="b">
        <v>1</v>
      </c>
      <c r="P116" s="243" t="s">
        <v>4152</v>
      </c>
      <c r="Q116" s="243"/>
      <c r="R116" s="243"/>
      <c r="S116" s="243" t="s">
        <v>623</v>
      </c>
      <c r="T116" s="243"/>
      <c r="U116" s="246"/>
      <c r="V116" s="268">
        <v>45090.0</v>
      </c>
      <c r="W116" s="243" t="s">
        <v>4153</v>
      </c>
      <c r="X116" s="248">
        <v>6124000.0</v>
      </c>
      <c r="Y116" s="248">
        <v>0.0</v>
      </c>
      <c r="Z116" s="259">
        <v>5205400.0</v>
      </c>
      <c r="AA116" s="19">
        <f t="shared" si="1"/>
        <v>5</v>
      </c>
      <c r="AB116" s="19">
        <f t="shared" si="2"/>
        <v>6</v>
      </c>
      <c r="AC116" s="19"/>
    </row>
    <row r="117" ht="15.75" customHeight="1">
      <c r="A117" s="12">
        <v>45078.0</v>
      </c>
      <c r="B117" s="14" t="s">
        <v>539</v>
      </c>
      <c r="C117" s="14"/>
      <c r="D117" s="14" t="s">
        <v>624</v>
      </c>
      <c r="E117" s="14"/>
      <c r="F117" s="14"/>
      <c r="G117" s="14" t="s">
        <v>625</v>
      </c>
      <c r="H117" s="14"/>
      <c r="I117" s="40" t="s">
        <v>626</v>
      </c>
      <c r="J117" s="14"/>
      <c r="K117" s="14"/>
      <c r="L117" s="14"/>
      <c r="M117" s="14" t="s">
        <v>412</v>
      </c>
      <c r="N117" s="14" t="s">
        <v>72</v>
      </c>
      <c r="O117" s="14" t="b">
        <v>1</v>
      </c>
      <c r="P117" s="14" t="s">
        <v>585</v>
      </c>
      <c r="Q117" s="14"/>
      <c r="R117" s="14"/>
      <c r="S117" s="14" t="s">
        <v>627</v>
      </c>
      <c r="T117" s="14" t="s">
        <v>4154</v>
      </c>
      <c r="U117" s="17">
        <v>45087.0</v>
      </c>
      <c r="V117" s="14"/>
      <c r="W117" s="14"/>
      <c r="X117" s="18"/>
      <c r="Y117" s="18"/>
      <c r="Z117" s="18"/>
      <c r="AA117" s="19">
        <f t="shared" si="1"/>
        <v>6</v>
      </c>
      <c r="AB117" s="19" t="str">
        <f t="shared" si="2"/>
        <v/>
      </c>
      <c r="AC117" s="19"/>
    </row>
    <row r="118" ht="15.75" customHeight="1">
      <c r="A118" s="12">
        <v>45078.0</v>
      </c>
      <c r="B118" s="14" t="s">
        <v>201</v>
      </c>
      <c r="C118" s="14" t="s">
        <v>628</v>
      </c>
      <c r="D118" s="14" t="s">
        <v>629</v>
      </c>
      <c r="E118" s="14"/>
      <c r="F118" s="14"/>
      <c r="G118" s="14"/>
      <c r="H118" s="14"/>
      <c r="I118" s="15" t="s">
        <v>630</v>
      </c>
      <c r="J118" s="14"/>
      <c r="K118" s="14"/>
      <c r="L118" s="14"/>
      <c r="M118" s="14" t="s">
        <v>66</v>
      </c>
      <c r="N118" s="14" t="s">
        <v>72</v>
      </c>
      <c r="O118" s="14" t="b">
        <v>1</v>
      </c>
      <c r="P118" s="14" t="s">
        <v>631</v>
      </c>
      <c r="Q118" s="14"/>
      <c r="R118" s="14"/>
      <c r="S118" s="14" t="s">
        <v>632</v>
      </c>
      <c r="T118" s="14" t="s">
        <v>4155</v>
      </c>
      <c r="U118" s="17">
        <v>45094.0</v>
      </c>
      <c r="V118" s="14"/>
      <c r="W118" s="14"/>
      <c r="X118" s="18"/>
      <c r="Y118" s="18"/>
      <c r="Z118" s="18"/>
      <c r="AA118" s="19">
        <f t="shared" si="1"/>
        <v>6</v>
      </c>
      <c r="AB118" s="19" t="str">
        <f t="shared" si="2"/>
        <v/>
      </c>
      <c r="AC118" s="19"/>
    </row>
    <row r="119" ht="15.75" customHeight="1">
      <c r="A119" s="246">
        <v>45078.0</v>
      </c>
      <c r="B119" s="243" t="s">
        <v>201</v>
      </c>
      <c r="C119" s="269" t="s">
        <v>633</v>
      </c>
      <c r="D119" s="243" t="s">
        <v>634</v>
      </c>
      <c r="E119" s="243"/>
      <c r="F119" s="243">
        <v>2014.0</v>
      </c>
      <c r="G119" s="243" t="s">
        <v>115</v>
      </c>
      <c r="H119" s="243"/>
      <c r="I119" s="245" t="s">
        <v>635</v>
      </c>
      <c r="J119" s="243"/>
      <c r="K119" s="243"/>
      <c r="L119" s="243"/>
      <c r="M119" s="243" t="s">
        <v>89</v>
      </c>
      <c r="N119" s="243" t="s">
        <v>67</v>
      </c>
      <c r="O119" s="14" t="b">
        <v>1</v>
      </c>
      <c r="P119" s="243" t="s">
        <v>636</v>
      </c>
      <c r="Q119" s="243" t="s">
        <v>91</v>
      </c>
      <c r="R119" s="243"/>
      <c r="S119" s="243" t="s">
        <v>637</v>
      </c>
      <c r="T119" s="243"/>
      <c r="U119" s="246"/>
      <c r="V119" s="270">
        <v>45103.0</v>
      </c>
      <c r="W119" s="243" t="s">
        <v>4156</v>
      </c>
      <c r="X119" s="248">
        <v>6124000.0</v>
      </c>
      <c r="Y119" s="248">
        <v>16.0</v>
      </c>
      <c r="Z119" s="248">
        <v>1.0254638E7</v>
      </c>
      <c r="AA119" s="19">
        <f t="shared" si="1"/>
        <v>6</v>
      </c>
      <c r="AB119" s="19">
        <f t="shared" si="2"/>
        <v>6</v>
      </c>
      <c r="AC119" s="19"/>
    </row>
    <row r="120" ht="15.75" customHeight="1">
      <c r="A120" s="246">
        <v>45078.0</v>
      </c>
      <c r="B120" s="243" t="s">
        <v>201</v>
      </c>
      <c r="C120" s="269" t="s">
        <v>633</v>
      </c>
      <c r="D120" s="27" t="s">
        <v>638</v>
      </c>
      <c r="E120" s="27"/>
      <c r="F120" s="27"/>
      <c r="G120" s="27"/>
      <c r="H120" s="27"/>
      <c r="I120" s="34"/>
      <c r="J120" s="27"/>
      <c r="K120" s="27"/>
      <c r="L120" s="27"/>
      <c r="M120" s="27" t="s">
        <v>89</v>
      </c>
      <c r="N120" s="27" t="s">
        <v>67</v>
      </c>
      <c r="O120" s="14" t="b">
        <v>0</v>
      </c>
      <c r="P120" s="27" t="s">
        <v>640</v>
      </c>
      <c r="Q120" s="27" t="s">
        <v>91</v>
      </c>
      <c r="R120" s="27"/>
      <c r="S120" s="27"/>
      <c r="T120" s="27"/>
      <c r="U120" s="26"/>
      <c r="V120" s="270">
        <v>45103.0</v>
      </c>
      <c r="W120" s="243" t="s">
        <v>4157</v>
      </c>
      <c r="X120" s="25">
        <v>6124000.0</v>
      </c>
      <c r="Y120" s="25"/>
      <c r="Z120" s="25"/>
      <c r="AA120" s="19">
        <f t="shared" si="1"/>
        <v>6</v>
      </c>
      <c r="AB120" s="19">
        <f t="shared" si="2"/>
        <v>6</v>
      </c>
      <c r="AC120" s="19"/>
    </row>
    <row r="121" ht="15.75" customHeight="1">
      <c r="A121" s="12">
        <v>45078.0</v>
      </c>
      <c r="B121" s="13" t="s">
        <v>28</v>
      </c>
      <c r="C121" s="14" t="s">
        <v>641</v>
      </c>
      <c r="D121" s="14"/>
      <c r="E121" s="14"/>
      <c r="F121" s="14"/>
      <c r="G121" s="14"/>
      <c r="H121" s="14"/>
      <c r="I121" s="15" t="s">
        <v>642</v>
      </c>
      <c r="J121" s="14"/>
      <c r="K121" s="14"/>
      <c r="L121" s="14"/>
      <c r="M121" s="14" t="s">
        <v>111</v>
      </c>
      <c r="N121" s="14" t="s">
        <v>34</v>
      </c>
      <c r="O121" s="14" t="b">
        <v>0</v>
      </c>
      <c r="P121" s="14"/>
      <c r="Q121" s="14"/>
      <c r="R121" s="14"/>
      <c r="S121" s="14" t="s">
        <v>643</v>
      </c>
      <c r="T121" s="14" t="s">
        <v>4069</v>
      </c>
      <c r="U121" s="17"/>
      <c r="V121" s="14"/>
      <c r="W121" s="14"/>
      <c r="X121" s="18"/>
      <c r="Y121" s="18"/>
      <c r="Z121" s="18"/>
      <c r="AA121" s="19">
        <f t="shared" si="1"/>
        <v>6</v>
      </c>
      <c r="AB121" s="19" t="str">
        <f t="shared" si="2"/>
        <v/>
      </c>
      <c r="AC121" s="19"/>
    </row>
    <row r="122" ht="15.75" customHeight="1">
      <c r="A122" s="12">
        <v>45078.0</v>
      </c>
      <c r="B122" s="13" t="s">
        <v>28</v>
      </c>
      <c r="C122" s="14" t="s">
        <v>644</v>
      </c>
      <c r="D122" s="14" t="s">
        <v>645</v>
      </c>
      <c r="E122" s="14"/>
      <c r="F122" s="14"/>
      <c r="G122" s="14" t="s">
        <v>646</v>
      </c>
      <c r="H122" s="14"/>
      <c r="I122" s="15" t="s">
        <v>647</v>
      </c>
      <c r="J122" s="14"/>
      <c r="K122" s="14"/>
      <c r="L122" s="14" t="s">
        <v>648</v>
      </c>
      <c r="M122" s="14" t="s">
        <v>111</v>
      </c>
      <c r="N122" s="14" t="s">
        <v>13</v>
      </c>
      <c r="O122" s="14" t="b">
        <v>1</v>
      </c>
      <c r="P122" s="14" t="s">
        <v>649</v>
      </c>
      <c r="Q122" s="14"/>
      <c r="R122" s="14"/>
      <c r="S122" s="14" t="s">
        <v>650</v>
      </c>
      <c r="T122" s="14" t="s">
        <v>4158</v>
      </c>
      <c r="U122" s="17">
        <v>45096.0</v>
      </c>
      <c r="V122" s="14"/>
      <c r="W122" s="14"/>
      <c r="X122" s="18"/>
      <c r="Y122" s="18"/>
      <c r="Z122" s="18"/>
      <c r="AA122" s="19">
        <f t="shared" si="1"/>
        <v>6</v>
      </c>
      <c r="AB122" s="19" t="str">
        <f t="shared" si="2"/>
        <v/>
      </c>
      <c r="AC122" s="19"/>
    </row>
    <row r="123" ht="15.75" customHeight="1">
      <c r="A123" s="12">
        <v>45078.0</v>
      </c>
      <c r="B123" s="14" t="s">
        <v>60</v>
      </c>
      <c r="C123" s="14" t="s">
        <v>651</v>
      </c>
      <c r="D123" s="14" t="s">
        <v>652</v>
      </c>
      <c r="E123" s="14"/>
      <c r="F123" s="14"/>
      <c r="G123" s="14" t="s">
        <v>542</v>
      </c>
      <c r="H123" s="14"/>
      <c r="I123" s="15" t="s">
        <v>653</v>
      </c>
      <c r="J123" s="14"/>
      <c r="K123" s="14"/>
      <c r="L123" s="14"/>
      <c r="M123" s="14" t="s">
        <v>111</v>
      </c>
      <c r="N123" s="14" t="s">
        <v>34</v>
      </c>
      <c r="O123" s="14" t="b">
        <v>1</v>
      </c>
      <c r="P123" s="14" t="s">
        <v>654</v>
      </c>
      <c r="Q123" s="14"/>
      <c r="R123" s="14"/>
      <c r="S123" s="14" t="s">
        <v>655</v>
      </c>
      <c r="T123" s="14" t="s">
        <v>4069</v>
      </c>
      <c r="U123" s="59"/>
      <c r="V123" s="14"/>
      <c r="W123" s="14"/>
      <c r="X123" s="18"/>
      <c r="Y123" s="18"/>
      <c r="Z123" s="18"/>
      <c r="AA123" s="19">
        <f t="shared" si="1"/>
        <v>6</v>
      </c>
      <c r="AB123" s="19" t="str">
        <f t="shared" si="2"/>
        <v/>
      </c>
      <c r="AC123" s="19"/>
    </row>
    <row r="124" ht="15.75" customHeight="1">
      <c r="A124" s="12">
        <v>45078.0</v>
      </c>
      <c r="B124" s="14" t="s">
        <v>201</v>
      </c>
      <c r="C124" s="14" t="s">
        <v>656</v>
      </c>
      <c r="D124" s="14" t="s">
        <v>4159</v>
      </c>
      <c r="E124" s="14"/>
      <c r="F124" s="14"/>
      <c r="G124" s="14" t="s">
        <v>4160</v>
      </c>
      <c r="H124" s="14"/>
      <c r="I124" s="15" t="s">
        <v>658</v>
      </c>
      <c r="J124" s="14"/>
      <c r="K124" s="14"/>
      <c r="L124" s="14"/>
      <c r="M124" s="14" t="s">
        <v>48</v>
      </c>
      <c r="N124" s="14" t="s">
        <v>34</v>
      </c>
      <c r="O124" s="14" t="b">
        <v>1</v>
      </c>
      <c r="P124" s="14" t="s">
        <v>659</v>
      </c>
      <c r="Q124" s="14"/>
      <c r="R124" s="14"/>
      <c r="S124" s="14" t="s">
        <v>660</v>
      </c>
      <c r="T124" s="14" t="s">
        <v>4127</v>
      </c>
      <c r="U124" s="17"/>
      <c r="V124" s="14"/>
      <c r="W124" s="14"/>
      <c r="X124" s="18"/>
      <c r="Y124" s="18"/>
      <c r="Z124" s="18"/>
      <c r="AA124" s="19">
        <f t="shared" si="1"/>
        <v>6</v>
      </c>
      <c r="AB124" s="19" t="str">
        <f t="shared" si="2"/>
        <v/>
      </c>
      <c r="AC124" s="19"/>
    </row>
    <row r="125" ht="15.75" customHeight="1">
      <c r="A125" s="12">
        <v>45079.0</v>
      </c>
      <c r="B125" s="14" t="s">
        <v>84</v>
      </c>
      <c r="C125" s="14" t="s">
        <v>661</v>
      </c>
      <c r="D125" s="14"/>
      <c r="E125" s="14"/>
      <c r="F125" s="14"/>
      <c r="G125" s="14" t="s">
        <v>115</v>
      </c>
      <c r="H125" s="14"/>
      <c r="I125" s="15" t="s">
        <v>662</v>
      </c>
      <c r="J125" s="14"/>
      <c r="K125" s="14"/>
      <c r="L125" s="14" t="s">
        <v>663</v>
      </c>
      <c r="M125" s="14" t="s">
        <v>48</v>
      </c>
      <c r="N125" s="14" t="s">
        <v>34</v>
      </c>
      <c r="O125" s="14" t="b">
        <v>0</v>
      </c>
      <c r="P125" s="14"/>
      <c r="Q125" s="14"/>
      <c r="R125" s="14"/>
      <c r="S125" s="14" t="s">
        <v>664</v>
      </c>
      <c r="T125" s="14" t="s">
        <v>36</v>
      </c>
      <c r="U125" s="17"/>
      <c r="V125" s="14"/>
      <c r="W125" s="14"/>
      <c r="X125" s="18"/>
      <c r="Y125" s="18"/>
      <c r="Z125" s="18"/>
      <c r="AA125" s="19">
        <f t="shared" si="1"/>
        <v>6</v>
      </c>
      <c r="AB125" s="19" t="str">
        <f t="shared" si="2"/>
        <v/>
      </c>
      <c r="AC125" s="19"/>
    </row>
    <row r="126" ht="15.75" customHeight="1">
      <c r="A126" s="12">
        <v>45079.0</v>
      </c>
      <c r="B126" s="14" t="s">
        <v>539</v>
      </c>
      <c r="C126" s="14" t="s">
        <v>665</v>
      </c>
      <c r="D126" s="14" t="s">
        <v>666</v>
      </c>
      <c r="E126" s="14"/>
      <c r="F126" s="14"/>
      <c r="G126" s="14" t="s">
        <v>234</v>
      </c>
      <c r="H126" s="14"/>
      <c r="I126" s="15" t="s">
        <v>667</v>
      </c>
      <c r="J126" s="14"/>
      <c r="K126" s="14"/>
      <c r="L126" s="14" t="s">
        <v>668</v>
      </c>
      <c r="M126" s="14" t="s">
        <v>111</v>
      </c>
      <c r="N126" s="14" t="s">
        <v>13</v>
      </c>
      <c r="O126" s="14" t="b">
        <v>1</v>
      </c>
      <c r="P126" s="14" t="s">
        <v>669</v>
      </c>
      <c r="Q126" s="14"/>
      <c r="R126" s="14"/>
      <c r="S126" s="14" t="s">
        <v>670</v>
      </c>
      <c r="T126" s="14" t="s">
        <v>4161</v>
      </c>
      <c r="U126" s="17">
        <v>45103.0</v>
      </c>
      <c r="V126" s="14"/>
      <c r="W126" s="14"/>
      <c r="X126" s="18"/>
      <c r="Y126" s="18"/>
      <c r="Z126" s="18"/>
      <c r="AA126" s="19">
        <f t="shared" si="1"/>
        <v>6</v>
      </c>
      <c r="AB126" s="19" t="str">
        <f t="shared" si="2"/>
        <v/>
      </c>
      <c r="AC126" s="19"/>
    </row>
    <row r="127" ht="15.75" customHeight="1">
      <c r="A127" s="12">
        <v>45079.0</v>
      </c>
      <c r="B127" s="14" t="s">
        <v>539</v>
      </c>
      <c r="C127" s="14" t="s">
        <v>671</v>
      </c>
      <c r="D127" s="14" t="s">
        <v>672</v>
      </c>
      <c r="E127" s="14"/>
      <c r="F127" s="14"/>
      <c r="G127" s="14" t="s">
        <v>234</v>
      </c>
      <c r="H127" s="14"/>
      <c r="I127" s="15" t="s">
        <v>673</v>
      </c>
      <c r="J127" s="14"/>
      <c r="K127" s="14"/>
      <c r="L127" s="14" t="s">
        <v>674</v>
      </c>
      <c r="M127" s="14" t="s">
        <v>111</v>
      </c>
      <c r="N127" s="14" t="s">
        <v>34</v>
      </c>
      <c r="O127" s="14" t="b">
        <v>0</v>
      </c>
      <c r="P127" s="14"/>
      <c r="Q127" s="14"/>
      <c r="R127" s="14"/>
      <c r="S127" s="14" t="s">
        <v>675</v>
      </c>
      <c r="T127" s="14" t="s">
        <v>36</v>
      </c>
      <c r="U127" s="17"/>
      <c r="V127" s="14"/>
      <c r="W127" s="14"/>
      <c r="X127" s="18"/>
      <c r="Y127" s="18"/>
      <c r="Z127" s="18"/>
      <c r="AA127" s="19">
        <f t="shared" si="1"/>
        <v>6</v>
      </c>
      <c r="AB127" s="19" t="str">
        <f t="shared" si="2"/>
        <v/>
      </c>
      <c r="AC127" s="19"/>
    </row>
    <row r="128" ht="15.75" customHeight="1">
      <c r="A128" s="12">
        <v>45079.0</v>
      </c>
      <c r="B128" s="14" t="s">
        <v>84</v>
      </c>
      <c r="C128" s="14" t="s">
        <v>676</v>
      </c>
      <c r="D128" s="14" t="s">
        <v>677</v>
      </c>
      <c r="E128" s="14"/>
      <c r="F128" s="14"/>
      <c r="G128" s="14" t="s">
        <v>115</v>
      </c>
      <c r="H128" s="14"/>
      <c r="I128" s="15" t="s">
        <v>678</v>
      </c>
      <c r="J128" s="14"/>
      <c r="K128" s="14"/>
      <c r="L128" s="14" t="s">
        <v>679</v>
      </c>
      <c r="M128" s="14" t="s">
        <v>48</v>
      </c>
      <c r="N128" s="14" t="s">
        <v>158</v>
      </c>
      <c r="O128" s="14" t="b">
        <v>1</v>
      </c>
      <c r="P128" s="14" t="s">
        <v>680</v>
      </c>
      <c r="Q128" s="14"/>
      <c r="R128" s="14"/>
      <c r="S128" s="14" t="s">
        <v>681</v>
      </c>
      <c r="T128" s="14" t="s">
        <v>4162</v>
      </c>
      <c r="U128" s="17"/>
      <c r="V128" s="14"/>
      <c r="W128" s="14"/>
      <c r="X128" s="18"/>
      <c r="Y128" s="18"/>
      <c r="Z128" s="18"/>
      <c r="AA128" s="19">
        <f t="shared" si="1"/>
        <v>6</v>
      </c>
      <c r="AB128" s="19" t="str">
        <f t="shared" si="2"/>
        <v/>
      </c>
      <c r="AC128" s="19"/>
    </row>
    <row r="129" ht="15.75" customHeight="1">
      <c r="A129" s="12">
        <v>45079.0</v>
      </c>
      <c r="B129" s="14" t="s">
        <v>539</v>
      </c>
      <c r="C129" s="14" t="s">
        <v>682</v>
      </c>
      <c r="D129" s="14" t="s">
        <v>683</v>
      </c>
      <c r="E129" s="14"/>
      <c r="F129" s="14"/>
      <c r="G129" s="14" t="s">
        <v>297</v>
      </c>
      <c r="H129" s="14"/>
      <c r="I129" s="15" t="s">
        <v>684</v>
      </c>
      <c r="J129" s="14"/>
      <c r="K129" s="14"/>
      <c r="L129" s="14"/>
      <c r="M129" s="14" t="s">
        <v>111</v>
      </c>
      <c r="N129" s="14" t="s">
        <v>34</v>
      </c>
      <c r="O129" s="14" t="b">
        <v>1</v>
      </c>
      <c r="P129" s="14" t="s">
        <v>685</v>
      </c>
      <c r="Q129" s="14"/>
      <c r="R129" s="14"/>
      <c r="S129" s="14" t="s">
        <v>686</v>
      </c>
      <c r="T129" s="14" t="s">
        <v>4069</v>
      </c>
      <c r="U129" s="17"/>
      <c r="V129" s="14"/>
      <c r="W129" s="14"/>
      <c r="X129" s="18"/>
      <c r="Y129" s="18"/>
      <c r="Z129" s="18"/>
      <c r="AA129" s="19">
        <f t="shared" si="1"/>
        <v>6</v>
      </c>
      <c r="AB129" s="19" t="str">
        <f t="shared" si="2"/>
        <v/>
      </c>
      <c r="AC129" s="19"/>
    </row>
    <row r="130" ht="15.75" customHeight="1">
      <c r="A130" s="12">
        <v>45079.0</v>
      </c>
      <c r="B130" s="13" t="s">
        <v>28</v>
      </c>
      <c r="C130" s="14" t="s">
        <v>687</v>
      </c>
      <c r="D130" s="14"/>
      <c r="E130" s="14"/>
      <c r="F130" s="14"/>
      <c r="G130" s="14"/>
      <c r="H130" s="14"/>
      <c r="I130" s="57" t="s">
        <v>688</v>
      </c>
      <c r="J130" s="14"/>
      <c r="K130" s="14"/>
      <c r="L130" s="14" t="s">
        <v>689</v>
      </c>
      <c r="M130" s="14" t="s">
        <v>111</v>
      </c>
      <c r="N130" s="14" t="s">
        <v>216</v>
      </c>
      <c r="O130" s="14" t="b">
        <v>0</v>
      </c>
      <c r="P130" s="14"/>
      <c r="Q130" s="14"/>
      <c r="R130" s="14"/>
      <c r="S130" s="14" t="s">
        <v>690</v>
      </c>
      <c r="T130" s="14"/>
      <c r="U130" s="17"/>
      <c r="V130" s="14"/>
      <c r="W130" s="14"/>
      <c r="X130" s="18"/>
      <c r="Y130" s="18"/>
      <c r="Z130" s="18"/>
      <c r="AA130" s="19">
        <f t="shared" si="1"/>
        <v>6</v>
      </c>
      <c r="AB130" s="19" t="str">
        <f t="shared" si="2"/>
        <v/>
      </c>
      <c r="AC130" s="19"/>
    </row>
    <row r="131" ht="15.75" customHeight="1">
      <c r="A131" s="12">
        <v>45080.0</v>
      </c>
      <c r="B131" s="13" t="s">
        <v>28</v>
      </c>
      <c r="C131" s="14" t="s">
        <v>691</v>
      </c>
      <c r="D131" s="14" t="s">
        <v>692</v>
      </c>
      <c r="E131" s="14"/>
      <c r="F131" s="14" t="s">
        <v>457</v>
      </c>
      <c r="G131" s="14">
        <v>2018.0</v>
      </c>
      <c r="H131" s="14"/>
      <c r="I131" s="15" t="s">
        <v>693</v>
      </c>
      <c r="J131" s="14"/>
      <c r="K131" s="14"/>
      <c r="L131" s="14" t="s">
        <v>4163</v>
      </c>
      <c r="M131" s="14" t="s">
        <v>48</v>
      </c>
      <c r="N131" s="14" t="s">
        <v>34</v>
      </c>
      <c r="O131" s="14" t="b">
        <v>0</v>
      </c>
      <c r="P131" s="14"/>
      <c r="Q131" s="14"/>
      <c r="R131" s="14"/>
      <c r="S131" s="14" t="s">
        <v>695</v>
      </c>
      <c r="T131" s="14" t="s">
        <v>4164</v>
      </c>
      <c r="U131" s="17"/>
      <c r="V131" s="14"/>
      <c r="W131" s="14"/>
      <c r="X131" s="18"/>
      <c r="Y131" s="18"/>
      <c r="Z131" s="18"/>
      <c r="AA131" s="19">
        <f t="shared" si="1"/>
        <v>6</v>
      </c>
      <c r="AB131" s="19" t="str">
        <f t="shared" si="2"/>
        <v/>
      </c>
      <c r="AC131" s="19"/>
    </row>
    <row r="132" ht="15.75" customHeight="1">
      <c r="A132" s="26">
        <v>45080.0</v>
      </c>
      <c r="B132" s="27" t="s">
        <v>60</v>
      </c>
      <c r="C132" s="27" t="s">
        <v>697</v>
      </c>
      <c r="D132" s="27" t="s">
        <v>698</v>
      </c>
      <c r="E132" s="27"/>
      <c r="F132" s="27" t="s">
        <v>437</v>
      </c>
      <c r="G132" s="27"/>
      <c r="H132" s="27"/>
      <c r="I132" s="34" t="s">
        <v>699</v>
      </c>
      <c r="J132" s="27"/>
      <c r="K132" s="27"/>
      <c r="L132" s="27" t="s">
        <v>700</v>
      </c>
      <c r="M132" s="27" t="s">
        <v>66</v>
      </c>
      <c r="N132" s="27" t="s">
        <v>67</v>
      </c>
      <c r="O132" s="14" t="b">
        <v>1</v>
      </c>
      <c r="P132" s="27" t="s">
        <v>701</v>
      </c>
      <c r="Q132" s="27" t="s">
        <v>238</v>
      </c>
      <c r="R132" s="27" t="s">
        <v>70</v>
      </c>
      <c r="S132" s="27" t="s">
        <v>702</v>
      </c>
      <c r="T132" s="27"/>
      <c r="U132" s="26"/>
      <c r="V132" s="23">
        <v>45083.0</v>
      </c>
      <c r="W132" s="27" t="s">
        <v>4165</v>
      </c>
      <c r="X132" s="25">
        <v>2558000.0</v>
      </c>
      <c r="Y132" s="25">
        <v>255800.0</v>
      </c>
      <c r="Z132" s="25">
        <v>2302200.0</v>
      </c>
      <c r="AA132" s="19">
        <f t="shared" si="1"/>
        <v>6</v>
      </c>
      <c r="AB132" s="19">
        <f t="shared" si="2"/>
        <v>6</v>
      </c>
      <c r="AC132" s="19"/>
    </row>
    <row r="133" ht="15.75" customHeight="1">
      <c r="A133" s="26">
        <v>45080.0</v>
      </c>
      <c r="B133" s="27" t="s">
        <v>703</v>
      </c>
      <c r="C133" s="27" t="s">
        <v>704</v>
      </c>
      <c r="D133" s="27" t="s">
        <v>705</v>
      </c>
      <c r="E133" s="27"/>
      <c r="F133" s="32">
        <v>40761.0</v>
      </c>
      <c r="G133" s="27"/>
      <c r="H133" s="27"/>
      <c r="I133" s="34" t="s">
        <v>706</v>
      </c>
      <c r="J133" s="27"/>
      <c r="K133" s="27"/>
      <c r="L133" s="27" t="s">
        <v>4166</v>
      </c>
      <c r="M133" s="27" t="s">
        <v>412</v>
      </c>
      <c r="N133" s="27" t="s">
        <v>67</v>
      </c>
      <c r="O133" s="14" t="b">
        <v>1</v>
      </c>
      <c r="P133" s="27" t="s">
        <v>708</v>
      </c>
      <c r="Q133" s="27" t="s">
        <v>238</v>
      </c>
      <c r="R133" s="27"/>
      <c r="S133" s="27" t="s">
        <v>709</v>
      </c>
      <c r="T133" s="27"/>
      <c r="U133" s="26"/>
      <c r="V133" s="32">
        <v>45096.0</v>
      </c>
      <c r="W133" s="27" t="s">
        <v>4167</v>
      </c>
      <c r="X133" s="25">
        <v>5116000.0</v>
      </c>
      <c r="Y133" s="25">
        <f>X133-Z133</f>
        <v>767400</v>
      </c>
      <c r="Z133" s="25">
        <v>4348600.0</v>
      </c>
      <c r="AA133" s="19">
        <f t="shared" si="1"/>
        <v>6</v>
      </c>
      <c r="AB133" s="19">
        <f t="shared" si="2"/>
        <v>6</v>
      </c>
      <c r="AC133" s="19"/>
    </row>
    <row r="134" ht="15.75" customHeight="1">
      <c r="A134" s="12">
        <v>45081.0</v>
      </c>
      <c r="B134" s="13" t="s">
        <v>28</v>
      </c>
      <c r="C134" s="14" t="s">
        <v>710</v>
      </c>
      <c r="D134" s="14" t="s">
        <v>711</v>
      </c>
      <c r="E134" s="14"/>
      <c r="F134" s="13">
        <v>2018.0</v>
      </c>
      <c r="G134" s="14"/>
      <c r="H134" s="14"/>
      <c r="I134" s="111" t="s">
        <v>712</v>
      </c>
      <c r="J134" s="14"/>
      <c r="K134" s="14"/>
      <c r="L134" s="14" t="s">
        <v>713</v>
      </c>
      <c r="M134" s="14" t="s">
        <v>48</v>
      </c>
      <c r="N134" s="14" t="s">
        <v>216</v>
      </c>
      <c r="O134" s="14" t="b">
        <v>0</v>
      </c>
      <c r="P134" s="14"/>
      <c r="Q134" s="14"/>
      <c r="R134" s="14"/>
      <c r="S134" s="14" t="s">
        <v>714</v>
      </c>
      <c r="T134" s="14"/>
      <c r="U134" s="17">
        <v>45174.0</v>
      </c>
      <c r="V134" s="14"/>
      <c r="W134" s="14"/>
      <c r="X134" s="18"/>
      <c r="Y134" s="18"/>
      <c r="Z134" s="18"/>
      <c r="AA134" s="19">
        <f t="shared" si="1"/>
        <v>6</v>
      </c>
      <c r="AB134" s="19" t="str">
        <f t="shared" si="2"/>
        <v/>
      </c>
      <c r="AC134" s="19"/>
    </row>
    <row r="135" ht="15.75" customHeight="1">
      <c r="A135" s="12">
        <v>45081.0</v>
      </c>
      <c r="B135" s="24" t="s">
        <v>28</v>
      </c>
      <c r="C135" s="14"/>
      <c r="D135" s="14" t="s">
        <v>715</v>
      </c>
      <c r="E135" s="14"/>
      <c r="F135" s="14"/>
      <c r="G135" s="14"/>
      <c r="H135" s="14"/>
      <c r="I135" s="15" t="s">
        <v>716</v>
      </c>
      <c r="J135" s="14"/>
      <c r="K135" s="14"/>
      <c r="L135" s="112" t="s">
        <v>717</v>
      </c>
      <c r="M135" s="14" t="s">
        <v>48</v>
      </c>
      <c r="N135" s="14" t="s">
        <v>34</v>
      </c>
      <c r="O135" s="14" t="b">
        <v>0</v>
      </c>
      <c r="P135" s="14"/>
      <c r="Q135" s="14"/>
      <c r="R135" s="14"/>
      <c r="S135" s="14" t="s">
        <v>718</v>
      </c>
      <c r="T135" s="14" t="s">
        <v>36</v>
      </c>
      <c r="U135" s="17"/>
      <c r="V135" s="14"/>
      <c r="W135" s="14"/>
      <c r="X135" s="18"/>
      <c r="Y135" s="18"/>
      <c r="Z135" s="18"/>
      <c r="AA135" s="19">
        <f t="shared" si="1"/>
        <v>6</v>
      </c>
      <c r="AB135" s="19" t="str">
        <f t="shared" si="2"/>
        <v/>
      </c>
      <c r="AC135" s="19"/>
    </row>
    <row r="136" ht="15.75" customHeight="1">
      <c r="A136" s="246">
        <v>45081.0</v>
      </c>
      <c r="B136" s="243" t="s">
        <v>201</v>
      </c>
      <c r="C136" s="243" t="s">
        <v>719</v>
      </c>
      <c r="D136" s="243" t="s">
        <v>720</v>
      </c>
      <c r="E136" s="243"/>
      <c r="F136" s="243">
        <v>2011.0</v>
      </c>
      <c r="G136" s="243">
        <v>7.0</v>
      </c>
      <c r="H136" s="243"/>
      <c r="I136" s="245" t="s">
        <v>721</v>
      </c>
      <c r="J136" s="243"/>
      <c r="K136" s="243"/>
      <c r="L136" s="243"/>
      <c r="M136" s="243" t="s">
        <v>89</v>
      </c>
      <c r="N136" s="243" t="s">
        <v>67</v>
      </c>
      <c r="O136" s="14" t="b">
        <v>1</v>
      </c>
      <c r="P136" s="243" t="s">
        <v>722</v>
      </c>
      <c r="Q136" s="243"/>
      <c r="R136" s="243"/>
      <c r="S136" s="243" t="s">
        <v>723</v>
      </c>
      <c r="T136" s="243"/>
      <c r="U136" s="246"/>
      <c r="V136" s="268">
        <v>45085.0</v>
      </c>
      <c r="W136" s="243" t="s">
        <v>4153</v>
      </c>
      <c r="X136" s="248">
        <v>6124000.0</v>
      </c>
      <c r="Y136" s="248">
        <v>0.0</v>
      </c>
      <c r="Z136" s="259">
        <v>5205400.0</v>
      </c>
      <c r="AA136" s="19">
        <f t="shared" si="1"/>
        <v>6</v>
      </c>
      <c r="AB136" s="19">
        <f t="shared" si="2"/>
        <v>6</v>
      </c>
      <c r="AC136" s="19"/>
    </row>
    <row r="137" ht="15.75" customHeight="1">
      <c r="A137" s="12">
        <v>45082.0</v>
      </c>
      <c r="B137" s="13" t="s">
        <v>28</v>
      </c>
      <c r="C137" s="14" t="s">
        <v>724</v>
      </c>
      <c r="D137" s="14"/>
      <c r="E137" s="14"/>
      <c r="F137" s="14"/>
      <c r="G137" s="14"/>
      <c r="H137" s="14"/>
      <c r="I137" s="15" t="s">
        <v>725</v>
      </c>
      <c r="J137" s="14"/>
      <c r="K137" s="14"/>
      <c r="L137" s="14"/>
      <c r="M137" s="14" t="s">
        <v>111</v>
      </c>
      <c r="N137" s="14" t="s">
        <v>34</v>
      </c>
      <c r="O137" s="14" t="b">
        <v>0</v>
      </c>
      <c r="P137" s="14"/>
      <c r="Q137" s="14"/>
      <c r="R137" s="14"/>
      <c r="S137" s="14" t="s">
        <v>726</v>
      </c>
      <c r="T137" s="14" t="s">
        <v>4069</v>
      </c>
      <c r="U137" s="17"/>
      <c r="V137" s="14"/>
      <c r="W137" s="14"/>
      <c r="X137" s="18"/>
      <c r="Y137" s="18"/>
      <c r="Z137" s="18"/>
      <c r="AA137" s="19">
        <f t="shared" si="1"/>
        <v>6</v>
      </c>
      <c r="AB137" s="19" t="str">
        <f t="shared" si="2"/>
        <v/>
      </c>
      <c r="AC137" s="19"/>
    </row>
    <row r="138" ht="15.75" customHeight="1">
      <c r="A138" s="12">
        <v>45082.0</v>
      </c>
      <c r="B138" s="13" t="s">
        <v>28</v>
      </c>
      <c r="C138" s="14" t="s">
        <v>727</v>
      </c>
      <c r="D138" s="14" t="s">
        <v>4168</v>
      </c>
      <c r="E138" s="14"/>
      <c r="F138" s="14" t="s">
        <v>4169</v>
      </c>
      <c r="G138" s="14"/>
      <c r="H138" s="14"/>
      <c r="I138" s="60" t="s">
        <v>729</v>
      </c>
      <c r="J138" s="14"/>
      <c r="K138" s="14"/>
      <c r="L138" s="14" t="s">
        <v>4170</v>
      </c>
      <c r="M138" s="14" t="s">
        <v>412</v>
      </c>
      <c r="N138" s="14" t="s">
        <v>34</v>
      </c>
      <c r="O138" s="14" t="b">
        <v>1</v>
      </c>
      <c r="P138" s="14" t="s">
        <v>731</v>
      </c>
      <c r="Q138" s="14"/>
      <c r="R138" s="14"/>
      <c r="S138" s="14" t="s">
        <v>732</v>
      </c>
      <c r="T138" s="14" t="s">
        <v>36</v>
      </c>
      <c r="U138" s="17"/>
      <c r="V138" s="14"/>
      <c r="W138" s="14"/>
      <c r="X138" s="18"/>
      <c r="Y138" s="18"/>
      <c r="Z138" s="18"/>
      <c r="AA138" s="19">
        <f t="shared" si="1"/>
        <v>6</v>
      </c>
      <c r="AB138" s="19" t="str">
        <f t="shared" si="2"/>
        <v/>
      </c>
      <c r="AC138" s="19"/>
    </row>
    <row r="139" ht="15.75" customHeight="1">
      <c r="A139" s="12">
        <v>45083.0</v>
      </c>
      <c r="B139" s="13" t="s">
        <v>28</v>
      </c>
      <c r="C139" s="14" t="s">
        <v>733</v>
      </c>
      <c r="D139" s="14" t="s">
        <v>734</v>
      </c>
      <c r="E139" s="14"/>
      <c r="F139" s="14"/>
      <c r="G139" s="14" t="s">
        <v>349</v>
      </c>
      <c r="H139" s="14"/>
      <c r="I139" s="101" t="s">
        <v>735</v>
      </c>
      <c r="J139" s="14"/>
      <c r="K139" s="14"/>
      <c r="L139" s="14" t="s">
        <v>736</v>
      </c>
      <c r="M139" s="14" t="s">
        <v>111</v>
      </c>
      <c r="N139" s="14" t="s">
        <v>13</v>
      </c>
      <c r="O139" s="14" t="b">
        <v>1</v>
      </c>
      <c r="P139" s="14" t="s">
        <v>680</v>
      </c>
      <c r="Q139" s="14"/>
      <c r="R139" s="14"/>
      <c r="S139" s="14" t="s">
        <v>4171</v>
      </c>
      <c r="T139" s="14" t="s">
        <v>4172</v>
      </c>
      <c r="U139" s="17">
        <v>45103.0</v>
      </c>
      <c r="V139" s="14"/>
      <c r="W139" s="14"/>
      <c r="X139" s="18"/>
      <c r="Y139" s="18"/>
      <c r="Z139" s="18"/>
      <c r="AA139" s="19">
        <f t="shared" si="1"/>
        <v>6</v>
      </c>
      <c r="AB139" s="19" t="str">
        <f t="shared" si="2"/>
        <v/>
      </c>
      <c r="AC139" s="19"/>
    </row>
    <row r="140" ht="15.75" customHeight="1">
      <c r="A140" s="12">
        <v>45083.0</v>
      </c>
      <c r="B140" s="13" t="s">
        <v>28</v>
      </c>
      <c r="C140" s="14" t="s">
        <v>738</v>
      </c>
      <c r="D140" s="14" t="s">
        <v>739</v>
      </c>
      <c r="E140" s="14"/>
      <c r="F140" s="14" t="s">
        <v>542</v>
      </c>
      <c r="G140" s="14"/>
      <c r="H140" s="14"/>
      <c r="I140" s="15" t="s">
        <v>740</v>
      </c>
      <c r="J140" s="14"/>
      <c r="K140" s="14"/>
      <c r="L140" s="14"/>
      <c r="M140" s="14" t="s">
        <v>111</v>
      </c>
      <c r="N140" s="14" t="s">
        <v>158</v>
      </c>
      <c r="O140" s="14" t="b">
        <v>0</v>
      </c>
      <c r="P140" s="14"/>
      <c r="Q140" s="14"/>
      <c r="R140" s="14"/>
      <c r="S140" s="14" t="s">
        <v>741</v>
      </c>
      <c r="T140" s="14" t="s">
        <v>4173</v>
      </c>
      <c r="U140" s="17">
        <v>45103.0</v>
      </c>
      <c r="V140" s="14"/>
      <c r="W140" s="14"/>
      <c r="X140" s="18"/>
      <c r="Y140" s="18"/>
      <c r="Z140" s="18"/>
      <c r="AA140" s="19">
        <f t="shared" si="1"/>
        <v>6</v>
      </c>
      <c r="AB140" s="19" t="str">
        <f t="shared" si="2"/>
        <v/>
      </c>
      <c r="AC140" s="19"/>
    </row>
    <row r="141" ht="15.75" customHeight="1">
      <c r="A141" s="12">
        <v>45083.0</v>
      </c>
      <c r="B141" s="13" t="s">
        <v>28</v>
      </c>
      <c r="C141" s="14" t="s">
        <v>742</v>
      </c>
      <c r="D141" s="14"/>
      <c r="E141" s="14"/>
      <c r="F141" s="14" t="s">
        <v>457</v>
      </c>
      <c r="G141" s="14"/>
      <c r="H141" s="14"/>
      <c r="I141" s="15" t="s">
        <v>743</v>
      </c>
      <c r="J141" s="14"/>
      <c r="K141" s="14"/>
      <c r="L141" s="14" t="s">
        <v>744</v>
      </c>
      <c r="M141" s="14" t="s">
        <v>111</v>
      </c>
      <c r="N141" s="14" t="s">
        <v>34</v>
      </c>
      <c r="O141" s="14" t="b">
        <v>0</v>
      </c>
      <c r="P141" s="14"/>
      <c r="Q141" s="14"/>
      <c r="R141" s="14"/>
      <c r="S141" s="14" t="s">
        <v>745</v>
      </c>
      <c r="T141" s="14" t="s">
        <v>4069</v>
      </c>
      <c r="U141" s="17"/>
      <c r="V141" s="14"/>
      <c r="W141" s="14"/>
      <c r="X141" s="18"/>
      <c r="Y141" s="18"/>
      <c r="Z141" s="18"/>
      <c r="AA141" s="19">
        <f t="shared" si="1"/>
        <v>6</v>
      </c>
      <c r="AB141" s="19" t="str">
        <f t="shared" si="2"/>
        <v/>
      </c>
      <c r="AC141" s="19"/>
    </row>
    <row r="142" ht="15.75" customHeight="1">
      <c r="A142" s="12">
        <v>45083.0</v>
      </c>
      <c r="B142" s="13" t="s">
        <v>28</v>
      </c>
      <c r="C142" s="271" t="s">
        <v>746</v>
      </c>
      <c r="D142" s="14" t="s">
        <v>747</v>
      </c>
      <c r="E142" s="14"/>
      <c r="F142" s="14" t="s">
        <v>457</v>
      </c>
      <c r="G142" s="14">
        <v>2019.0</v>
      </c>
      <c r="H142" s="14"/>
      <c r="I142" s="15" t="s">
        <v>748</v>
      </c>
      <c r="J142" s="14"/>
      <c r="K142" s="14"/>
      <c r="L142" s="14" t="s">
        <v>351</v>
      </c>
      <c r="M142" s="14" t="s">
        <v>111</v>
      </c>
      <c r="N142" s="14" t="s">
        <v>34</v>
      </c>
      <c r="O142" s="14" t="b">
        <v>0</v>
      </c>
      <c r="P142" s="14"/>
      <c r="Q142" s="14"/>
      <c r="R142" s="14"/>
      <c r="S142" s="14" t="s">
        <v>749</v>
      </c>
      <c r="T142" s="14" t="s">
        <v>4069</v>
      </c>
      <c r="U142" s="17"/>
      <c r="V142" s="14"/>
      <c r="W142" s="14"/>
      <c r="X142" s="18"/>
      <c r="Y142" s="18"/>
      <c r="Z142" s="18"/>
      <c r="AA142" s="19">
        <f t="shared" si="1"/>
        <v>6</v>
      </c>
      <c r="AB142" s="19" t="str">
        <f t="shared" si="2"/>
        <v/>
      </c>
      <c r="AC142" s="19"/>
    </row>
    <row r="143" ht="15.75" customHeight="1">
      <c r="A143" s="12">
        <v>45083.0</v>
      </c>
      <c r="B143" s="13" t="s">
        <v>28</v>
      </c>
      <c r="C143" s="14" t="s">
        <v>750</v>
      </c>
      <c r="D143" s="14" t="s">
        <v>751</v>
      </c>
      <c r="E143" s="14"/>
      <c r="F143" s="14" t="s">
        <v>457</v>
      </c>
      <c r="G143" s="14"/>
      <c r="H143" s="14"/>
      <c r="I143" s="15" t="s">
        <v>752</v>
      </c>
      <c r="J143" s="14"/>
      <c r="K143" s="14"/>
      <c r="L143" s="14" t="s">
        <v>4174</v>
      </c>
      <c r="M143" s="14" t="s">
        <v>48</v>
      </c>
      <c r="N143" s="14" t="s">
        <v>13</v>
      </c>
      <c r="O143" s="14" t="b">
        <v>1</v>
      </c>
      <c r="P143" s="14" t="s">
        <v>4175</v>
      </c>
      <c r="Q143" s="14"/>
      <c r="R143" s="14"/>
      <c r="S143" s="14"/>
      <c r="T143" s="14" t="s">
        <v>36</v>
      </c>
      <c r="U143" s="17"/>
      <c r="V143" s="14"/>
      <c r="W143" s="14"/>
      <c r="X143" s="18"/>
      <c r="Y143" s="18"/>
      <c r="Z143" s="18"/>
      <c r="AA143" s="19">
        <f t="shared" si="1"/>
        <v>6</v>
      </c>
      <c r="AB143" s="19" t="str">
        <f t="shared" si="2"/>
        <v/>
      </c>
      <c r="AC143" s="19"/>
    </row>
    <row r="144" ht="15.75" customHeight="1">
      <c r="A144" s="12">
        <v>45083.0</v>
      </c>
      <c r="B144" s="13" t="s">
        <v>28</v>
      </c>
      <c r="C144" s="14" t="s">
        <v>755</v>
      </c>
      <c r="D144" s="62" t="s">
        <v>756</v>
      </c>
      <c r="E144" s="14"/>
      <c r="F144" s="14" t="s">
        <v>419</v>
      </c>
      <c r="G144" s="14">
        <v>1.0</v>
      </c>
      <c r="H144" s="14"/>
      <c r="I144" s="15" t="s">
        <v>757</v>
      </c>
      <c r="J144" s="14"/>
      <c r="K144" s="14"/>
      <c r="L144" s="139" t="s">
        <v>4176</v>
      </c>
      <c r="M144" s="14" t="s">
        <v>111</v>
      </c>
      <c r="N144" s="14" t="s">
        <v>158</v>
      </c>
      <c r="O144" s="14" t="b">
        <v>0</v>
      </c>
      <c r="P144" s="14"/>
      <c r="Q144" s="14"/>
      <c r="R144" s="14"/>
      <c r="S144" s="14" t="s">
        <v>759</v>
      </c>
      <c r="T144" s="14" t="s">
        <v>4096</v>
      </c>
      <c r="U144" s="61" t="s">
        <v>760</v>
      </c>
      <c r="V144" s="14"/>
      <c r="W144" s="14"/>
      <c r="X144" s="18"/>
      <c r="Y144" s="18"/>
      <c r="Z144" s="18"/>
      <c r="AA144" s="19">
        <f t="shared" si="1"/>
        <v>6</v>
      </c>
      <c r="AB144" s="19" t="str">
        <f t="shared" si="2"/>
        <v/>
      </c>
      <c r="AC144" s="19"/>
    </row>
    <row r="145" ht="15.75" customHeight="1">
      <c r="A145" s="114">
        <v>45084.0</v>
      </c>
      <c r="B145" s="13" t="s">
        <v>28</v>
      </c>
      <c r="C145" s="115" t="s">
        <v>761</v>
      </c>
      <c r="D145" s="115"/>
      <c r="E145" s="115"/>
      <c r="F145" s="115"/>
      <c r="G145" s="115"/>
      <c r="H145" s="115"/>
      <c r="I145" s="116" t="s">
        <v>762</v>
      </c>
      <c r="J145" s="115"/>
      <c r="K145" s="115"/>
      <c r="L145" s="115" t="s">
        <v>763</v>
      </c>
      <c r="M145" s="115" t="s">
        <v>111</v>
      </c>
      <c r="N145" s="14" t="s">
        <v>216</v>
      </c>
      <c r="O145" s="14" t="b">
        <v>0</v>
      </c>
      <c r="P145" s="14"/>
      <c r="Q145" s="14"/>
      <c r="R145" s="14"/>
      <c r="S145" s="14" t="s">
        <v>764</v>
      </c>
      <c r="T145" s="14" t="s">
        <v>4069</v>
      </c>
      <c r="U145" s="17"/>
      <c r="V145" s="14"/>
      <c r="W145" s="14"/>
      <c r="X145" s="18"/>
      <c r="Y145" s="18"/>
      <c r="Z145" s="18"/>
      <c r="AA145" s="19">
        <f t="shared" si="1"/>
        <v>6</v>
      </c>
      <c r="AB145" s="19" t="str">
        <f t="shared" si="2"/>
        <v/>
      </c>
      <c r="AC145" s="19"/>
    </row>
    <row r="146" ht="15.75" customHeight="1">
      <c r="A146" s="114">
        <v>45084.0</v>
      </c>
      <c r="B146" s="13" t="s">
        <v>28</v>
      </c>
      <c r="C146" s="115" t="s">
        <v>765</v>
      </c>
      <c r="D146" s="115"/>
      <c r="E146" s="115"/>
      <c r="F146" s="115"/>
      <c r="G146" s="115"/>
      <c r="H146" s="115"/>
      <c r="I146" s="116" t="s">
        <v>766</v>
      </c>
      <c r="J146" s="115"/>
      <c r="K146" s="115"/>
      <c r="L146" s="115" t="s">
        <v>767</v>
      </c>
      <c r="M146" s="115" t="s">
        <v>111</v>
      </c>
      <c r="N146" s="14" t="s">
        <v>216</v>
      </c>
      <c r="O146" s="14" t="b">
        <v>0</v>
      </c>
      <c r="P146" s="14"/>
      <c r="Q146" s="14"/>
      <c r="R146" s="14"/>
      <c r="S146" s="14" t="s">
        <v>768</v>
      </c>
      <c r="T146" s="14" t="s">
        <v>4096</v>
      </c>
      <c r="U146" s="17">
        <v>45093.0</v>
      </c>
      <c r="V146" s="14"/>
      <c r="W146" s="14"/>
      <c r="X146" s="18"/>
      <c r="Y146" s="18"/>
      <c r="Z146" s="18"/>
      <c r="AA146" s="19">
        <f t="shared" si="1"/>
        <v>6</v>
      </c>
      <c r="AB146" s="19" t="str">
        <f t="shared" si="2"/>
        <v/>
      </c>
      <c r="AC146" s="19"/>
    </row>
    <row r="147" ht="15.75" customHeight="1">
      <c r="A147" s="114">
        <v>45085.0</v>
      </c>
      <c r="B147" s="13" t="s">
        <v>28</v>
      </c>
      <c r="C147" s="115" t="s">
        <v>769</v>
      </c>
      <c r="D147" s="115"/>
      <c r="E147" s="115"/>
      <c r="F147" s="115" t="s">
        <v>419</v>
      </c>
      <c r="G147" s="115"/>
      <c r="H147" s="115"/>
      <c r="I147" s="116" t="s">
        <v>770</v>
      </c>
      <c r="J147" s="115"/>
      <c r="K147" s="115"/>
      <c r="L147" s="115"/>
      <c r="M147" s="115" t="s">
        <v>111</v>
      </c>
      <c r="N147" s="14" t="s">
        <v>34</v>
      </c>
      <c r="O147" s="14" t="b">
        <v>0</v>
      </c>
      <c r="P147" s="14"/>
      <c r="Q147" s="14"/>
      <c r="R147" s="14"/>
      <c r="S147" s="14" t="s">
        <v>771</v>
      </c>
      <c r="T147" s="14" t="s">
        <v>4069</v>
      </c>
      <c r="U147" s="17"/>
      <c r="V147" s="14"/>
      <c r="W147" s="14"/>
      <c r="X147" s="18"/>
      <c r="Y147" s="18"/>
      <c r="Z147" s="18"/>
      <c r="AA147" s="19">
        <f t="shared" si="1"/>
        <v>6</v>
      </c>
      <c r="AB147" s="19" t="str">
        <f t="shared" si="2"/>
        <v/>
      </c>
      <c r="AC147" s="19"/>
    </row>
    <row r="148" ht="15.75" customHeight="1">
      <c r="A148" s="114">
        <v>45085.0</v>
      </c>
      <c r="B148" s="13" t="s">
        <v>28</v>
      </c>
      <c r="C148" s="115" t="s">
        <v>772</v>
      </c>
      <c r="D148" s="115"/>
      <c r="E148" s="115"/>
      <c r="F148" s="115" t="s">
        <v>425</v>
      </c>
      <c r="G148" s="115"/>
      <c r="H148" s="115"/>
      <c r="I148" s="116" t="s">
        <v>4177</v>
      </c>
      <c r="J148" s="115"/>
      <c r="K148" s="115"/>
      <c r="L148" s="115" t="s">
        <v>774</v>
      </c>
      <c r="M148" s="115" t="s">
        <v>111</v>
      </c>
      <c r="N148" s="14" t="s">
        <v>34</v>
      </c>
      <c r="O148" s="14" t="b">
        <v>0</v>
      </c>
      <c r="P148" s="14"/>
      <c r="Q148" s="14"/>
      <c r="R148" s="14"/>
      <c r="S148" s="14" t="s">
        <v>775</v>
      </c>
      <c r="T148" s="14" t="s">
        <v>4069</v>
      </c>
      <c r="U148" s="17"/>
      <c r="V148" s="14"/>
      <c r="W148" s="14"/>
      <c r="X148" s="18"/>
      <c r="Y148" s="18"/>
      <c r="Z148" s="18"/>
      <c r="AA148" s="19">
        <f t="shared" si="1"/>
        <v>6</v>
      </c>
      <c r="AB148" s="19" t="str">
        <f t="shared" si="2"/>
        <v/>
      </c>
      <c r="AC148" s="19"/>
    </row>
    <row r="149" ht="15.75" customHeight="1">
      <c r="A149" s="12">
        <v>45085.0</v>
      </c>
      <c r="B149" s="13" t="s">
        <v>28</v>
      </c>
      <c r="C149" s="14" t="s">
        <v>776</v>
      </c>
      <c r="D149" s="14" t="s">
        <v>292</v>
      </c>
      <c r="E149" s="14"/>
      <c r="F149" s="14" t="s">
        <v>4178</v>
      </c>
      <c r="G149" s="14"/>
      <c r="H149" s="14"/>
      <c r="I149" s="15" t="s">
        <v>777</v>
      </c>
      <c r="J149" s="14"/>
      <c r="K149" s="14"/>
      <c r="L149" s="14" t="s">
        <v>778</v>
      </c>
      <c r="M149" s="14" t="s">
        <v>111</v>
      </c>
      <c r="N149" s="14" t="s">
        <v>13</v>
      </c>
      <c r="O149" s="14" t="b">
        <v>1</v>
      </c>
      <c r="P149" s="14" t="s">
        <v>779</v>
      </c>
      <c r="Q149" s="14"/>
      <c r="R149" s="14"/>
      <c r="S149" s="14" t="s">
        <v>780</v>
      </c>
      <c r="T149" s="14" t="s">
        <v>4069</v>
      </c>
      <c r="U149" s="17"/>
      <c r="V149" s="14"/>
      <c r="W149" s="14"/>
      <c r="X149" s="18"/>
      <c r="Y149" s="18"/>
      <c r="Z149" s="18"/>
      <c r="AA149" s="19">
        <f t="shared" si="1"/>
        <v>6</v>
      </c>
      <c r="AB149" s="19" t="str">
        <f t="shared" si="2"/>
        <v/>
      </c>
      <c r="AC149" s="19"/>
    </row>
    <row r="150" ht="15.75" customHeight="1">
      <c r="A150" s="246">
        <v>45083.0</v>
      </c>
      <c r="B150" s="243" t="s">
        <v>84</v>
      </c>
      <c r="C150" s="243" t="s">
        <v>781</v>
      </c>
      <c r="D150" s="243" t="s">
        <v>4179</v>
      </c>
      <c r="E150" s="243"/>
      <c r="F150" s="243"/>
      <c r="G150" s="243"/>
      <c r="H150" s="243"/>
      <c r="I150" s="245"/>
      <c r="J150" s="243"/>
      <c r="K150" s="243"/>
      <c r="L150" s="243"/>
      <c r="M150" s="243" t="s">
        <v>89</v>
      </c>
      <c r="N150" s="243" t="s">
        <v>67</v>
      </c>
      <c r="O150" s="14" t="b">
        <v>0</v>
      </c>
      <c r="P150" s="243"/>
      <c r="Q150" s="243"/>
      <c r="R150" s="243"/>
      <c r="S150" s="243" t="s">
        <v>784</v>
      </c>
      <c r="T150" s="243"/>
      <c r="U150" s="246"/>
      <c r="V150" s="268">
        <v>45084.0</v>
      </c>
      <c r="W150" s="243" t="s">
        <v>4153</v>
      </c>
      <c r="X150" s="248">
        <v>3200000.0</v>
      </c>
      <c r="Y150" s="248">
        <v>0.0</v>
      </c>
      <c r="Z150" s="259">
        <v>3200000.0</v>
      </c>
      <c r="AA150" s="19">
        <f t="shared" si="1"/>
        <v>6</v>
      </c>
      <c r="AB150" s="19">
        <f t="shared" si="2"/>
        <v>6</v>
      </c>
      <c r="AC150" s="19"/>
    </row>
    <row r="151" ht="15.75" customHeight="1">
      <c r="A151" s="246">
        <v>45083.0</v>
      </c>
      <c r="B151" s="243" t="s">
        <v>84</v>
      </c>
      <c r="C151" s="243" t="s">
        <v>781</v>
      </c>
      <c r="D151" s="243" t="s">
        <v>4179</v>
      </c>
      <c r="E151" s="243"/>
      <c r="F151" s="243"/>
      <c r="G151" s="243"/>
      <c r="H151" s="243"/>
      <c r="I151" s="245"/>
      <c r="J151" s="243"/>
      <c r="K151" s="243"/>
      <c r="L151" s="243"/>
      <c r="M151" s="243" t="s">
        <v>89</v>
      </c>
      <c r="N151" s="243" t="s">
        <v>67</v>
      </c>
      <c r="O151" s="14" t="b">
        <v>0</v>
      </c>
      <c r="P151" s="243"/>
      <c r="Q151" s="243"/>
      <c r="R151" s="243"/>
      <c r="S151" s="243" t="s">
        <v>784</v>
      </c>
      <c r="T151" s="243"/>
      <c r="U151" s="246"/>
      <c r="V151" s="268">
        <v>45084.0</v>
      </c>
      <c r="W151" s="243" t="s">
        <v>4153</v>
      </c>
      <c r="X151" s="248">
        <v>3200000.0</v>
      </c>
      <c r="Y151" s="248">
        <v>0.0</v>
      </c>
      <c r="Z151" s="259">
        <v>3200000.0</v>
      </c>
      <c r="AA151" s="19">
        <f t="shared" si="1"/>
        <v>6</v>
      </c>
      <c r="AB151" s="19">
        <f t="shared" si="2"/>
        <v>6</v>
      </c>
      <c r="AC151" s="19"/>
    </row>
    <row r="152" ht="15.75" customHeight="1">
      <c r="A152" s="12">
        <v>45086.0</v>
      </c>
      <c r="B152" s="13" t="s">
        <v>28</v>
      </c>
      <c r="C152" s="14" t="s">
        <v>786</v>
      </c>
      <c r="D152" s="14"/>
      <c r="E152" s="14"/>
      <c r="F152" s="14" t="s">
        <v>4180</v>
      </c>
      <c r="G152" s="14"/>
      <c r="H152" s="14"/>
      <c r="I152" s="15" t="s">
        <v>787</v>
      </c>
      <c r="J152" s="14"/>
      <c r="K152" s="14"/>
      <c r="L152" s="14" t="s">
        <v>788</v>
      </c>
      <c r="M152" s="14" t="s">
        <v>48</v>
      </c>
      <c r="N152" s="14" t="s">
        <v>216</v>
      </c>
      <c r="O152" s="14" t="b">
        <v>0</v>
      </c>
      <c r="P152" s="14"/>
      <c r="Q152" s="14"/>
      <c r="R152" s="14"/>
      <c r="S152" s="14" t="s">
        <v>789</v>
      </c>
      <c r="T152" s="14" t="s">
        <v>36</v>
      </c>
      <c r="U152" s="17"/>
      <c r="V152" s="14"/>
      <c r="W152" s="14"/>
      <c r="X152" s="18"/>
      <c r="Y152" s="18"/>
      <c r="Z152" s="18"/>
      <c r="AA152" s="19">
        <f t="shared" si="1"/>
        <v>6</v>
      </c>
      <c r="AB152" s="19" t="str">
        <f t="shared" si="2"/>
        <v/>
      </c>
      <c r="AC152" s="19"/>
    </row>
    <row r="153" ht="15.75" customHeight="1">
      <c r="A153" s="12">
        <v>45087.0</v>
      </c>
      <c r="B153" s="13" t="s">
        <v>28</v>
      </c>
      <c r="C153" s="14" t="s">
        <v>790</v>
      </c>
      <c r="D153" s="14" t="s">
        <v>666</v>
      </c>
      <c r="E153" s="14"/>
      <c r="F153" s="14" t="s">
        <v>4042</v>
      </c>
      <c r="G153" s="14"/>
      <c r="H153" s="14"/>
      <c r="I153" s="15" t="s">
        <v>791</v>
      </c>
      <c r="J153" s="14"/>
      <c r="K153" s="14"/>
      <c r="L153" s="272" t="s">
        <v>792</v>
      </c>
      <c r="M153" s="14" t="s">
        <v>111</v>
      </c>
      <c r="N153" s="14" t="s">
        <v>34</v>
      </c>
      <c r="O153" s="14" t="b">
        <v>1</v>
      </c>
      <c r="P153" s="14" t="s">
        <v>4181</v>
      </c>
      <c r="Q153" s="14"/>
      <c r="R153" s="14"/>
      <c r="S153" s="14" t="s">
        <v>4182</v>
      </c>
      <c r="T153" s="14" t="s">
        <v>4069</v>
      </c>
      <c r="U153" s="17"/>
      <c r="V153" s="14"/>
      <c r="W153" s="14"/>
      <c r="X153" s="18"/>
      <c r="Y153" s="18"/>
      <c r="Z153" s="18"/>
      <c r="AA153" s="19">
        <f t="shared" si="1"/>
        <v>6</v>
      </c>
      <c r="AB153" s="19" t="str">
        <f t="shared" si="2"/>
        <v/>
      </c>
      <c r="AC153" s="19"/>
    </row>
    <row r="154" ht="15.75" customHeight="1">
      <c r="A154" s="12">
        <v>45087.0</v>
      </c>
      <c r="B154" s="13" t="s">
        <v>28</v>
      </c>
      <c r="C154" s="14" t="s">
        <v>795</v>
      </c>
      <c r="D154" s="14"/>
      <c r="E154" s="14"/>
      <c r="F154" s="14" t="s">
        <v>4180</v>
      </c>
      <c r="G154" s="14"/>
      <c r="H154" s="14"/>
      <c r="I154" s="15" t="s">
        <v>796</v>
      </c>
      <c r="J154" s="14"/>
      <c r="K154" s="14"/>
      <c r="L154" s="14" t="s">
        <v>797</v>
      </c>
      <c r="M154" s="14" t="s">
        <v>111</v>
      </c>
      <c r="N154" s="14" t="s">
        <v>565</v>
      </c>
      <c r="O154" s="14" t="b">
        <v>0</v>
      </c>
      <c r="P154" s="14"/>
      <c r="Q154" s="14"/>
      <c r="R154" s="14"/>
      <c r="S154" s="14" t="s">
        <v>798</v>
      </c>
      <c r="T154" s="14" t="s">
        <v>4183</v>
      </c>
      <c r="U154" s="17"/>
      <c r="V154" s="14"/>
      <c r="W154" s="14"/>
      <c r="X154" s="18"/>
      <c r="Y154" s="18"/>
      <c r="Z154" s="18"/>
      <c r="AA154" s="19">
        <f t="shared" si="1"/>
        <v>6</v>
      </c>
      <c r="AB154" s="19" t="str">
        <f t="shared" si="2"/>
        <v/>
      </c>
      <c r="AC154" s="19"/>
    </row>
    <row r="155" ht="15.75" customHeight="1">
      <c r="A155" s="255">
        <v>45087.0</v>
      </c>
      <c r="B155" s="13" t="s">
        <v>28</v>
      </c>
      <c r="C155" s="256" t="s">
        <v>799</v>
      </c>
      <c r="D155" s="256"/>
      <c r="E155" s="256"/>
      <c r="F155" s="256"/>
      <c r="G155" s="256"/>
      <c r="H155" s="256"/>
      <c r="I155" s="257" t="s">
        <v>800</v>
      </c>
      <c r="J155" s="256"/>
      <c r="K155" s="256"/>
      <c r="L155" s="256" t="s">
        <v>801</v>
      </c>
      <c r="M155" s="256" t="s">
        <v>48</v>
      </c>
      <c r="N155" s="256" t="s">
        <v>333</v>
      </c>
      <c r="O155" s="14" t="b">
        <v>1</v>
      </c>
      <c r="P155" s="256" t="s">
        <v>4184</v>
      </c>
      <c r="Q155" s="256"/>
      <c r="R155" s="256"/>
      <c r="S155" s="256" t="s">
        <v>803</v>
      </c>
      <c r="T155" s="256"/>
      <c r="U155" s="273">
        <v>45174.0</v>
      </c>
      <c r="V155" s="256"/>
      <c r="W155" s="256"/>
      <c r="X155" s="259"/>
      <c r="Y155" s="259"/>
      <c r="Z155" s="18"/>
      <c r="AA155" s="19">
        <f t="shared" si="1"/>
        <v>6</v>
      </c>
      <c r="AB155" s="19" t="str">
        <f t="shared" si="2"/>
        <v/>
      </c>
      <c r="AC155" s="19"/>
    </row>
    <row r="156" ht="15.75" customHeight="1">
      <c r="A156" s="246">
        <v>45087.0</v>
      </c>
      <c r="B156" s="243" t="s">
        <v>84</v>
      </c>
      <c r="C156" s="243" t="s">
        <v>804</v>
      </c>
      <c r="D156" s="243" t="s">
        <v>805</v>
      </c>
      <c r="E156" s="243"/>
      <c r="F156" s="243"/>
      <c r="G156" s="243">
        <v>4.0</v>
      </c>
      <c r="H156" s="243"/>
      <c r="I156" s="245" t="s">
        <v>806</v>
      </c>
      <c r="J156" s="243"/>
      <c r="K156" s="243"/>
      <c r="L156" s="243" t="s">
        <v>807</v>
      </c>
      <c r="M156" s="243" t="s">
        <v>89</v>
      </c>
      <c r="N156" s="243" t="s">
        <v>67</v>
      </c>
      <c r="O156" s="14" t="b">
        <v>1</v>
      </c>
      <c r="P156" s="243" t="s">
        <v>808</v>
      </c>
      <c r="Q156" s="243"/>
      <c r="R156" s="243"/>
      <c r="S156" s="243" t="s">
        <v>809</v>
      </c>
      <c r="T156" s="243"/>
      <c r="U156" s="246"/>
      <c r="V156" s="268">
        <v>45090.0</v>
      </c>
      <c r="W156" s="243" t="s">
        <v>4153</v>
      </c>
      <c r="X156" s="248">
        <v>6124000.0</v>
      </c>
      <c r="Y156" s="248">
        <v>0.0</v>
      </c>
      <c r="Z156" s="18">
        <v>5205400.0</v>
      </c>
      <c r="AA156" s="19">
        <f t="shared" si="1"/>
        <v>6</v>
      </c>
      <c r="AB156" s="19">
        <f t="shared" si="2"/>
        <v>6</v>
      </c>
      <c r="AC156" s="19"/>
    </row>
    <row r="157" ht="15.75" customHeight="1">
      <c r="A157" s="12">
        <v>45087.0</v>
      </c>
      <c r="B157" s="13" t="s">
        <v>28</v>
      </c>
      <c r="C157" s="120" t="s">
        <v>810</v>
      </c>
      <c r="D157" s="14"/>
      <c r="E157" s="14"/>
      <c r="F157" s="14"/>
      <c r="G157" s="14">
        <v>5.0</v>
      </c>
      <c r="H157" s="14"/>
      <c r="I157" s="121" t="s">
        <v>812</v>
      </c>
      <c r="J157" s="14"/>
      <c r="K157" s="14"/>
      <c r="L157" s="14" t="s">
        <v>813</v>
      </c>
      <c r="M157" s="14" t="s">
        <v>48</v>
      </c>
      <c r="N157" s="14" t="s">
        <v>565</v>
      </c>
      <c r="O157" s="14" t="b">
        <v>0</v>
      </c>
      <c r="P157" s="14"/>
      <c r="Q157" s="14"/>
      <c r="R157" s="14"/>
      <c r="S157" s="14" t="s">
        <v>814</v>
      </c>
      <c r="T157" s="14" t="s">
        <v>4185</v>
      </c>
      <c r="U157" s="17"/>
      <c r="V157" s="14"/>
      <c r="W157" s="14"/>
      <c r="X157" s="18"/>
      <c r="Y157" s="18"/>
      <c r="Z157" s="18"/>
      <c r="AA157" s="19">
        <f t="shared" si="1"/>
        <v>6</v>
      </c>
      <c r="AB157" s="19" t="str">
        <f t="shared" si="2"/>
        <v/>
      </c>
      <c r="AC157" s="19"/>
    </row>
    <row r="158" ht="15.75" customHeight="1">
      <c r="A158" s="12">
        <v>45087.0</v>
      </c>
      <c r="B158" s="13" t="s">
        <v>28</v>
      </c>
      <c r="C158" s="120" t="s">
        <v>810</v>
      </c>
      <c r="D158" s="14"/>
      <c r="E158" s="14"/>
      <c r="F158" s="14"/>
      <c r="G158" s="14">
        <v>4.0</v>
      </c>
      <c r="H158" s="14"/>
      <c r="I158" s="11"/>
      <c r="J158" s="14"/>
      <c r="K158" s="14"/>
      <c r="L158" s="14"/>
      <c r="M158" s="14" t="s">
        <v>48</v>
      </c>
      <c r="N158" s="14" t="s">
        <v>565</v>
      </c>
      <c r="O158" s="14" t="b">
        <v>0</v>
      </c>
      <c r="P158" s="14"/>
      <c r="Q158" s="14"/>
      <c r="R158" s="14"/>
      <c r="S158" s="14" t="s">
        <v>816</v>
      </c>
      <c r="T158" s="14" t="s">
        <v>4185</v>
      </c>
      <c r="U158" s="17"/>
      <c r="V158" s="14"/>
      <c r="W158" s="14"/>
      <c r="X158" s="18"/>
      <c r="Y158" s="18"/>
      <c r="Z158" s="18"/>
      <c r="AA158" s="19">
        <f t="shared" si="1"/>
        <v>6</v>
      </c>
      <c r="AB158" s="19" t="str">
        <f t="shared" si="2"/>
        <v/>
      </c>
      <c r="AC158" s="19"/>
    </row>
    <row r="159" ht="15.75" customHeight="1">
      <c r="A159" s="26">
        <v>45087.0</v>
      </c>
      <c r="B159" s="27" t="s">
        <v>84</v>
      </c>
      <c r="C159" s="27" t="s">
        <v>817</v>
      </c>
      <c r="D159" s="27" t="s">
        <v>818</v>
      </c>
      <c r="E159" s="27"/>
      <c r="F159" s="27"/>
      <c r="G159" s="27">
        <v>5.0</v>
      </c>
      <c r="H159" s="27"/>
      <c r="I159" s="34" t="s">
        <v>819</v>
      </c>
      <c r="J159" s="27"/>
      <c r="K159" s="27"/>
      <c r="L159" s="27" t="s">
        <v>820</v>
      </c>
      <c r="M159" s="27" t="s">
        <v>66</v>
      </c>
      <c r="N159" s="27" t="s">
        <v>67</v>
      </c>
      <c r="O159" s="14" t="b">
        <v>1</v>
      </c>
      <c r="P159" s="27" t="s">
        <v>821</v>
      </c>
      <c r="Q159" s="27" t="s">
        <v>91</v>
      </c>
      <c r="R159" s="27" t="s">
        <v>822</v>
      </c>
      <c r="S159" s="27" t="s">
        <v>823</v>
      </c>
      <c r="T159" s="27"/>
      <c r="U159" s="26"/>
      <c r="V159" s="32">
        <v>45092.0</v>
      </c>
      <c r="W159" s="27" t="s">
        <v>4186</v>
      </c>
      <c r="X159" s="25"/>
      <c r="Y159" s="25"/>
      <c r="Z159" s="18">
        <v>5205400.0</v>
      </c>
      <c r="AA159" s="19">
        <f t="shared" si="1"/>
        <v>6</v>
      </c>
      <c r="AB159" s="19">
        <f t="shared" si="2"/>
        <v>6</v>
      </c>
      <c r="AC159" s="19"/>
    </row>
    <row r="160" ht="15.75" customHeight="1">
      <c r="A160" s="12">
        <v>45087.0</v>
      </c>
      <c r="B160" s="14" t="s">
        <v>84</v>
      </c>
      <c r="C160" s="120" t="s">
        <v>824</v>
      </c>
      <c r="D160" s="14"/>
      <c r="E160" s="14"/>
      <c r="F160" s="14"/>
      <c r="G160" s="14" t="s">
        <v>825</v>
      </c>
      <c r="H160" s="14"/>
      <c r="I160" s="121" t="s">
        <v>826</v>
      </c>
      <c r="J160" s="14"/>
      <c r="K160" s="14"/>
      <c r="L160" s="14"/>
      <c r="M160" s="14" t="s">
        <v>48</v>
      </c>
      <c r="N160" s="14" t="s">
        <v>333</v>
      </c>
      <c r="O160" s="14" t="b">
        <v>0</v>
      </c>
      <c r="P160" s="14"/>
      <c r="Q160" s="14"/>
      <c r="R160" s="14"/>
      <c r="S160" s="14" t="s">
        <v>827</v>
      </c>
      <c r="T160" s="14" t="s">
        <v>4187</v>
      </c>
      <c r="U160" s="17">
        <v>45174.0</v>
      </c>
      <c r="V160" s="14"/>
      <c r="W160" s="14"/>
      <c r="X160" s="18"/>
      <c r="Y160" s="18"/>
      <c r="Z160" s="18"/>
      <c r="AA160" s="19">
        <f t="shared" si="1"/>
        <v>6</v>
      </c>
      <c r="AB160" s="19" t="str">
        <f t="shared" si="2"/>
        <v/>
      </c>
      <c r="AC160" s="19"/>
    </row>
    <row r="161" ht="15.75" customHeight="1">
      <c r="A161" s="12">
        <v>45087.0</v>
      </c>
      <c r="B161" s="14" t="s">
        <v>84</v>
      </c>
      <c r="C161" s="120" t="s">
        <v>824</v>
      </c>
      <c r="D161" s="14"/>
      <c r="E161" s="14"/>
      <c r="F161" s="14"/>
      <c r="G161" s="14" t="s">
        <v>371</v>
      </c>
      <c r="H161" s="14"/>
      <c r="I161" s="11"/>
      <c r="J161" s="14"/>
      <c r="K161" s="14"/>
      <c r="L161" s="14"/>
      <c r="M161" s="14" t="s">
        <v>48</v>
      </c>
      <c r="N161" s="14" t="s">
        <v>333</v>
      </c>
      <c r="O161" s="14" t="b">
        <v>0</v>
      </c>
      <c r="P161" s="14"/>
      <c r="Q161" s="14"/>
      <c r="R161" s="14"/>
      <c r="S161" s="14"/>
      <c r="T161" s="14"/>
      <c r="U161" s="17">
        <v>45174.0</v>
      </c>
      <c r="V161" s="14"/>
      <c r="W161" s="14"/>
      <c r="X161" s="18"/>
      <c r="Y161" s="18"/>
      <c r="Z161" s="18"/>
      <c r="AA161" s="19">
        <f t="shared" si="1"/>
        <v>6</v>
      </c>
      <c r="AB161" s="19" t="str">
        <f t="shared" si="2"/>
        <v/>
      </c>
      <c r="AC161" s="19"/>
    </row>
    <row r="162" ht="15.75" customHeight="1">
      <c r="A162" s="246">
        <v>45087.0</v>
      </c>
      <c r="B162" s="243" t="s">
        <v>201</v>
      </c>
      <c r="C162" s="243" t="s">
        <v>828</v>
      </c>
      <c r="D162" s="243" t="s">
        <v>829</v>
      </c>
      <c r="E162" s="243"/>
      <c r="F162" s="243"/>
      <c r="G162" s="243" t="s">
        <v>234</v>
      </c>
      <c r="H162" s="243"/>
      <c r="I162" s="245" t="s">
        <v>830</v>
      </c>
      <c r="J162" s="243"/>
      <c r="K162" s="243"/>
      <c r="L162" s="243"/>
      <c r="M162" s="243" t="s">
        <v>89</v>
      </c>
      <c r="N162" s="243" t="s">
        <v>67</v>
      </c>
      <c r="O162" s="14" t="b">
        <v>1</v>
      </c>
      <c r="P162" s="243" t="s">
        <v>831</v>
      </c>
      <c r="Q162" s="243"/>
      <c r="R162" s="243"/>
      <c r="S162" s="243" t="s">
        <v>832</v>
      </c>
      <c r="T162" s="243"/>
      <c r="U162" s="246"/>
      <c r="V162" s="268">
        <v>45104.0</v>
      </c>
      <c r="W162" s="243" t="s">
        <v>4153</v>
      </c>
      <c r="X162" s="248">
        <v>5205400.0</v>
      </c>
      <c r="Y162" s="248">
        <v>0.0</v>
      </c>
      <c r="Z162" s="18">
        <v>5205400.0</v>
      </c>
      <c r="AA162" s="19">
        <f t="shared" si="1"/>
        <v>6</v>
      </c>
      <c r="AB162" s="19">
        <f t="shared" si="2"/>
        <v>6</v>
      </c>
      <c r="AC162" s="19"/>
    </row>
    <row r="163" ht="15.75" customHeight="1">
      <c r="A163" s="12">
        <v>45087.0</v>
      </c>
      <c r="B163" s="14" t="s">
        <v>84</v>
      </c>
      <c r="C163" s="14" t="s">
        <v>833</v>
      </c>
      <c r="D163" s="14"/>
      <c r="E163" s="14"/>
      <c r="F163" s="14"/>
      <c r="G163" s="14"/>
      <c r="H163" s="14"/>
      <c r="I163" s="15" t="s">
        <v>834</v>
      </c>
      <c r="J163" s="14"/>
      <c r="K163" s="14"/>
      <c r="L163" s="14"/>
      <c r="M163" s="14" t="s">
        <v>48</v>
      </c>
      <c r="N163" s="14" t="s">
        <v>34</v>
      </c>
      <c r="O163" s="14" t="b">
        <v>1</v>
      </c>
      <c r="P163" s="14" t="s">
        <v>835</v>
      </c>
      <c r="Q163" s="14"/>
      <c r="R163" s="14"/>
      <c r="S163" s="14" t="s">
        <v>836</v>
      </c>
      <c r="T163" s="14" t="s">
        <v>36</v>
      </c>
      <c r="U163" s="17"/>
      <c r="V163" s="14"/>
      <c r="W163" s="14"/>
      <c r="X163" s="18"/>
      <c r="Y163" s="18"/>
      <c r="Z163" s="18"/>
      <c r="AA163" s="19">
        <f t="shared" si="1"/>
        <v>6</v>
      </c>
      <c r="AB163" s="19" t="str">
        <f t="shared" si="2"/>
        <v/>
      </c>
      <c r="AC163" s="19"/>
    </row>
    <row r="164" ht="15.75" customHeight="1">
      <c r="A164" s="26">
        <v>45088.0</v>
      </c>
      <c r="B164" s="27" t="s">
        <v>84</v>
      </c>
      <c r="C164" s="27" t="s">
        <v>837</v>
      </c>
      <c r="D164" s="27" t="s">
        <v>838</v>
      </c>
      <c r="E164" s="27"/>
      <c r="F164" s="27"/>
      <c r="G164" s="27" t="s">
        <v>839</v>
      </c>
      <c r="H164" s="27"/>
      <c r="I164" s="34" t="s">
        <v>840</v>
      </c>
      <c r="J164" s="27"/>
      <c r="K164" s="27"/>
      <c r="L164" s="27" t="s">
        <v>841</v>
      </c>
      <c r="M164" s="27" t="s">
        <v>66</v>
      </c>
      <c r="N164" s="27" t="s">
        <v>67</v>
      </c>
      <c r="O164" s="14" t="b">
        <v>1</v>
      </c>
      <c r="P164" s="27" t="s">
        <v>842</v>
      </c>
      <c r="Q164" s="27"/>
      <c r="R164" s="27"/>
      <c r="S164" s="27" t="s">
        <v>843</v>
      </c>
      <c r="T164" s="27"/>
      <c r="U164" s="26"/>
      <c r="V164" s="23">
        <v>45095.0</v>
      </c>
      <c r="W164" s="27"/>
      <c r="X164" s="25"/>
      <c r="Y164" s="25"/>
      <c r="Z164" s="18">
        <v>4165000.0</v>
      </c>
      <c r="AA164" s="19">
        <f t="shared" si="1"/>
        <v>6</v>
      </c>
      <c r="AB164" s="19">
        <f t="shared" si="2"/>
        <v>6</v>
      </c>
      <c r="AC164" s="19"/>
    </row>
    <row r="165" ht="15.75" customHeight="1">
      <c r="A165" s="26">
        <v>45089.0</v>
      </c>
      <c r="B165" s="27" t="s">
        <v>84</v>
      </c>
      <c r="C165" s="27" t="s">
        <v>844</v>
      </c>
      <c r="D165" s="27" t="s">
        <v>845</v>
      </c>
      <c r="E165" s="32"/>
      <c r="F165" s="32">
        <v>41263.0</v>
      </c>
      <c r="G165" s="27"/>
      <c r="H165" s="27"/>
      <c r="I165" s="122" t="s">
        <v>846</v>
      </c>
      <c r="J165" s="64"/>
      <c r="K165" s="64"/>
      <c r="L165" s="64" t="s">
        <v>847</v>
      </c>
      <c r="M165" s="27" t="s">
        <v>111</v>
      </c>
      <c r="N165" s="27" t="s">
        <v>67</v>
      </c>
      <c r="O165" s="14" t="b">
        <v>1</v>
      </c>
      <c r="P165" s="27" t="s">
        <v>848</v>
      </c>
      <c r="Q165" s="27"/>
      <c r="R165" s="27"/>
      <c r="S165" s="27" t="s">
        <v>849</v>
      </c>
      <c r="T165" s="27" t="s">
        <v>4188</v>
      </c>
      <c r="U165" s="26">
        <v>45132.0</v>
      </c>
      <c r="V165" s="32">
        <v>45165.0</v>
      </c>
      <c r="W165" s="27" t="s">
        <v>4189</v>
      </c>
      <c r="X165" s="25">
        <v>6124000.0</v>
      </c>
      <c r="Y165" s="25">
        <v>612400.0</v>
      </c>
      <c r="Z165" s="25">
        <v>5511600.0</v>
      </c>
      <c r="AA165" s="123">
        <f t="shared" si="1"/>
        <v>6</v>
      </c>
      <c r="AB165" s="123">
        <f t="shared" si="2"/>
        <v>8</v>
      </c>
      <c r="AC165" s="123"/>
    </row>
    <row r="166" ht="15.75" customHeight="1">
      <c r="A166" s="12">
        <v>45089.0</v>
      </c>
      <c r="B166" s="14" t="s">
        <v>84</v>
      </c>
      <c r="C166" s="14" t="s">
        <v>844</v>
      </c>
      <c r="D166" s="14" t="s">
        <v>850</v>
      </c>
      <c r="E166" s="142"/>
      <c r="F166" s="142">
        <v>41751.0</v>
      </c>
      <c r="G166" s="14"/>
      <c r="H166" s="14"/>
      <c r="I166" s="11"/>
      <c r="J166" s="11"/>
      <c r="K166" s="11"/>
      <c r="L166" s="11"/>
      <c r="M166" s="14" t="s">
        <v>111</v>
      </c>
      <c r="N166" s="14" t="s">
        <v>13</v>
      </c>
      <c r="O166" s="14" t="b">
        <v>1</v>
      </c>
      <c r="P166" s="14" t="s">
        <v>835</v>
      </c>
      <c r="Q166" s="14"/>
      <c r="R166" s="14"/>
      <c r="S166" s="14" t="s">
        <v>851</v>
      </c>
      <c r="T166" s="14" t="s">
        <v>4190</v>
      </c>
      <c r="U166" s="17">
        <v>45107.0</v>
      </c>
      <c r="V166" s="14"/>
      <c r="W166" s="14"/>
      <c r="X166" s="18"/>
      <c r="Y166" s="18"/>
      <c r="Z166" s="18"/>
      <c r="AA166" s="19">
        <f t="shared" si="1"/>
        <v>6</v>
      </c>
      <c r="AB166" s="19" t="str">
        <f t="shared" si="2"/>
        <v/>
      </c>
      <c r="AC166" s="19"/>
    </row>
    <row r="167" ht="15.75" customHeight="1">
      <c r="A167" s="12">
        <v>45090.0</v>
      </c>
      <c r="B167" s="13" t="s">
        <v>28</v>
      </c>
      <c r="C167" s="14" t="s">
        <v>852</v>
      </c>
      <c r="D167" s="14"/>
      <c r="E167" s="14"/>
      <c r="F167" s="14"/>
      <c r="G167" s="14"/>
      <c r="H167" s="14"/>
      <c r="I167" s="15" t="s">
        <v>853</v>
      </c>
      <c r="J167" s="14"/>
      <c r="K167" s="14"/>
      <c r="L167" s="14"/>
      <c r="M167" s="14" t="s">
        <v>111</v>
      </c>
      <c r="N167" s="14" t="s">
        <v>34</v>
      </c>
      <c r="O167" s="14" t="b">
        <v>0</v>
      </c>
      <c r="P167" s="14"/>
      <c r="Q167" s="14"/>
      <c r="R167" s="14"/>
      <c r="S167" s="14" t="s">
        <v>854</v>
      </c>
      <c r="T167" s="14"/>
      <c r="U167" s="17"/>
      <c r="V167" s="14"/>
      <c r="W167" s="14"/>
      <c r="X167" s="18"/>
      <c r="Y167" s="18"/>
      <c r="Z167" s="18"/>
      <c r="AA167" s="19">
        <f t="shared" si="1"/>
        <v>6</v>
      </c>
      <c r="AB167" s="19" t="str">
        <f t="shared" si="2"/>
        <v/>
      </c>
      <c r="AC167" s="19"/>
    </row>
    <row r="168" ht="15.75" customHeight="1">
      <c r="A168" s="26">
        <v>45090.0</v>
      </c>
      <c r="B168" s="27" t="s">
        <v>201</v>
      </c>
      <c r="C168" s="27" t="s">
        <v>855</v>
      </c>
      <c r="D168" s="27" t="s">
        <v>4191</v>
      </c>
      <c r="E168" s="27"/>
      <c r="F168" s="27" t="s">
        <v>4192</v>
      </c>
      <c r="G168" s="27"/>
      <c r="H168" s="27"/>
      <c r="I168" s="65" t="s">
        <v>857</v>
      </c>
      <c r="J168" s="64"/>
      <c r="K168" s="64"/>
      <c r="L168" s="64" t="s">
        <v>4193</v>
      </c>
      <c r="M168" s="27" t="s">
        <v>111</v>
      </c>
      <c r="N168" s="27" t="s">
        <v>67</v>
      </c>
      <c r="O168" s="14" t="b">
        <v>1</v>
      </c>
      <c r="P168" s="27" t="s">
        <v>859</v>
      </c>
      <c r="Q168" s="27" t="s">
        <v>4194</v>
      </c>
      <c r="R168" s="27" t="s">
        <v>860</v>
      </c>
      <c r="S168" s="27" t="s">
        <v>861</v>
      </c>
      <c r="T168" s="27" t="s">
        <v>4195</v>
      </c>
      <c r="U168" s="26"/>
      <c r="V168" s="32">
        <v>45107.0</v>
      </c>
      <c r="W168" s="27" t="s">
        <v>4194</v>
      </c>
      <c r="X168" s="25">
        <v>2558000.0</v>
      </c>
      <c r="Y168" s="25">
        <v>204460.0</v>
      </c>
      <c r="Z168" s="25">
        <v>2353360.0</v>
      </c>
      <c r="AA168" s="19">
        <f t="shared" si="1"/>
        <v>6</v>
      </c>
      <c r="AB168" s="19">
        <f t="shared" si="2"/>
        <v>6</v>
      </c>
      <c r="AC168" s="19"/>
    </row>
    <row r="169" ht="15.75" customHeight="1">
      <c r="A169" s="26">
        <v>45090.0</v>
      </c>
      <c r="B169" s="27" t="s">
        <v>201</v>
      </c>
      <c r="C169" s="27" t="s">
        <v>855</v>
      </c>
      <c r="D169" s="27" t="s">
        <v>4196</v>
      </c>
      <c r="E169" s="27"/>
      <c r="F169" s="27"/>
      <c r="G169" s="27"/>
      <c r="H169" s="27"/>
      <c r="I169" s="11"/>
      <c r="J169" s="11"/>
      <c r="K169" s="11"/>
      <c r="L169" s="11"/>
      <c r="M169" s="27" t="s">
        <v>111</v>
      </c>
      <c r="N169" s="27" t="s">
        <v>67</v>
      </c>
      <c r="O169" s="14" t="b">
        <v>1</v>
      </c>
      <c r="P169" s="27" t="s">
        <v>865</v>
      </c>
      <c r="Q169" s="27" t="s">
        <v>4194</v>
      </c>
      <c r="R169" s="27" t="s">
        <v>860</v>
      </c>
      <c r="S169" s="27"/>
      <c r="T169" s="27" t="s">
        <v>4195</v>
      </c>
      <c r="U169" s="26"/>
      <c r="V169" s="32">
        <v>45107.0</v>
      </c>
      <c r="W169" s="27" t="s">
        <v>4194</v>
      </c>
      <c r="X169" s="25">
        <v>2558000.0</v>
      </c>
      <c r="Y169" s="25">
        <v>127900.0</v>
      </c>
      <c r="Z169" s="25">
        <v>2430100.0</v>
      </c>
      <c r="AA169" s="19">
        <f t="shared" si="1"/>
        <v>6</v>
      </c>
      <c r="AB169" s="19">
        <f t="shared" si="2"/>
        <v>6</v>
      </c>
      <c r="AC169" s="19"/>
    </row>
    <row r="170" ht="15.75" customHeight="1">
      <c r="A170" s="12">
        <v>45090.0</v>
      </c>
      <c r="B170" s="14" t="s">
        <v>84</v>
      </c>
      <c r="C170" s="14" t="s">
        <v>866</v>
      </c>
      <c r="D170" s="14" t="s">
        <v>867</v>
      </c>
      <c r="E170" s="14"/>
      <c r="F170" s="14"/>
      <c r="G170" s="14"/>
      <c r="H170" s="14"/>
      <c r="I170" s="15" t="s">
        <v>868</v>
      </c>
      <c r="J170" s="14"/>
      <c r="K170" s="14"/>
      <c r="L170" s="14" t="s">
        <v>869</v>
      </c>
      <c r="M170" s="14" t="s">
        <v>111</v>
      </c>
      <c r="N170" s="14" t="s">
        <v>13</v>
      </c>
      <c r="O170" s="14" t="b">
        <v>1</v>
      </c>
      <c r="P170" s="61" t="s">
        <v>870</v>
      </c>
      <c r="Q170" s="242"/>
      <c r="R170" s="14"/>
      <c r="S170" s="14" t="s">
        <v>871</v>
      </c>
      <c r="T170" s="14" t="s">
        <v>4197</v>
      </c>
      <c r="U170" s="17"/>
      <c r="V170" s="14"/>
      <c r="W170" s="14"/>
      <c r="X170" s="18"/>
      <c r="Y170" s="18"/>
      <c r="Z170" s="18"/>
      <c r="AA170" s="19">
        <f t="shared" si="1"/>
        <v>6</v>
      </c>
      <c r="AB170" s="19" t="str">
        <f t="shared" si="2"/>
        <v/>
      </c>
      <c r="AC170" s="19"/>
    </row>
    <row r="171" ht="15.75" customHeight="1">
      <c r="A171" s="12">
        <v>45091.0</v>
      </c>
      <c r="B171" s="14" t="s">
        <v>84</v>
      </c>
      <c r="C171" s="14" t="s">
        <v>872</v>
      </c>
      <c r="D171" s="14"/>
      <c r="E171" s="14"/>
      <c r="F171" s="14"/>
      <c r="G171" s="14"/>
      <c r="H171" s="14"/>
      <c r="I171" s="15" t="s">
        <v>873</v>
      </c>
      <c r="J171" s="14"/>
      <c r="K171" s="14"/>
      <c r="L171" s="14"/>
      <c r="M171" s="14" t="s">
        <v>48</v>
      </c>
      <c r="N171" s="14" t="s">
        <v>333</v>
      </c>
      <c r="O171" s="14" t="b">
        <v>0</v>
      </c>
      <c r="P171" s="14" t="s">
        <v>874</v>
      </c>
      <c r="Q171" s="14"/>
      <c r="R171" s="14"/>
      <c r="S171" s="14" t="s">
        <v>875</v>
      </c>
      <c r="T171" s="14" t="s">
        <v>4198</v>
      </c>
      <c r="U171" s="17">
        <v>45105.0</v>
      </c>
      <c r="V171" s="14"/>
      <c r="W171" s="14"/>
      <c r="X171" s="18"/>
      <c r="Y171" s="18"/>
      <c r="Z171" s="18"/>
      <c r="AA171" s="19">
        <f t="shared" si="1"/>
        <v>6</v>
      </c>
      <c r="AB171" s="19" t="str">
        <f t="shared" si="2"/>
        <v/>
      </c>
      <c r="AC171" s="19"/>
    </row>
    <row r="172" ht="15.75" customHeight="1">
      <c r="A172" s="12">
        <v>45092.0</v>
      </c>
      <c r="B172" s="13" t="s">
        <v>28</v>
      </c>
      <c r="C172" s="14" t="s">
        <v>876</v>
      </c>
      <c r="D172" s="14" t="s">
        <v>877</v>
      </c>
      <c r="E172" s="14"/>
      <c r="F172" s="14" t="s">
        <v>474</v>
      </c>
      <c r="G172" s="14"/>
      <c r="H172" s="14"/>
      <c r="I172" s="15" t="s">
        <v>878</v>
      </c>
      <c r="J172" s="14"/>
      <c r="K172" s="14"/>
      <c r="L172" s="14" t="s">
        <v>879</v>
      </c>
      <c r="M172" s="14" t="s">
        <v>111</v>
      </c>
      <c r="N172" s="14" t="s">
        <v>34</v>
      </c>
      <c r="O172" s="14" t="b">
        <v>1</v>
      </c>
      <c r="P172" s="14" t="s">
        <v>880</v>
      </c>
      <c r="Q172" s="14"/>
      <c r="R172" s="14"/>
      <c r="S172" s="14" t="s">
        <v>881</v>
      </c>
      <c r="T172" s="14" t="s">
        <v>4069</v>
      </c>
      <c r="U172" s="17"/>
      <c r="V172" s="14"/>
      <c r="W172" s="14"/>
      <c r="X172" s="18"/>
      <c r="Y172" s="18"/>
      <c r="Z172" s="18"/>
      <c r="AA172" s="19">
        <f t="shared" si="1"/>
        <v>6</v>
      </c>
      <c r="AB172" s="19" t="str">
        <f t="shared" si="2"/>
        <v/>
      </c>
      <c r="AC172" s="19"/>
    </row>
    <row r="173" ht="15.75" customHeight="1">
      <c r="A173" s="12">
        <v>45092.0</v>
      </c>
      <c r="B173" s="13" t="s">
        <v>28</v>
      </c>
      <c r="C173" s="14" t="s">
        <v>882</v>
      </c>
      <c r="D173" s="14"/>
      <c r="E173" s="14"/>
      <c r="F173" s="14"/>
      <c r="G173" s="14"/>
      <c r="H173" s="14"/>
      <c r="I173" s="15" t="s">
        <v>883</v>
      </c>
      <c r="J173" s="14"/>
      <c r="K173" s="14"/>
      <c r="L173" s="14" t="s">
        <v>879</v>
      </c>
      <c r="M173" s="14" t="s">
        <v>111</v>
      </c>
      <c r="N173" s="14" t="s">
        <v>216</v>
      </c>
      <c r="O173" s="14" t="b">
        <v>0</v>
      </c>
      <c r="P173" s="14"/>
      <c r="Q173" s="14"/>
      <c r="R173" s="14"/>
      <c r="S173" s="14" t="s">
        <v>884</v>
      </c>
      <c r="T173" s="14" t="s">
        <v>4096</v>
      </c>
      <c r="U173" s="17">
        <v>45111.0</v>
      </c>
      <c r="V173" s="14"/>
      <c r="W173" s="14"/>
      <c r="X173" s="18"/>
      <c r="Y173" s="18"/>
      <c r="Z173" s="18"/>
      <c r="AA173" s="19">
        <f t="shared" si="1"/>
        <v>6</v>
      </c>
      <c r="AB173" s="19" t="str">
        <f t="shared" si="2"/>
        <v/>
      </c>
      <c r="AC173" s="19"/>
    </row>
    <row r="174" ht="15.75" customHeight="1">
      <c r="A174" s="12">
        <v>45092.0</v>
      </c>
      <c r="B174" s="13" t="s">
        <v>28</v>
      </c>
      <c r="C174" s="14" t="s">
        <v>885</v>
      </c>
      <c r="D174" s="242" t="s">
        <v>886</v>
      </c>
      <c r="E174" s="14"/>
      <c r="F174" s="14" t="s">
        <v>4180</v>
      </c>
      <c r="G174" s="14"/>
      <c r="H174" s="14"/>
      <c r="I174" s="15" t="s">
        <v>887</v>
      </c>
      <c r="J174" s="14"/>
      <c r="K174" s="14"/>
      <c r="L174" s="14" t="s">
        <v>888</v>
      </c>
      <c r="M174" s="14" t="s">
        <v>111</v>
      </c>
      <c r="N174" s="14" t="s">
        <v>34</v>
      </c>
      <c r="O174" s="14" t="b">
        <v>1</v>
      </c>
      <c r="P174" s="14" t="s">
        <v>889</v>
      </c>
      <c r="Q174" s="14"/>
      <c r="R174" s="14"/>
      <c r="S174" s="14" t="s">
        <v>890</v>
      </c>
      <c r="T174" s="14" t="s">
        <v>4069</v>
      </c>
      <c r="U174" s="17"/>
      <c r="V174" s="14"/>
      <c r="W174" s="14"/>
      <c r="X174" s="18"/>
      <c r="Y174" s="18"/>
      <c r="Z174" s="18"/>
      <c r="AA174" s="19">
        <f t="shared" si="1"/>
        <v>6</v>
      </c>
      <c r="AB174" s="19" t="str">
        <f t="shared" si="2"/>
        <v/>
      </c>
      <c r="AC174" s="19"/>
    </row>
    <row r="175" ht="15.75" customHeight="1">
      <c r="A175" s="12">
        <v>45092.0</v>
      </c>
      <c r="B175" s="14" t="s">
        <v>84</v>
      </c>
      <c r="C175" s="14" t="s">
        <v>891</v>
      </c>
      <c r="D175" s="14" t="s">
        <v>892</v>
      </c>
      <c r="E175" s="14"/>
      <c r="F175" s="142">
        <v>40251.0</v>
      </c>
      <c r="G175" s="14"/>
      <c r="H175" s="14"/>
      <c r="I175" s="15" t="s">
        <v>893</v>
      </c>
      <c r="J175" s="14"/>
      <c r="K175" s="14"/>
      <c r="L175" s="14" t="s">
        <v>894</v>
      </c>
      <c r="M175" s="14" t="s">
        <v>111</v>
      </c>
      <c r="N175" s="14" t="s">
        <v>13</v>
      </c>
      <c r="O175" s="14" t="b">
        <v>1</v>
      </c>
      <c r="P175" s="14" t="s">
        <v>895</v>
      </c>
      <c r="Q175" s="14"/>
      <c r="R175" s="14"/>
      <c r="S175" s="14" t="s">
        <v>896</v>
      </c>
      <c r="T175" s="14" t="s">
        <v>4199</v>
      </c>
      <c r="U175" s="17"/>
      <c r="V175" s="14"/>
      <c r="W175" s="14"/>
      <c r="X175" s="18"/>
      <c r="Y175" s="18"/>
      <c r="Z175" s="18"/>
      <c r="AA175" s="19">
        <f t="shared" si="1"/>
        <v>6</v>
      </c>
      <c r="AB175" s="19" t="str">
        <f t="shared" si="2"/>
        <v/>
      </c>
      <c r="AC175" s="19"/>
    </row>
    <row r="176" ht="15.75" customHeight="1">
      <c r="A176" s="12">
        <v>45092.0</v>
      </c>
      <c r="B176" s="14" t="s">
        <v>84</v>
      </c>
      <c r="C176" s="14" t="s">
        <v>897</v>
      </c>
      <c r="D176" s="14" t="s">
        <v>898</v>
      </c>
      <c r="E176" s="14"/>
      <c r="F176" s="14" t="s">
        <v>4178</v>
      </c>
      <c r="G176" s="14"/>
      <c r="H176" s="14"/>
      <c r="I176" s="15" t="s">
        <v>899</v>
      </c>
      <c r="J176" s="14"/>
      <c r="K176" s="14"/>
      <c r="L176" s="14" t="s">
        <v>894</v>
      </c>
      <c r="M176" s="14" t="s">
        <v>111</v>
      </c>
      <c r="N176" s="14" t="s">
        <v>13</v>
      </c>
      <c r="O176" s="14" t="b">
        <v>0</v>
      </c>
      <c r="P176" s="14" t="s">
        <v>900</v>
      </c>
      <c r="Q176" s="14"/>
      <c r="R176" s="14"/>
      <c r="S176" s="14" t="s">
        <v>901</v>
      </c>
      <c r="T176" s="14" t="s">
        <v>4069</v>
      </c>
      <c r="U176" s="41"/>
      <c r="V176" s="14"/>
      <c r="W176" s="14"/>
      <c r="X176" s="18"/>
      <c r="Y176" s="18"/>
      <c r="Z176" s="18"/>
      <c r="AA176" s="19">
        <f t="shared" si="1"/>
        <v>6</v>
      </c>
      <c r="AB176" s="19" t="str">
        <f t="shared" si="2"/>
        <v/>
      </c>
      <c r="AC176" s="19"/>
    </row>
    <row r="177" ht="15.75" customHeight="1">
      <c r="A177" s="12">
        <v>45092.0</v>
      </c>
      <c r="B177" s="13" t="s">
        <v>28</v>
      </c>
      <c r="C177" s="14" t="s">
        <v>902</v>
      </c>
      <c r="D177" s="14" t="s">
        <v>711</v>
      </c>
      <c r="E177" s="14"/>
      <c r="F177" s="14" t="s">
        <v>1244</v>
      </c>
      <c r="G177" s="14">
        <v>5.0</v>
      </c>
      <c r="H177" s="14"/>
      <c r="I177" s="15" t="s">
        <v>903</v>
      </c>
      <c r="J177" s="14"/>
      <c r="K177" s="14"/>
      <c r="L177" s="14" t="s">
        <v>904</v>
      </c>
      <c r="M177" s="14" t="s">
        <v>111</v>
      </c>
      <c r="N177" s="14" t="s">
        <v>13</v>
      </c>
      <c r="O177" s="14" t="b">
        <v>1</v>
      </c>
      <c r="P177" s="14" t="s">
        <v>905</v>
      </c>
      <c r="Q177" s="14"/>
      <c r="R177" s="14"/>
      <c r="S177" s="14" t="s">
        <v>906</v>
      </c>
      <c r="T177" s="14" t="s">
        <v>4069</v>
      </c>
      <c r="U177" s="17"/>
      <c r="V177" s="14"/>
      <c r="W177" s="14"/>
      <c r="X177" s="18"/>
      <c r="Y177" s="18"/>
      <c r="Z177" s="18"/>
      <c r="AA177" s="19">
        <f t="shared" si="1"/>
        <v>6</v>
      </c>
      <c r="AB177" s="19" t="str">
        <f t="shared" si="2"/>
        <v/>
      </c>
      <c r="AC177" s="19"/>
    </row>
    <row r="178" ht="15.75" customHeight="1">
      <c r="A178" s="12">
        <v>45092.0</v>
      </c>
      <c r="B178" s="14" t="s">
        <v>84</v>
      </c>
      <c r="C178" s="14" t="s">
        <v>907</v>
      </c>
      <c r="D178" s="14" t="s">
        <v>908</v>
      </c>
      <c r="E178" s="14"/>
      <c r="F178" s="14" t="s">
        <v>505</v>
      </c>
      <c r="G178" s="14"/>
      <c r="H178" s="14"/>
      <c r="I178" s="15" t="s">
        <v>909</v>
      </c>
      <c r="J178" s="14"/>
      <c r="K178" s="14"/>
      <c r="L178" s="14" t="s">
        <v>894</v>
      </c>
      <c r="M178" s="14" t="s">
        <v>111</v>
      </c>
      <c r="N178" s="14" t="s">
        <v>13</v>
      </c>
      <c r="O178" s="14" t="b">
        <v>0</v>
      </c>
      <c r="P178" s="14"/>
      <c r="Q178" s="14"/>
      <c r="R178" s="14"/>
      <c r="S178" s="14" t="s">
        <v>910</v>
      </c>
      <c r="T178" s="14" t="s">
        <v>4069</v>
      </c>
      <c r="U178" s="17"/>
      <c r="V178" s="14"/>
      <c r="W178" s="14"/>
      <c r="X178" s="18"/>
      <c r="Y178" s="18"/>
      <c r="Z178" s="18"/>
      <c r="AA178" s="19">
        <f t="shared" si="1"/>
        <v>6</v>
      </c>
      <c r="AB178" s="19" t="str">
        <f t="shared" si="2"/>
        <v/>
      </c>
      <c r="AC178" s="19"/>
    </row>
    <row r="179" ht="15.75" customHeight="1">
      <c r="A179" s="12">
        <v>45092.0</v>
      </c>
      <c r="B179" s="13" t="s">
        <v>28</v>
      </c>
      <c r="C179" s="14" t="s">
        <v>911</v>
      </c>
      <c r="D179" s="14" t="s">
        <v>912</v>
      </c>
      <c r="E179" s="14"/>
      <c r="F179" s="14" t="s">
        <v>505</v>
      </c>
      <c r="G179" s="14"/>
      <c r="H179" s="14"/>
      <c r="I179" s="15" t="s">
        <v>913</v>
      </c>
      <c r="J179" s="14"/>
      <c r="K179" s="14"/>
      <c r="L179" s="14" t="s">
        <v>914</v>
      </c>
      <c r="M179" s="14" t="s">
        <v>111</v>
      </c>
      <c r="N179" s="14" t="s">
        <v>13</v>
      </c>
      <c r="O179" s="14" t="b">
        <v>1</v>
      </c>
      <c r="P179" s="14" t="s">
        <v>905</v>
      </c>
      <c r="Q179" s="14"/>
      <c r="R179" s="14"/>
      <c r="S179" s="14" t="s">
        <v>4200</v>
      </c>
      <c r="T179" s="14" t="s">
        <v>4197</v>
      </c>
      <c r="U179" s="17"/>
      <c r="V179" s="14"/>
      <c r="W179" s="14"/>
      <c r="X179" s="18"/>
      <c r="Y179" s="18"/>
      <c r="Z179" s="18"/>
      <c r="AA179" s="19">
        <f t="shared" si="1"/>
        <v>6</v>
      </c>
      <c r="AB179" s="19" t="str">
        <f t="shared" si="2"/>
        <v/>
      </c>
      <c r="AC179" s="19"/>
    </row>
    <row r="180" ht="15.75" customHeight="1">
      <c r="A180" s="12">
        <v>45092.0</v>
      </c>
      <c r="B180" s="14" t="s">
        <v>84</v>
      </c>
      <c r="C180" s="14" t="s">
        <v>916</v>
      </c>
      <c r="D180" s="14" t="s">
        <v>917</v>
      </c>
      <c r="E180" s="14"/>
      <c r="F180" s="14" t="s">
        <v>425</v>
      </c>
      <c r="G180" s="14">
        <v>4.0</v>
      </c>
      <c r="H180" s="14"/>
      <c r="I180" s="15" t="s">
        <v>918</v>
      </c>
      <c r="J180" s="14"/>
      <c r="K180" s="14"/>
      <c r="L180" s="14" t="s">
        <v>919</v>
      </c>
      <c r="M180" s="14" t="s">
        <v>111</v>
      </c>
      <c r="N180" s="14" t="s">
        <v>34</v>
      </c>
      <c r="O180" s="14" t="b">
        <v>1</v>
      </c>
      <c r="P180" s="14" t="s">
        <v>920</v>
      </c>
      <c r="Q180" s="14"/>
      <c r="R180" s="14"/>
      <c r="S180" s="14" t="s">
        <v>921</v>
      </c>
      <c r="T180" s="14" t="s">
        <v>4201</v>
      </c>
      <c r="U180" s="17">
        <v>45170.0</v>
      </c>
      <c r="V180" s="14"/>
      <c r="W180" s="14"/>
      <c r="X180" s="18"/>
      <c r="Y180" s="18"/>
      <c r="Z180" s="18"/>
      <c r="AA180" s="19">
        <f t="shared" si="1"/>
        <v>6</v>
      </c>
      <c r="AB180" s="19" t="str">
        <f t="shared" si="2"/>
        <v/>
      </c>
      <c r="AC180" s="19"/>
    </row>
    <row r="181" ht="15.75" customHeight="1">
      <c r="A181" s="12">
        <v>45092.0</v>
      </c>
      <c r="B181" s="14" t="s">
        <v>84</v>
      </c>
      <c r="C181" s="14" t="s">
        <v>922</v>
      </c>
      <c r="D181" s="14"/>
      <c r="E181" s="14"/>
      <c r="F181" s="14"/>
      <c r="G181" s="14"/>
      <c r="H181" s="14"/>
      <c r="I181" s="15" t="s">
        <v>923</v>
      </c>
      <c r="J181" s="14"/>
      <c r="K181" s="14"/>
      <c r="L181" s="14" t="s">
        <v>919</v>
      </c>
      <c r="M181" s="14" t="s">
        <v>111</v>
      </c>
      <c r="N181" s="14" t="s">
        <v>216</v>
      </c>
      <c r="O181" s="14" t="b">
        <v>0</v>
      </c>
      <c r="P181" s="14"/>
      <c r="Q181" s="14"/>
      <c r="R181" s="14"/>
      <c r="S181" s="14" t="s">
        <v>924</v>
      </c>
      <c r="T181" s="14" t="s">
        <v>4096</v>
      </c>
      <c r="U181" s="17">
        <v>45101.0</v>
      </c>
      <c r="V181" s="14"/>
      <c r="W181" s="14"/>
      <c r="X181" s="18"/>
      <c r="Y181" s="18"/>
      <c r="Z181" s="18"/>
      <c r="AA181" s="19">
        <f t="shared" si="1"/>
        <v>6</v>
      </c>
      <c r="AB181" s="19" t="str">
        <f t="shared" si="2"/>
        <v/>
      </c>
      <c r="AC181" s="19"/>
    </row>
    <row r="182" ht="15.75" customHeight="1">
      <c r="A182" s="12">
        <v>45092.0</v>
      </c>
      <c r="B182" s="14" t="s">
        <v>73</v>
      </c>
      <c r="C182" s="14" t="s">
        <v>925</v>
      </c>
      <c r="D182" s="14" t="s">
        <v>509</v>
      </c>
      <c r="E182" s="14"/>
      <c r="F182" s="142">
        <v>41108.0</v>
      </c>
      <c r="G182" s="14">
        <v>5.0</v>
      </c>
      <c r="H182" s="14"/>
      <c r="I182" s="15" t="s">
        <v>926</v>
      </c>
      <c r="J182" s="14"/>
      <c r="K182" s="14"/>
      <c r="L182" s="14" t="s">
        <v>4202</v>
      </c>
      <c r="M182" s="14" t="s">
        <v>111</v>
      </c>
      <c r="N182" s="14" t="s">
        <v>34</v>
      </c>
      <c r="O182" s="14" t="b">
        <v>1</v>
      </c>
      <c r="P182" s="14" t="s">
        <v>4203</v>
      </c>
      <c r="Q182" s="14"/>
      <c r="R182" s="14"/>
      <c r="S182" s="14" t="s">
        <v>929</v>
      </c>
      <c r="T182" s="14" t="s">
        <v>4069</v>
      </c>
      <c r="U182" s="17"/>
      <c r="V182" s="14"/>
      <c r="W182" s="14"/>
      <c r="X182" s="18"/>
      <c r="Y182" s="18"/>
      <c r="Z182" s="18"/>
      <c r="AA182" s="19">
        <f t="shared" si="1"/>
        <v>6</v>
      </c>
      <c r="AB182" s="19" t="str">
        <f t="shared" si="2"/>
        <v/>
      </c>
      <c r="AC182" s="19"/>
    </row>
    <row r="183" ht="15.75" customHeight="1">
      <c r="A183" s="26">
        <v>45092.0</v>
      </c>
      <c r="B183" s="13" t="s">
        <v>28</v>
      </c>
      <c r="C183" s="27" t="s">
        <v>930</v>
      </c>
      <c r="D183" s="27" t="s">
        <v>931</v>
      </c>
      <c r="E183" s="27"/>
      <c r="F183" s="32">
        <v>42122.0</v>
      </c>
      <c r="G183" s="27" t="s">
        <v>932</v>
      </c>
      <c r="H183" s="27"/>
      <c r="I183" s="72" t="s">
        <v>933</v>
      </c>
      <c r="J183" s="27"/>
      <c r="K183" s="27"/>
      <c r="L183" s="27" t="s">
        <v>934</v>
      </c>
      <c r="M183" s="27" t="s">
        <v>111</v>
      </c>
      <c r="N183" s="27" t="s">
        <v>67</v>
      </c>
      <c r="O183" s="14" t="b">
        <v>1</v>
      </c>
      <c r="P183" s="27" t="s">
        <v>935</v>
      </c>
      <c r="Q183" s="27" t="s">
        <v>4204</v>
      </c>
      <c r="R183" s="27" t="s">
        <v>936</v>
      </c>
      <c r="S183" s="27" t="s">
        <v>937</v>
      </c>
      <c r="T183" s="27" t="s">
        <v>4205</v>
      </c>
      <c r="U183" s="26"/>
      <c r="V183" s="32">
        <v>45093.0</v>
      </c>
      <c r="W183" s="27"/>
      <c r="X183" s="25">
        <v>8750000.0</v>
      </c>
      <c r="Y183" s="25">
        <v>1312500.0</v>
      </c>
      <c r="Z183" s="25">
        <v>7437500.0</v>
      </c>
      <c r="AA183" s="19">
        <f t="shared" si="1"/>
        <v>6</v>
      </c>
      <c r="AB183" s="19">
        <f t="shared" si="2"/>
        <v>6</v>
      </c>
      <c r="AC183" s="19"/>
    </row>
    <row r="184" ht="15.75" customHeight="1">
      <c r="A184" s="26">
        <v>45092.0</v>
      </c>
      <c r="B184" s="27" t="s">
        <v>84</v>
      </c>
      <c r="C184" s="27" t="s">
        <v>938</v>
      </c>
      <c r="D184" s="27" t="s">
        <v>939</v>
      </c>
      <c r="E184" s="27"/>
      <c r="F184" s="27">
        <v>2011.0</v>
      </c>
      <c r="G184" s="27" t="s">
        <v>87</v>
      </c>
      <c r="H184" s="27"/>
      <c r="I184" s="34" t="s">
        <v>940</v>
      </c>
      <c r="J184" s="27"/>
      <c r="K184" s="27"/>
      <c r="L184" s="27" t="s">
        <v>941</v>
      </c>
      <c r="M184" s="27" t="s">
        <v>111</v>
      </c>
      <c r="N184" s="27" t="s">
        <v>67</v>
      </c>
      <c r="O184" s="14" t="b">
        <v>1</v>
      </c>
      <c r="P184" s="27" t="s">
        <v>905</v>
      </c>
      <c r="Q184" s="27" t="s">
        <v>91</v>
      </c>
      <c r="R184" s="27"/>
      <c r="S184" s="27" t="s">
        <v>942</v>
      </c>
      <c r="T184" s="27" t="s">
        <v>4197</v>
      </c>
      <c r="U184" s="26"/>
      <c r="V184" s="32">
        <v>45094.0</v>
      </c>
      <c r="W184" s="27" t="s">
        <v>91</v>
      </c>
      <c r="X184" s="25">
        <v>3062000.0</v>
      </c>
      <c r="Y184" s="25">
        <v>153100.0</v>
      </c>
      <c r="Z184" s="25">
        <v>2908900.0</v>
      </c>
      <c r="AA184" s="19">
        <f t="shared" si="1"/>
        <v>6</v>
      </c>
      <c r="AB184" s="19">
        <f t="shared" si="2"/>
        <v>6</v>
      </c>
      <c r="AC184" s="19"/>
    </row>
    <row r="185" ht="15.75" customHeight="1">
      <c r="A185" s="12">
        <v>45092.0</v>
      </c>
      <c r="B185" s="13" t="s">
        <v>28</v>
      </c>
      <c r="C185" s="14" t="s">
        <v>943</v>
      </c>
      <c r="D185" s="14" t="s">
        <v>944</v>
      </c>
      <c r="E185" s="14"/>
      <c r="F185" s="14" t="s">
        <v>4206</v>
      </c>
      <c r="G185" s="14"/>
      <c r="H185" s="14"/>
      <c r="I185" s="15" t="s">
        <v>945</v>
      </c>
      <c r="J185" s="14"/>
      <c r="K185" s="14"/>
      <c r="L185" s="14"/>
      <c r="M185" s="14" t="s">
        <v>111</v>
      </c>
      <c r="N185" s="14" t="s">
        <v>13</v>
      </c>
      <c r="O185" s="14" t="b">
        <v>1</v>
      </c>
      <c r="P185" s="14" t="s">
        <v>946</v>
      </c>
      <c r="Q185" s="14"/>
      <c r="R185" s="14"/>
      <c r="S185" s="14" t="s">
        <v>947</v>
      </c>
      <c r="T185" s="14" t="s">
        <v>4197</v>
      </c>
      <c r="U185" s="17"/>
      <c r="V185" s="14"/>
      <c r="W185" s="14"/>
      <c r="X185" s="18"/>
      <c r="Y185" s="18"/>
      <c r="Z185" s="18"/>
      <c r="AA185" s="19">
        <f t="shared" si="1"/>
        <v>6</v>
      </c>
      <c r="AB185" s="19" t="str">
        <f t="shared" si="2"/>
        <v/>
      </c>
      <c r="AC185" s="19"/>
    </row>
    <row r="186" ht="15.75" customHeight="1">
      <c r="A186" s="26">
        <v>45092.0</v>
      </c>
      <c r="B186" s="13" t="s">
        <v>28</v>
      </c>
      <c r="C186" s="27" t="s">
        <v>943</v>
      </c>
      <c r="D186" s="27" t="s">
        <v>948</v>
      </c>
      <c r="E186" s="27"/>
      <c r="F186" s="27"/>
      <c r="G186" s="27"/>
      <c r="H186" s="27"/>
      <c r="I186" s="34"/>
      <c r="J186" s="27"/>
      <c r="K186" s="27"/>
      <c r="L186" s="27"/>
      <c r="M186" s="27" t="s">
        <v>111</v>
      </c>
      <c r="N186" s="27" t="s">
        <v>67</v>
      </c>
      <c r="O186" s="14" t="b">
        <v>1</v>
      </c>
      <c r="P186" s="27" t="s">
        <v>950</v>
      </c>
      <c r="Q186" s="27" t="s">
        <v>4207</v>
      </c>
      <c r="R186" s="27" t="s">
        <v>951</v>
      </c>
      <c r="S186" s="27" t="s">
        <v>952</v>
      </c>
      <c r="T186" s="27" t="s">
        <v>4195</v>
      </c>
      <c r="U186" s="26"/>
      <c r="V186" s="32">
        <v>45106.0</v>
      </c>
      <c r="W186" s="27" t="s">
        <v>4208</v>
      </c>
      <c r="X186" s="25">
        <v>6124000.0</v>
      </c>
      <c r="Y186" s="25">
        <v>918600.0</v>
      </c>
      <c r="Z186" s="25">
        <v>5205400.0</v>
      </c>
      <c r="AA186" s="19">
        <f t="shared" si="1"/>
        <v>6</v>
      </c>
      <c r="AB186" s="19">
        <f t="shared" si="2"/>
        <v>6</v>
      </c>
      <c r="AC186" s="19"/>
    </row>
    <row r="187" ht="15.75" customHeight="1">
      <c r="A187" s="12">
        <v>45092.0</v>
      </c>
      <c r="B187" s="14" t="s">
        <v>84</v>
      </c>
      <c r="C187" s="14" t="s">
        <v>953</v>
      </c>
      <c r="D187" s="14" t="s">
        <v>954</v>
      </c>
      <c r="E187" s="14"/>
      <c r="F187" s="14" t="s">
        <v>425</v>
      </c>
      <c r="G187" s="14" t="s">
        <v>474</v>
      </c>
      <c r="H187" s="14"/>
      <c r="I187" s="15" t="s">
        <v>955</v>
      </c>
      <c r="J187" s="14"/>
      <c r="K187" s="14"/>
      <c r="L187" s="14" t="s">
        <v>956</v>
      </c>
      <c r="M187" s="14" t="s">
        <v>111</v>
      </c>
      <c r="N187" s="14" t="s">
        <v>34</v>
      </c>
      <c r="O187" s="14" t="b">
        <v>1</v>
      </c>
      <c r="P187" s="14" t="s">
        <v>957</v>
      </c>
      <c r="Q187" s="14"/>
      <c r="R187" s="14"/>
      <c r="S187" s="14" t="s">
        <v>958</v>
      </c>
      <c r="T187" s="14" t="s">
        <v>4069</v>
      </c>
      <c r="U187" s="17"/>
      <c r="V187" s="14"/>
      <c r="W187" s="14"/>
      <c r="X187" s="18"/>
      <c r="Y187" s="18"/>
      <c r="Z187" s="18"/>
      <c r="AA187" s="19">
        <f t="shared" si="1"/>
        <v>6</v>
      </c>
      <c r="AB187" s="19" t="str">
        <f t="shared" si="2"/>
        <v/>
      </c>
      <c r="AC187" s="19"/>
    </row>
    <row r="188" ht="15.75" customHeight="1">
      <c r="A188" s="12">
        <v>45093.0</v>
      </c>
      <c r="B188" s="13" t="s">
        <v>28</v>
      </c>
      <c r="C188" s="14" t="s">
        <v>959</v>
      </c>
      <c r="D188" s="14"/>
      <c r="E188" s="14"/>
      <c r="F188" s="14" t="s">
        <v>4209</v>
      </c>
      <c r="G188" s="14"/>
      <c r="H188" s="14"/>
      <c r="I188" s="15" t="s">
        <v>960</v>
      </c>
      <c r="J188" s="14"/>
      <c r="K188" s="14"/>
      <c r="L188" s="14" t="s">
        <v>961</v>
      </c>
      <c r="M188" s="14" t="s">
        <v>111</v>
      </c>
      <c r="N188" s="14" t="s">
        <v>333</v>
      </c>
      <c r="O188" s="14" t="b">
        <v>0</v>
      </c>
      <c r="P188" s="14"/>
      <c r="Q188" s="14"/>
      <c r="R188" s="14"/>
      <c r="S188" s="14" t="s">
        <v>962</v>
      </c>
      <c r="T188" s="14" t="s">
        <v>4210</v>
      </c>
      <c r="U188" s="17">
        <v>45111.0</v>
      </c>
      <c r="V188" s="14"/>
      <c r="W188" s="14"/>
      <c r="X188" s="18"/>
      <c r="Y188" s="18"/>
      <c r="Z188" s="18"/>
      <c r="AA188" s="19">
        <f t="shared" si="1"/>
        <v>6</v>
      </c>
      <c r="AB188" s="19" t="str">
        <f t="shared" si="2"/>
        <v/>
      </c>
      <c r="AC188" s="19"/>
    </row>
    <row r="189" ht="15.75" customHeight="1">
      <c r="A189" s="12">
        <v>45093.0</v>
      </c>
      <c r="B189" s="13" t="s">
        <v>28</v>
      </c>
      <c r="C189" s="14" t="s">
        <v>963</v>
      </c>
      <c r="D189" s="14"/>
      <c r="E189" s="14"/>
      <c r="F189" s="14"/>
      <c r="G189" s="14"/>
      <c r="H189" s="14"/>
      <c r="I189" s="15" t="s">
        <v>964</v>
      </c>
      <c r="J189" s="14"/>
      <c r="K189" s="14"/>
      <c r="L189" s="14" t="s">
        <v>965</v>
      </c>
      <c r="M189" s="14" t="s">
        <v>111</v>
      </c>
      <c r="N189" s="14" t="s">
        <v>216</v>
      </c>
      <c r="O189" s="14" t="b">
        <v>0</v>
      </c>
      <c r="P189" s="14"/>
      <c r="Q189" s="14"/>
      <c r="R189" s="14"/>
      <c r="S189" s="14" t="s">
        <v>966</v>
      </c>
      <c r="T189" s="14" t="s">
        <v>4096</v>
      </c>
      <c r="U189" s="17">
        <v>45097.0</v>
      </c>
      <c r="V189" s="14"/>
      <c r="W189" s="14"/>
      <c r="X189" s="18"/>
      <c r="Y189" s="18"/>
      <c r="Z189" s="18"/>
      <c r="AA189" s="19">
        <f t="shared" si="1"/>
        <v>6</v>
      </c>
      <c r="AB189" s="19" t="str">
        <f t="shared" si="2"/>
        <v/>
      </c>
      <c r="AC189" s="19"/>
    </row>
    <row r="190" ht="15.75" customHeight="1">
      <c r="A190" s="12">
        <v>45093.0</v>
      </c>
      <c r="B190" s="13" t="s">
        <v>28</v>
      </c>
      <c r="C190" s="14" t="s">
        <v>967</v>
      </c>
      <c r="D190" s="14"/>
      <c r="E190" s="14"/>
      <c r="F190" s="14"/>
      <c r="G190" s="14"/>
      <c r="H190" s="14"/>
      <c r="I190" s="15" t="s">
        <v>968</v>
      </c>
      <c r="J190" s="14"/>
      <c r="K190" s="14"/>
      <c r="L190" s="14" t="s">
        <v>4211</v>
      </c>
      <c r="M190" s="14" t="s">
        <v>111</v>
      </c>
      <c r="N190" s="14" t="s">
        <v>216</v>
      </c>
      <c r="O190" s="14" t="b">
        <v>0</v>
      </c>
      <c r="P190" s="14"/>
      <c r="Q190" s="14"/>
      <c r="R190" s="14"/>
      <c r="S190" s="14" t="s">
        <v>966</v>
      </c>
      <c r="T190" s="14" t="s">
        <v>4096</v>
      </c>
      <c r="U190" s="17">
        <v>45097.0</v>
      </c>
      <c r="V190" s="14"/>
      <c r="W190" s="14"/>
      <c r="X190" s="18"/>
      <c r="Y190" s="18"/>
      <c r="Z190" s="18"/>
      <c r="AA190" s="19">
        <f t="shared" si="1"/>
        <v>6</v>
      </c>
      <c r="AB190" s="19" t="str">
        <f t="shared" si="2"/>
        <v/>
      </c>
      <c r="AC190" s="19"/>
    </row>
    <row r="191" ht="15.75" customHeight="1">
      <c r="A191" s="12">
        <v>45093.0</v>
      </c>
      <c r="B191" s="13" t="s">
        <v>28</v>
      </c>
      <c r="C191" s="14" t="s">
        <v>970</v>
      </c>
      <c r="D191" s="14"/>
      <c r="E191" s="14"/>
      <c r="F191" s="14"/>
      <c r="G191" s="14"/>
      <c r="H191" s="14"/>
      <c r="I191" s="15" t="s">
        <v>971</v>
      </c>
      <c r="J191" s="14"/>
      <c r="K191" s="14"/>
      <c r="L191" s="14" t="s">
        <v>972</v>
      </c>
      <c r="M191" s="14" t="s">
        <v>111</v>
      </c>
      <c r="N191" s="14" t="s">
        <v>216</v>
      </c>
      <c r="O191" s="14" t="b">
        <v>0</v>
      </c>
      <c r="P191" s="14"/>
      <c r="Q191" s="14"/>
      <c r="R191" s="14"/>
      <c r="S191" s="14" t="s">
        <v>966</v>
      </c>
      <c r="T191" s="14" t="s">
        <v>4096</v>
      </c>
      <c r="U191" s="17">
        <v>45097.0</v>
      </c>
      <c r="V191" s="14"/>
      <c r="W191" s="14"/>
      <c r="X191" s="18"/>
      <c r="Y191" s="18"/>
      <c r="Z191" s="18"/>
      <c r="AA191" s="19">
        <f t="shared" si="1"/>
        <v>6</v>
      </c>
      <c r="AB191" s="19" t="str">
        <f t="shared" si="2"/>
        <v/>
      </c>
      <c r="AC191" s="19"/>
    </row>
    <row r="192" ht="15.75" customHeight="1">
      <c r="A192" s="12">
        <v>45093.0</v>
      </c>
      <c r="B192" s="13" t="s">
        <v>28</v>
      </c>
      <c r="C192" s="14" t="s">
        <v>973</v>
      </c>
      <c r="D192" s="14"/>
      <c r="E192" s="14"/>
      <c r="F192" s="14" t="s">
        <v>4212</v>
      </c>
      <c r="G192" s="14"/>
      <c r="H192" s="14"/>
      <c r="I192" s="15" t="s">
        <v>974</v>
      </c>
      <c r="J192" s="14"/>
      <c r="K192" s="14"/>
      <c r="L192" s="14" t="s">
        <v>975</v>
      </c>
      <c r="M192" s="14" t="s">
        <v>111</v>
      </c>
      <c r="N192" s="14" t="s">
        <v>565</v>
      </c>
      <c r="O192" s="14" t="b">
        <v>0</v>
      </c>
      <c r="P192" s="14"/>
      <c r="Q192" s="14"/>
      <c r="R192" s="14"/>
      <c r="S192" s="14" t="s">
        <v>976</v>
      </c>
      <c r="T192" s="14" t="s">
        <v>4096</v>
      </c>
      <c r="U192" s="17"/>
      <c r="V192" s="14"/>
      <c r="W192" s="14"/>
      <c r="X192" s="18"/>
      <c r="Y192" s="18"/>
      <c r="Z192" s="18"/>
      <c r="AA192" s="19">
        <f t="shared" si="1"/>
        <v>6</v>
      </c>
      <c r="AB192" s="19" t="str">
        <f t="shared" si="2"/>
        <v/>
      </c>
      <c r="AC192" s="19"/>
    </row>
    <row r="193" ht="15.75" customHeight="1">
      <c r="A193" s="12">
        <v>45093.0</v>
      </c>
      <c r="B193" s="14" t="s">
        <v>84</v>
      </c>
      <c r="C193" s="14" t="s">
        <v>4213</v>
      </c>
      <c r="D193" s="14" t="s">
        <v>4214</v>
      </c>
      <c r="E193" s="14"/>
      <c r="F193" s="14">
        <v>2011.0</v>
      </c>
      <c r="G193" s="14"/>
      <c r="H193" s="14"/>
      <c r="I193" s="15"/>
      <c r="J193" s="14"/>
      <c r="K193" s="14"/>
      <c r="L193" s="14"/>
      <c r="M193" s="14" t="s">
        <v>111</v>
      </c>
      <c r="N193" s="14" t="s">
        <v>158</v>
      </c>
      <c r="O193" s="14" t="b">
        <v>0</v>
      </c>
      <c r="P193" s="43" t="s">
        <v>979</v>
      </c>
      <c r="Q193" s="14"/>
      <c r="R193" s="14"/>
      <c r="S193" s="14"/>
      <c r="T193" s="14"/>
      <c r="U193" s="17"/>
      <c r="V193" s="14"/>
      <c r="W193" s="14"/>
      <c r="X193" s="18"/>
      <c r="Y193" s="18"/>
      <c r="Z193" s="18"/>
      <c r="AA193" s="19">
        <f t="shared" si="1"/>
        <v>6</v>
      </c>
      <c r="AB193" s="19" t="str">
        <f t="shared" si="2"/>
        <v/>
      </c>
      <c r="AC193" s="19"/>
    </row>
    <row r="194" ht="15.75" customHeight="1">
      <c r="A194" s="12">
        <v>45093.0</v>
      </c>
      <c r="B194" s="14" t="s">
        <v>84</v>
      </c>
      <c r="C194" s="14" t="s">
        <v>4213</v>
      </c>
      <c r="D194" s="14" t="s">
        <v>4215</v>
      </c>
      <c r="E194" s="14"/>
      <c r="F194" s="14" t="s">
        <v>4216</v>
      </c>
      <c r="G194" s="14" t="s">
        <v>981</v>
      </c>
      <c r="H194" s="14"/>
      <c r="I194" s="15" t="s">
        <v>982</v>
      </c>
      <c r="J194" s="14"/>
      <c r="K194" s="14"/>
      <c r="L194" s="14"/>
      <c r="M194" s="14" t="s">
        <v>111</v>
      </c>
      <c r="N194" s="14" t="s">
        <v>13</v>
      </c>
      <c r="O194" s="14" t="b">
        <v>1</v>
      </c>
      <c r="P194" s="14" t="s">
        <v>983</v>
      </c>
      <c r="Q194" s="14"/>
      <c r="R194" s="14"/>
      <c r="S194" s="14" t="s">
        <v>984</v>
      </c>
      <c r="T194" s="14" t="s">
        <v>4197</v>
      </c>
      <c r="U194" s="17">
        <v>45164.0</v>
      </c>
      <c r="V194" s="14"/>
      <c r="W194" s="14"/>
      <c r="X194" s="18"/>
      <c r="Y194" s="18"/>
      <c r="Z194" s="18"/>
      <c r="AA194" s="19">
        <f t="shared" si="1"/>
        <v>6</v>
      </c>
      <c r="AB194" s="19" t="str">
        <f t="shared" si="2"/>
        <v/>
      </c>
      <c r="AC194" s="19"/>
    </row>
    <row r="195" ht="15.75" customHeight="1">
      <c r="A195" s="12">
        <v>45093.0</v>
      </c>
      <c r="B195" s="13" t="s">
        <v>28</v>
      </c>
      <c r="C195" s="14" t="s">
        <v>985</v>
      </c>
      <c r="D195" s="14" t="s">
        <v>986</v>
      </c>
      <c r="E195" s="14"/>
      <c r="F195" s="14" t="s">
        <v>437</v>
      </c>
      <c r="G195" s="14" t="s">
        <v>987</v>
      </c>
      <c r="H195" s="14"/>
      <c r="I195" s="15" t="s">
        <v>988</v>
      </c>
      <c r="J195" s="14"/>
      <c r="K195" s="14"/>
      <c r="L195" s="14" t="s">
        <v>989</v>
      </c>
      <c r="M195" s="14" t="s">
        <v>111</v>
      </c>
      <c r="N195" s="14" t="s">
        <v>34</v>
      </c>
      <c r="O195" s="14" t="b">
        <v>1</v>
      </c>
      <c r="P195" s="14" t="s">
        <v>990</v>
      </c>
      <c r="Q195" s="14"/>
      <c r="R195" s="14"/>
      <c r="S195" s="14" t="s">
        <v>991</v>
      </c>
      <c r="T195" s="14" t="s">
        <v>4069</v>
      </c>
      <c r="U195" s="17"/>
      <c r="V195" s="14"/>
      <c r="W195" s="14"/>
      <c r="X195" s="18"/>
      <c r="Y195" s="18"/>
      <c r="Z195" s="18"/>
      <c r="AA195" s="19">
        <f t="shared" si="1"/>
        <v>6</v>
      </c>
      <c r="AB195" s="19" t="str">
        <f t="shared" si="2"/>
        <v/>
      </c>
      <c r="AC195" s="19"/>
    </row>
    <row r="196" ht="15.75" customHeight="1">
      <c r="A196" s="26">
        <v>45093.0</v>
      </c>
      <c r="B196" s="13" t="s">
        <v>28</v>
      </c>
      <c r="C196" s="27" t="s">
        <v>4217</v>
      </c>
      <c r="D196" s="27" t="s">
        <v>4218</v>
      </c>
      <c r="E196" s="27"/>
      <c r="F196" s="27" t="s">
        <v>1244</v>
      </c>
      <c r="G196" s="27"/>
      <c r="H196" s="27"/>
      <c r="I196" s="34" t="s">
        <v>994</v>
      </c>
      <c r="J196" s="27"/>
      <c r="K196" s="27"/>
      <c r="L196" s="27" t="s">
        <v>995</v>
      </c>
      <c r="M196" s="27" t="s">
        <v>111</v>
      </c>
      <c r="N196" s="27" t="s">
        <v>67</v>
      </c>
      <c r="O196" s="14" t="b">
        <v>1</v>
      </c>
      <c r="P196" s="27" t="s">
        <v>996</v>
      </c>
      <c r="Q196" s="27"/>
      <c r="R196" s="27"/>
      <c r="S196" s="27" t="s">
        <v>997</v>
      </c>
      <c r="T196" s="27" t="s">
        <v>4197</v>
      </c>
      <c r="U196" s="26"/>
      <c r="V196" s="32">
        <v>45097.0</v>
      </c>
      <c r="W196" s="27" t="s">
        <v>91</v>
      </c>
      <c r="X196" s="25">
        <v>3062000.0</v>
      </c>
      <c r="Y196" s="25">
        <v>153100.0</v>
      </c>
      <c r="Z196" s="25">
        <v>2908900.0</v>
      </c>
      <c r="AA196" s="19">
        <f t="shared" si="1"/>
        <v>6</v>
      </c>
      <c r="AB196" s="19">
        <f t="shared" si="2"/>
        <v>6</v>
      </c>
      <c r="AC196" s="19"/>
    </row>
    <row r="197" ht="15.75" customHeight="1">
      <c r="A197" s="12">
        <v>45093.0</v>
      </c>
      <c r="B197" s="14" t="s">
        <v>201</v>
      </c>
      <c r="C197" s="14" t="s">
        <v>4219</v>
      </c>
      <c r="D197" s="14" t="s">
        <v>999</v>
      </c>
      <c r="E197" s="14"/>
      <c r="F197" s="14" t="s">
        <v>568</v>
      </c>
      <c r="G197" s="14">
        <v>5.0</v>
      </c>
      <c r="H197" s="14"/>
      <c r="I197" s="15" t="s">
        <v>1000</v>
      </c>
      <c r="J197" s="14"/>
      <c r="K197" s="14"/>
      <c r="L197" s="14"/>
      <c r="M197" s="14" t="s">
        <v>111</v>
      </c>
      <c r="N197" s="14" t="s">
        <v>34</v>
      </c>
      <c r="O197" s="14" t="b">
        <v>0</v>
      </c>
      <c r="P197" s="14"/>
      <c r="Q197" s="14"/>
      <c r="R197" s="14"/>
      <c r="S197" s="14" t="s">
        <v>1002</v>
      </c>
      <c r="T197" s="14" t="s">
        <v>4085</v>
      </c>
      <c r="U197" s="17"/>
      <c r="V197" s="14"/>
      <c r="W197" s="14"/>
      <c r="X197" s="18"/>
      <c r="Y197" s="18"/>
      <c r="Z197" s="18"/>
      <c r="AA197" s="19">
        <f t="shared" si="1"/>
        <v>6</v>
      </c>
      <c r="AB197" s="19" t="str">
        <f t="shared" si="2"/>
        <v/>
      </c>
      <c r="AC197" s="19" t="s">
        <v>373</v>
      </c>
    </row>
    <row r="198" ht="15.75" customHeight="1">
      <c r="A198" s="12">
        <v>45093.0</v>
      </c>
      <c r="B198" s="14" t="s">
        <v>84</v>
      </c>
      <c r="C198" s="14" t="s">
        <v>4220</v>
      </c>
      <c r="D198" s="14" t="s">
        <v>1004</v>
      </c>
      <c r="E198" s="14"/>
      <c r="F198" s="142">
        <v>41279.0</v>
      </c>
      <c r="G198" s="14"/>
      <c r="H198" s="14"/>
      <c r="I198" s="15" t="s">
        <v>1005</v>
      </c>
      <c r="J198" s="14"/>
      <c r="K198" s="14"/>
      <c r="L198" s="14"/>
      <c r="M198" s="14" t="s">
        <v>48</v>
      </c>
      <c r="N198" s="14" t="s">
        <v>34</v>
      </c>
      <c r="O198" s="14" t="b">
        <v>1</v>
      </c>
      <c r="P198" s="14" t="s">
        <v>1006</v>
      </c>
      <c r="Q198" s="14"/>
      <c r="R198" s="14"/>
      <c r="S198" s="14" t="s">
        <v>1007</v>
      </c>
      <c r="T198" s="14" t="s">
        <v>4127</v>
      </c>
      <c r="U198" s="22"/>
      <c r="V198" s="14"/>
      <c r="W198" s="14"/>
      <c r="X198" s="18"/>
      <c r="Y198" s="18"/>
      <c r="Z198" s="18"/>
      <c r="AA198" s="19">
        <f t="shared" si="1"/>
        <v>6</v>
      </c>
      <c r="AB198" s="19" t="str">
        <f t="shared" si="2"/>
        <v/>
      </c>
      <c r="AC198" s="19"/>
    </row>
    <row r="199" ht="15.75" customHeight="1">
      <c r="A199" s="12">
        <v>45093.0</v>
      </c>
      <c r="B199" s="14" t="s">
        <v>84</v>
      </c>
      <c r="C199" s="14" t="s">
        <v>4221</v>
      </c>
      <c r="D199" s="14"/>
      <c r="E199" s="14"/>
      <c r="F199" s="14" t="s">
        <v>4222</v>
      </c>
      <c r="G199" s="14"/>
      <c r="H199" s="14"/>
      <c r="I199" s="15" t="s">
        <v>1009</v>
      </c>
      <c r="J199" s="14"/>
      <c r="K199" s="14"/>
      <c r="L199" s="14"/>
      <c r="M199" s="14" t="s">
        <v>111</v>
      </c>
      <c r="N199" s="14" t="s">
        <v>34</v>
      </c>
      <c r="O199" s="14" t="b">
        <v>0</v>
      </c>
      <c r="P199" s="14"/>
      <c r="Q199" s="14"/>
      <c r="R199" s="14"/>
      <c r="S199" s="14" t="s">
        <v>1010</v>
      </c>
      <c r="T199" s="14" t="s">
        <v>4069</v>
      </c>
      <c r="U199" s="17"/>
      <c r="V199" s="14"/>
      <c r="W199" s="14"/>
      <c r="X199" s="18"/>
      <c r="Y199" s="18"/>
      <c r="Z199" s="18"/>
      <c r="AA199" s="19">
        <f t="shared" si="1"/>
        <v>6</v>
      </c>
      <c r="AB199" s="19" t="str">
        <f t="shared" si="2"/>
        <v/>
      </c>
      <c r="AC199" s="19"/>
    </row>
    <row r="200" ht="15.75" customHeight="1">
      <c r="A200" s="12">
        <v>45093.0</v>
      </c>
      <c r="B200" s="13" t="s">
        <v>28</v>
      </c>
      <c r="C200" s="14" t="s">
        <v>4223</v>
      </c>
      <c r="D200" s="14" t="s">
        <v>4224</v>
      </c>
      <c r="E200" s="14" t="s">
        <v>4225</v>
      </c>
      <c r="F200" s="14" t="s">
        <v>568</v>
      </c>
      <c r="G200" s="14"/>
      <c r="H200" s="14"/>
      <c r="I200" s="15" t="s">
        <v>1013</v>
      </c>
      <c r="J200" s="14"/>
      <c r="K200" s="14"/>
      <c r="L200" s="14" t="s">
        <v>1014</v>
      </c>
      <c r="M200" s="14" t="s">
        <v>111</v>
      </c>
      <c r="N200" s="14" t="s">
        <v>34</v>
      </c>
      <c r="O200" s="14" t="b">
        <v>1</v>
      </c>
      <c r="P200" s="14" t="s">
        <v>1015</v>
      </c>
      <c r="Q200" s="14"/>
      <c r="R200" s="14"/>
      <c r="S200" s="14" t="s">
        <v>1016</v>
      </c>
      <c r="T200" s="14" t="s">
        <v>4069</v>
      </c>
      <c r="U200" s="17"/>
      <c r="V200" s="14"/>
      <c r="W200" s="14"/>
      <c r="X200" s="18"/>
      <c r="Y200" s="18"/>
      <c r="Z200" s="18"/>
      <c r="AA200" s="19">
        <f t="shared" si="1"/>
        <v>6</v>
      </c>
      <c r="AB200" s="19" t="str">
        <f t="shared" si="2"/>
        <v/>
      </c>
      <c r="AC200" s="19"/>
    </row>
    <row r="201" ht="15.75" customHeight="1">
      <c r="A201" s="12">
        <v>45093.0</v>
      </c>
      <c r="B201" s="13" t="s">
        <v>28</v>
      </c>
      <c r="C201" s="14" t="s">
        <v>1017</v>
      </c>
      <c r="D201" s="14" t="s">
        <v>4226</v>
      </c>
      <c r="E201" s="14"/>
      <c r="F201" s="14" t="s">
        <v>4125</v>
      </c>
      <c r="G201" s="14"/>
      <c r="H201" s="14"/>
      <c r="I201" s="15" t="s">
        <v>1019</v>
      </c>
      <c r="J201" s="14"/>
      <c r="K201" s="14"/>
      <c r="L201" s="14"/>
      <c r="M201" s="14" t="s">
        <v>111</v>
      </c>
      <c r="N201" s="14" t="s">
        <v>34</v>
      </c>
      <c r="O201" s="14" t="b">
        <v>0</v>
      </c>
      <c r="P201" s="14"/>
      <c r="Q201" s="14"/>
      <c r="R201" s="14"/>
      <c r="S201" s="14" t="s">
        <v>1020</v>
      </c>
      <c r="T201" s="14" t="s">
        <v>4069</v>
      </c>
      <c r="U201" s="17"/>
      <c r="V201" s="14"/>
      <c r="W201" s="14"/>
      <c r="X201" s="18"/>
      <c r="Y201" s="18"/>
      <c r="Z201" s="18"/>
      <c r="AA201" s="19">
        <f t="shared" si="1"/>
        <v>6</v>
      </c>
      <c r="AB201" s="19" t="str">
        <f t="shared" si="2"/>
        <v/>
      </c>
      <c r="AC201" s="19"/>
    </row>
    <row r="202" ht="15.75" customHeight="1">
      <c r="A202" s="26">
        <v>45093.0</v>
      </c>
      <c r="B202" s="13" t="s">
        <v>28</v>
      </c>
      <c r="C202" s="27" t="s">
        <v>1021</v>
      </c>
      <c r="D202" s="27" t="s">
        <v>1022</v>
      </c>
      <c r="E202" s="27"/>
      <c r="F202" s="27" t="s">
        <v>457</v>
      </c>
      <c r="G202" s="27"/>
      <c r="H202" s="27"/>
      <c r="I202" s="34" t="s">
        <v>1023</v>
      </c>
      <c r="J202" s="27"/>
      <c r="K202" s="27"/>
      <c r="L202" s="27" t="s">
        <v>1024</v>
      </c>
      <c r="M202" s="27" t="s">
        <v>111</v>
      </c>
      <c r="N202" s="27" t="s">
        <v>67</v>
      </c>
      <c r="O202" s="14" t="b">
        <v>1</v>
      </c>
      <c r="P202" s="243" t="s">
        <v>1025</v>
      </c>
      <c r="Q202" s="27"/>
      <c r="R202" s="27"/>
      <c r="S202" s="27" t="s">
        <v>1026</v>
      </c>
      <c r="T202" s="27" t="s">
        <v>4227</v>
      </c>
      <c r="U202" s="26"/>
      <c r="V202" s="32">
        <v>45099.0</v>
      </c>
      <c r="W202" s="27" t="s">
        <v>91</v>
      </c>
      <c r="X202" s="25">
        <v>6124000.0</v>
      </c>
      <c r="Y202" s="25">
        <v>918600.0</v>
      </c>
      <c r="Z202" s="25">
        <v>5205400.0</v>
      </c>
      <c r="AA202" s="19">
        <f t="shared" si="1"/>
        <v>6</v>
      </c>
      <c r="AB202" s="19">
        <f t="shared" si="2"/>
        <v>6</v>
      </c>
      <c r="AC202" s="19"/>
    </row>
    <row r="203" ht="15.75" customHeight="1">
      <c r="A203" s="12">
        <v>45094.0</v>
      </c>
      <c r="B203" s="14" t="s">
        <v>84</v>
      </c>
      <c r="C203" s="14" t="s">
        <v>4228</v>
      </c>
      <c r="D203" s="14" t="s">
        <v>1028</v>
      </c>
      <c r="E203" s="14"/>
      <c r="F203" s="14" t="s">
        <v>4229</v>
      </c>
      <c r="G203" s="14"/>
      <c r="H203" s="14"/>
      <c r="I203" s="15" t="s">
        <v>1029</v>
      </c>
      <c r="J203" s="14"/>
      <c r="K203" s="14"/>
      <c r="L203" s="14"/>
      <c r="M203" s="14" t="s">
        <v>111</v>
      </c>
      <c r="N203" s="14" t="s">
        <v>13</v>
      </c>
      <c r="O203" s="14" t="b">
        <v>1</v>
      </c>
      <c r="P203" s="258" t="s">
        <v>1030</v>
      </c>
      <c r="Q203" s="14"/>
      <c r="R203" s="14"/>
      <c r="S203" s="14" t="s">
        <v>1031</v>
      </c>
      <c r="T203" s="14" t="s">
        <v>4069</v>
      </c>
      <c r="U203" s="17"/>
      <c r="V203" s="14"/>
      <c r="W203" s="14"/>
      <c r="X203" s="18"/>
      <c r="Y203" s="18"/>
      <c r="Z203" s="18"/>
      <c r="AA203" s="19">
        <f t="shared" si="1"/>
        <v>6</v>
      </c>
      <c r="AB203" s="19" t="str">
        <f t="shared" si="2"/>
        <v/>
      </c>
      <c r="AC203" s="19"/>
    </row>
    <row r="204" ht="15.75" customHeight="1">
      <c r="A204" s="12">
        <v>45094.0</v>
      </c>
      <c r="B204" s="14" t="s">
        <v>84</v>
      </c>
      <c r="C204" s="14" t="s">
        <v>4230</v>
      </c>
      <c r="D204" s="14" t="s">
        <v>4231</v>
      </c>
      <c r="E204" s="14"/>
      <c r="F204" s="142">
        <v>41865.0</v>
      </c>
      <c r="G204" s="14"/>
      <c r="H204" s="14"/>
      <c r="I204" s="15" t="s">
        <v>1034</v>
      </c>
      <c r="J204" s="14"/>
      <c r="K204" s="14"/>
      <c r="L204" s="14"/>
      <c r="M204" s="14" t="s">
        <v>111</v>
      </c>
      <c r="N204" s="14" t="s">
        <v>34</v>
      </c>
      <c r="O204" s="14" t="b">
        <v>0</v>
      </c>
      <c r="P204" s="14"/>
      <c r="Q204" s="14"/>
      <c r="R204" s="14"/>
      <c r="S204" s="14" t="s">
        <v>1035</v>
      </c>
      <c r="T204" s="14" t="s">
        <v>4069</v>
      </c>
      <c r="U204" s="17"/>
      <c r="V204" s="14"/>
      <c r="W204" s="14"/>
      <c r="X204" s="18"/>
      <c r="Y204" s="18"/>
      <c r="Z204" s="18"/>
      <c r="AA204" s="19">
        <f t="shared" si="1"/>
        <v>6</v>
      </c>
      <c r="AB204" s="19" t="str">
        <f t="shared" si="2"/>
        <v/>
      </c>
      <c r="AC204" s="19" t="s">
        <v>373</v>
      </c>
    </row>
    <row r="205" ht="15.75" customHeight="1">
      <c r="A205" s="26">
        <v>45094.0</v>
      </c>
      <c r="B205" s="27" t="s">
        <v>84</v>
      </c>
      <c r="C205" s="27" t="s">
        <v>1036</v>
      </c>
      <c r="D205" s="27" t="s">
        <v>1037</v>
      </c>
      <c r="E205" s="27" t="s">
        <v>4232</v>
      </c>
      <c r="F205" s="27" t="s">
        <v>542</v>
      </c>
      <c r="G205" s="27">
        <v>2.0</v>
      </c>
      <c r="H205" s="27"/>
      <c r="I205" s="34" t="s">
        <v>1038</v>
      </c>
      <c r="J205" s="27"/>
      <c r="K205" s="27"/>
      <c r="L205" s="27"/>
      <c r="M205" s="27" t="s">
        <v>111</v>
      </c>
      <c r="N205" s="27" t="s">
        <v>67</v>
      </c>
      <c r="O205" s="14" t="b">
        <v>1</v>
      </c>
      <c r="P205" s="274" t="s">
        <v>1039</v>
      </c>
      <c r="Q205" s="27"/>
      <c r="R205" s="27"/>
      <c r="S205" s="27" t="s">
        <v>1040</v>
      </c>
      <c r="T205" s="27"/>
      <c r="U205" s="26"/>
      <c r="V205" s="32">
        <v>45098.0</v>
      </c>
      <c r="W205" s="27" t="s">
        <v>91</v>
      </c>
      <c r="X205" s="25">
        <v>3062000.0</v>
      </c>
      <c r="Y205" s="25">
        <v>153100.0</v>
      </c>
      <c r="Z205" s="25">
        <v>2908900.0</v>
      </c>
      <c r="AA205" s="19">
        <f t="shared" si="1"/>
        <v>6</v>
      </c>
      <c r="AB205" s="19">
        <f t="shared" si="2"/>
        <v>6</v>
      </c>
      <c r="AC205" s="19"/>
    </row>
    <row r="206" ht="15.75" customHeight="1">
      <c r="A206" s="12">
        <v>45094.0</v>
      </c>
      <c r="B206" s="13" t="s">
        <v>28</v>
      </c>
      <c r="C206" s="14" t="s">
        <v>1041</v>
      </c>
      <c r="D206" s="14" t="s">
        <v>4233</v>
      </c>
      <c r="E206" s="14"/>
      <c r="F206" s="14">
        <v>2011.0</v>
      </c>
      <c r="G206" s="14"/>
      <c r="H206" s="14"/>
      <c r="I206" s="15" t="s">
        <v>1043</v>
      </c>
      <c r="J206" s="14"/>
      <c r="K206" s="14"/>
      <c r="L206" s="14"/>
      <c r="M206" s="14" t="s">
        <v>111</v>
      </c>
      <c r="N206" s="14" t="s">
        <v>34</v>
      </c>
      <c r="O206" s="14" t="b">
        <v>1</v>
      </c>
      <c r="P206" s="37" t="s">
        <v>4234</v>
      </c>
      <c r="Q206" s="14"/>
      <c r="R206" s="14"/>
      <c r="S206" s="14" t="s">
        <v>1045</v>
      </c>
      <c r="T206" s="14" t="s">
        <v>4069</v>
      </c>
      <c r="U206" s="41"/>
      <c r="V206" s="14"/>
      <c r="W206" s="14"/>
      <c r="X206" s="18"/>
      <c r="Y206" s="18"/>
      <c r="Z206" s="18"/>
      <c r="AA206" s="19">
        <f t="shared" si="1"/>
        <v>6</v>
      </c>
      <c r="AB206" s="19" t="str">
        <f t="shared" si="2"/>
        <v/>
      </c>
      <c r="AC206" s="19" t="s">
        <v>373</v>
      </c>
    </row>
    <row r="207" ht="15.75" customHeight="1">
      <c r="A207" s="12">
        <v>45094.0</v>
      </c>
      <c r="B207" s="13" t="s">
        <v>28</v>
      </c>
      <c r="C207" s="14" t="s">
        <v>1046</v>
      </c>
      <c r="D207" s="14"/>
      <c r="E207" s="14"/>
      <c r="F207" s="14" t="s">
        <v>4235</v>
      </c>
      <c r="G207" s="14"/>
      <c r="H207" s="14"/>
      <c r="I207" s="15" t="s">
        <v>1047</v>
      </c>
      <c r="J207" s="14"/>
      <c r="K207" s="14"/>
      <c r="L207" s="14" t="s">
        <v>1048</v>
      </c>
      <c r="M207" s="14" t="s">
        <v>111</v>
      </c>
      <c r="N207" s="14" t="s">
        <v>1049</v>
      </c>
      <c r="O207" s="14" t="b">
        <v>0</v>
      </c>
      <c r="P207" s="14"/>
      <c r="Q207" s="14"/>
      <c r="R207" s="14"/>
      <c r="S207" s="14" t="s">
        <v>1050</v>
      </c>
      <c r="T207" s="14" t="s">
        <v>4096</v>
      </c>
      <c r="U207" s="17">
        <v>45110.0</v>
      </c>
      <c r="V207" s="14"/>
      <c r="W207" s="14"/>
      <c r="X207" s="18"/>
      <c r="Y207" s="18"/>
      <c r="Z207" s="18"/>
      <c r="AA207" s="19">
        <f t="shared" si="1"/>
        <v>6</v>
      </c>
      <c r="AB207" s="19" t="str">
        <f t="shared" si="2"/>
        <v/>
      </c>
      <c r="AC207" s="19"/>
    </row>
    <row r="208" ht="15.75" customHeight="1">
      <c r="A208" s="12">
        <v>45094.0</v>
      </c>
      <c r="B208" s="14" t="s">
        <v>60</v>
      </c>
      <c r="C208" s="14" t="s">
        <v>1051</v>
      </c>
      <c r="D208" s="14" t="s">
        <v>85</v>
      </c>
      <c r="E208" s="14"/>
      <c r="F208" s="14"/>
      <c r="G208" s="14"/>
      <c r="H208" s="14"/>
      <c r="I208" s="15" t="s">
        <v>1052</v>
      </c>
      <c r="J208" s="14"/>
      <c r="K208" s="14"/>
      <c r="L208" s="14"/>
      <c r="M208" s="14" t="s">
        <v>48</v>
      </c>
      <c r="N208" s="14" t="s">
        <v>158</v>
      </c>
      <c r="O208" s="14" t="b">
        <v>0</v>
      </c>
      <c r="P208" s="14"/>
      <c r="Q208" s="14"/>
      <c r="R208" s="14"/>
      <c r="S208" s="14" t="s">
        <v>1053</v>
      </c>
      <c r="T208" s="14"/>
      <c r="U208" s="41"/>
      <c r="V208" s="14"/>
      <c r="W208" s="14"/>
      <c r="X208" s="18"/>
      <c r="Y208" s="18"/>
      <c r="Z208" s="18"/>
      <c r="AA208" s="19">
        <f t="shared" si="1"/>
        <v>6</v>
      </c>
      <c r="AB208" s="19" t="str">
        <f t="shared" si="2"/>
        <v/>
      </c>
      <c r="AC208" s="19"/>
    </row>
    <row r="209" ht="15.75" customHeight="1">
      <c r="A209" s="81">
        <v>45094.0</v>
      </c>
      <c r="B209" s="33" t="s">
        <v>84</v>
      </c>
      <c r="C209" s="33" t="s">
        <v>1054</v>
      </c>
      <c r="D209" s="33" t="s">
        <v>1055</v>
      </c>
      <c r="E209" s="33"/>
      <c r="F209" s="33" t="s">
        <v>4088</v>
      </c>
      <c r="G209" s="33"/>
      <c r="H209" s="33"/>
      <c r="I209" s="275" t="s">
        <v>1056</v>
      </c>
      <c r="J209" s="33"/>
      <c r="K209" s="33"/>
      <c r="L209" s="33"/>
      <c r="M209" s="33" t="s">
        <v>66</v>
      </c>
      <c r="N209" s="33" t="s">
        <v>67</v>
      </c>
      <c r="O209" s="14" t="b">
        <v>1</v>
      </c>
      <c r="P209" s="33" t="s">
        <v>1057</v>
      </c>
      <c r="Q209" s="33"/>
      <c r="R209" s="33"/>
      <c r="S209" s="33" t="s">
        <v>1058</v>
      </c>
      <c r="T209" s="33"/>
      <c r="U209" s="81"/>
      <c r="V209" s="126">
        <v>45097.0</v>
      </c>
      <c r="W209" s="33"/>
      <c r="X209" s="80"/>
      <c r="Y209" s="80"/>
      <c r="Z209" s="18">
        <v>5021680.0</v>
      </c>
      <c r="AA209" s="19">
        <f t="shared" si="1"/>
        <v>6</v>
      </c>
      <c r="AB209" s="19">
        <f t="shared" si="2"/>
        <v>6</v>
      </c>
      <c r="AC209" s="19"/>
    </row>
    <row r="210" ht="15.75" customHeight="1">
      <c r="A210" s="12">
        <v>45094.0</v>
      </c>
      <c r="B210" s="13" t="s">
        <v>28</v>
      </c>
      <c r="C210" s="14" t="s">
        <v>1059</v>
      </c>
      <c r="D210" s="14" t="s">
        <v>1060</v>
      </c>
      <c r="E210" s="14"/>
      <c r="F210" s="14" t="s">
        <v>419</v>
      </c>
      <c r="G210" s="14"/>
      <c r="H210" s="14"/>
      <c r="I210" s="15" t="s">
        <v>1061</v>
      </c>
      <c r="J210" s="14"/>
      <c r="K210" s="14"/>
      <c r="L210" s="14" t="s">
        <v>1062</v>
      </c>
      <c r="M210" s="14" t="s">
        <v>111</v>
      </c>
      <c r="N210" s="14" t="s">
        <v>34</v>
      </c>
      <c r="O210" s="14" t="b">
        <v>0</v>
      </c>
      <c r="P210" s="14"/>
      <c r="Q210" s="14"/>
      <c r="R210" s="14"/>
      <c r="S210" s="14" t="s">
        <v>1063</v>
      </c>
      <c r="T210" s="14" t="s">
        <v>4197</v>
      </c>
      <c r="U210" s="17"/>
      <c r="V210" s="14"/>
      <c r="W210" s="14"/>
      <c r="X210" s="18"/>
      <c r="Y210" s="18"/>
      <c r="Z210" s="18"/>
      <c r="AA210" s="19">
        <f t="shared" si="1"/>
        <v>6</v>
      </c>
      <c r="AB210" s="19" t="str">
        <f t="shared" si="2"/>
        <v/>
      </c>
      <c r="AC210" s="19"/>
    </row>
    <row r="211" ht="15.75" customHeight="1">
      <c r="A211" s="12">
        <v>45095.0</v>
      </c>
      <c r="B211" s="13" t="s">
        <v>28</v>
      </c>
      <c r="C211" s="15" t="s">
        <v>1064</v>
      </c>
      <c r="D211" s="15" t="s">
        <v>1065</v>
      </c>
      <c r="E211" s="15"/>
      <c r="F211" s="15"/>
      <c r="G211" s="15" t="s">
        <v>176</v>
      </c>
      <c r="H211" s="15"/>
      <c r="I211" s="42" t="s">
        <v>1066</v>
      </c>
      <c r="J211" s="14"/>
      <c r="K211" s="14"/>
      <c r="L211" s="14" t="s">
        <v>1067</v>
      </c>
      <c r="M211" s="14" t="s">
        <v>111</v>
      </c>
      <c r="N211" s="14" t="s">
        <v>13</v>
      </c>
      <c r="O211" s="14" t="b">
        <v>1</v>
      </c>
      <c r="P211" s="14" t="s">
        <v>1068</v>
      </c>
      <c r="Q211" s="14"/>
      <c r="R211" s="14"/>
      <c r="S211" s="14" t="s">
        <v>1069</v>
      </c>
      <c r="T211" s="14" t="s">
        <v>4197</v>
      </c>
      <c r="U211" s="17">
        <v>45120.0</v>
      </c>
      <c r="V211" s="14"/>
      <c r="W211" s="14"/>
      <c r="X211" s="18"/>
      <c r="Y211" s="18"/>
      <c r="Z211" s="18"/>
      <c r="AA211" s="19">
        <f t="shared" si="1"/>
        <v>6</v>
      </c>
      <c r="AB211" s="19" t="str">
        <f t="shared" si="2"/>
        <v/>
      </c>
      <c r="AC211" s="19" t="s">
        <v>373</v>
      </c>
    </row>
    <row r="212" ht="15.75" customHeight="1">
      <c r="A212" s="12">
        <v>45095.0</v>
      </c>
      <c r="B212" s="13" t="s">
        <v>28</v>
      </c>
      <c r="C212" s="15" t="s">
        <v>1070</v>
      </c>
      <c r="D212" s="15" t="s">
        <v>1071</v>
      </c>
      <c r="E212" s="15"/>
      <c r="F212" s="15" t="s">
        <v>4236</v>
      </c>
      <c r="G212" s="15" t="s">
        <v>1073</v>
      </c>
      <c r="H212" s="15"/>
      <c r="I212" s="42" t="s">
        <v>1074</v>
      </c>
      <c r="J212" s="14"/>
      <c r="K212" s="14"/>
      <c r="L212" s="14" t="s">
        <v>1075</v>
      </c>
      <c r="M212" s="14" t="s">
        <v>111</v>
      </c>
      <c r="N212" s="14" t="s">
        <v>565</v>
      </c>
      <c r="O212" s="14" t="b">
        <v>0</v>
      </c>
      <c r="P212" s="14"/>
      <c r="Q212" s="14"/>
      <c r="R212" s="14"/>
      <c r="S212" s="14" t="s">
        <v>1076</v>
      </c>
      <c r="T212" s="14" t="s">
        <v>4096</v>
      </c>
      <c r="U212" s="17">
        <v>45110.0</v>
      </c>
      <c r="V212" s="14"/>
      <c r="W212" s="14"/>
      <c r="X212" s="18"/>
      <c r="Y212" s="18"/>
      <c r="Z212" s="18"/>
      <c r="AA212" s="19">
        <f t="shared" si="1"/>
        <v>6</v>
      </c>
      <c r="AB212" s="19" t="str">
        <f t="shared" si="2"/>
        <v/>
      </c>
      <c r="AC212" s="19"/>
    </row>
    <row r="213" ht="15.75" customHeight="1">
      <c r="A213" s="12">
        <v>45095.0</v>
      </c>
      <c r="B213" s="13" t="s">
        <v>28</v>
      </c>
      <c r="C213" s="14"/>
      <c r="D213" s="14" t="s">
        <v>1077</v>
      </c>
      <c r="E213" s="14"/>
      <c r="F213" s="14"/>
      <c r="G213" s="14"/>
      <c r="H213" s="14"/>
      <c r="I213" s="15" t="s">
        <v>1078</v>
      </c>
      <c r="J213" s="14"/>
      <c r="K213" s="14"/>
      <c r="L213" s="14"/>
      <c r="M213" s="14" t="s">
        <v>111</v>
      </c>
      <c r="N213" s="14" t="s">
        <v>216</v>
      </c>
      <c r="O213" s="14" t="b">
        <v>0</v>
      </c>
      <c r="P213" s="14"/>
      <c r="Q213" s="14"/>
      <c r="R213" s="14"/>
      <c r="S213" s="14" t="s">
        <v>1079</v>
      </c>
      <c r="T213" s="14" t="s">
        <v>4096</v>
      </c>
      <c r="U213" s="17">
        <v>45103.0</v>
      </c>
      <c r="V213" s="14"/>
      <c r="W213" s="14"/>
      <c r="X213" s="18"/>
      <c r="Y213" s="18"/>
      <c r="Z213" s="18"/>
      <c r="AA213" s="19">
        <f t="shared" si="1"/>
        <v>6</v>
      </c>
      <c r="AB213" s="19" t="str">
        <f t="shared" si="2"/>
        <v/>
      </c>
      <c r="AC213" s="19"/>
    </row>
    <row r="214" ht="15.75" customHeight="1">
      <c r="A214" s="12">
        <v>45095.0</v>
      </c>
      <c r="B214" s="14" t="s">
        <v>84</v>
      </c>
      <c r="C214" s="14" t="s">
        <v>4237</v>
      </c>
      <c r="D214" s="14" t="s">
        <v>1081</v>
      </c>
      <c r="E214" s="14"/>
      <c r="F214" s="142">
        <v>43341.0</v>
      </c>
      <c r="G214" s="14"/>
      <c r="H214" s="14"/>
      <c r="I214" s="15" t="s">
        <v>1082</v>
      </c>
      <c r="J214" s="14"/>
      <c r="K214" s="14"/>
      <c r="L214" s="14" t="s">
        <v>1083</v>
      </c>
      <c r="M214" s="14" t="s">
        <v>111</v>
      </c>
      <c r="N214" s="14" t="s">
        <v>34</v>
      </c>
      <c r="O214" s="14" t="b">
        <v>1</v>
      </c>
      <c r="P214" s="14" t="s">
        <v>1084</v>
      </c>
      <c r="Q214" s="14"/>
      <c r="R214" s="14"/>
      <c r="S214" s="14" t="s">
        <v>1085</v>
      </c>
      <c r="T214" s="14" t="s">
        <v>4069</v>
      </c>
      <c r="U214" s="17"/>
      <c r="V214" s="14"/>
      <c r="W214" s="14"/>
      <c r="X214" s="18"/>
      <c r="Y214" s="18"/>
      <c r="Z214" s="18"/>
      <c r="AA214" s="19">
        <f t="shared" si="1"/>
        <v>6</v>
      </c>
      <c r="AB214" s="19" t="str">
        <f t="shared" si="2"/>
        <v/>
      </c>
      <c r="AC214" s="19" t="s">
        <v>373</v>
      </c>
    </row>
    <row r="215" ht="15.75" customHeight="1">
      <c r="A215" s="12">
        <v>45096.0</v>
      </c>
      <c r="B215" s="13" t="s">
        <v>28</v>
      </c>
      <c r="C215" s="14" t="s">
        <v>1086</v>
      </c>
      <c r="D215" s="14" t="s">
        <v>1087</v>
      </c>
      <c r="E215" s="14"/>
      <c r="F215" s="14">
        <v>2016.0</v>
      </c>
      <c r="G215" s="14"/>
      <c r="H215" s="14"/>
      <c r="I215" s="15" t="s">
        <v>1088</v>
      </c>
      <c r="J215" s="14"/>
      <c r="K215" s="14">
        <v>9.88434904E8</v>
      </c>
      <c r="L215" s="14" t="s">
        <v>1089</v>
      </c>
      <c r="M215" s="14" t="s">
        <v>111</v>
      </c>
      <c r="N215" s="14" t="s">
        <v>34</v>
      </c>
      <c r="O215" s="14" t="b">
        <v>0</v>
      </c>
      <c r="P215" s="14"/>
      <c r="Q215" s="14"/>
      <c r="R215" s="14"/>
      <c r="S215" s="14" t="s">
        <v>1090</v>
      </c>
      <c r="T215" s="14" t="s">
        <v>4069</v>
      </c>
      <c r="U215" s="17"/>
      <c r="V215" s="14"/>
      <c r="W215" s="14"/>
      <c r="X215" s="18"/>
      <c r="Y215" s="18"/>
      <c r="Z215" s="18"/>
      <c r="AA215" s="19">
        <f t="shared" si="1"/>
        <v>6</v>
      </c>
      <c r="AB215" s="19" t="str">
        <f t="shared" si="2"/>
        <v/>
      </c>
      <c r="AC215" s="19"/>
    </row>
    <row r="216" ht="15.75" customHeight="1">
      <c r="A216" s="26">
        <v>45096.0</v>
      </c>
      <c r="B216" s="13" t="s">
        <v>28</v>
      </c>
      <c r="C216" s="27" t="s">
        <v>1091</v>
      </c>
      <c r="D216" s="27" t="s">
        <v>1092</v>
      </c>
      <c r="E216" s="27"/>
      <c r="F216" s="27" t="s">
        <v>4125</v>
      </c>
      <c r="G216" s="27">
        <v>6.0</v>
      </c>
      <c r="H216" s="27"/>
      <c r="I216" s="34" t="s">
        <v>1093</v>
      </c>
      <c r="J216" s="27"/>
      <c r="K216" s="27"/>
      <c r="L216" s="276" t="s">
        <v>4238</v>
      </c>
      <c r="M216" s="27" t="s">
        <v>111</v>
      </c>
      <c r="N216" s="27" t="s">
        <v>67</v>
      </c>
      <c r="O216" s="14" t="b">
        <v>1</v>
      </c>
      <c r="P216" s="27" t="s">
        <v>1095</v>
      </c>
      <c r="Q216" s="27"/>
      <c r="R216" s="27"/>
      <c r="S216" s="27" t="s">
        <v>1096</v>
      </c>
      <c r="T216" s="27"/>
      <c r="U216" s="26"/>
      <c r="V216" s="32">
        <v>45099.0</v>
      </c>
      <c r="W216" s="27" t="s">
        <v>91</v>
      </c>
      <c r="X216" s="25">
        <v>8750000.0</v>
      </c>
      <c r="Y216" s="25">
        <v>1312500.0</v>
      </c>
      <c r="Z216" s="25">
        <v>7437500.0</v>
      </c>
      <c r="AA216" s="19">
        <f t="shared" si="1"/>
        <v>6</v>
      </c>
      <c r="AB216" s="19">
        <f t="shared" si="2"/>
        <v>6</v>
      </c>
      <c r="AC216" s="19"/>
    </row>
    <row r="217" ht="15.75" customHeight="1">
      <c r="A217" s="12">
        <v>45096.0</v>
      </c>
      <c r="B217" s="14" t="s">
        <v>201</v>
      </c>
      <c r="C217" s="14" t="s">
        <v>4239</v>
      </c>
      <c r="D217" s="14"/>
      <c r="E217" s="14"/>
      <c r="F217" s="14"/>
      <c r="G217" s="14"/>
      <c r="H217" s="14"/>
      <c r="I217" s="15" t="s">
        <v>1098</v>
      </c>
      <c r="J217" s="14"/>
      <c r="K217" s="14"/>
      <c r="L217" s="14"/>
      <c r="M217" s="14" t="s">
        <v>111</v>
      </c>
      <c r="N217" s="14" t="s">
        <v>565</v>
      </c>
      <c r="O217" s="14" t="b">
        <v>0</v>
      </c>
      <c r="P217" s="14"/>
      <c r="Q217" s="14"/>
      <c r="R217" s="14"/>
      <c r="S217" s="14" t="s">
        <v>1100</v>
      </c>
      <c r="T217" s="14" t="s">
        <v>4240</v>
      </c>
      <c r="U217" s="17">
        <v>45110.0</v>
      </c>
      <c r="V217" s="14"/>
      <c r="W217" s="14"/>
      <c r="X217" s="18"/>
      <c r="Y217" s="18"/>
      <c r="Z217" s="18"/>
      <c r="AA217" s="19">
        <f t="shared" si="1"/>
        <v>6</v>
      </c>
      <c r="AB217" s="19" t="str">
        <f t="shared" si="2"/>
        <v/>
      </c>
      <c r="AC217" s="19" t="s">
        <v>373</v>
      </c>
    </row>
    <row r="218" ht="15.75" customHeight="1">
      <c r="A218" s="26">
        <v>45096.0</v>
      </c>
      <c r="B218" s="27" t="s">
        <v>201</v>
      </c>
      <c r="C218" s="27" t="s">
        <v>1101</v>
      </c>
      <c r="D218" s="27" t="s">
        <v>1102</v>
      </c>
      <c r="E218" s="27"/>
      <c r="F218" s="32">
        <v>42350.0</v>
      </c>
      <c r="G218" s="27">
        <v>3.0</v>
      </c>
      <c r="H218" s="27"/>
      <c r="I218" s="34" t="s">
        <v>1103</v>
      </c>
      <c r="J218" s="27"/>
      <c r="K218" s="27"/>
      <c r="L218" s="27" t="s">
        <v>1104</v>
      </c>
      <c r="M218" s="27" t="s">
        <v>111</v>
      </c>
      <c r="N218" s="27" t="s">
        <v>67</v>
      </c>
      <c r="O218" s="14" t="b">
        <v>1</v>
      </c>
      <c r="P218" s="27" t="s">
        <v>1105</v>
      </c>
      <c r="Q218" s="27"/>
      <c r="R218" s="27"/>
      <c r="S218" s="27" t="s">
        <v>1106</v>
      </c>
      <c r="T218" s="27" t="s">
        <v>4241</v>
      </c>
      <c r="U218" s="26"/>
      <c r="V218" s="32">
        <v>45099.0</v>
      </c>
      <c r="W218" s="27" t="s">
        <v>91</v>
      </c>
      <c r="X218" s="25">
        <v>3062000.0</v>
      </c>
      <c r="Y218" s="25">
        <v>153100.0</v>
      </c>
      <c r="Z218" s="25">
        <v>2908900.0</v>
      </c>
      <c r="AA218" s="19">
        <f t="shared" si="1"/>
        <v>6</v>
      </c>
      <c r="AB218" s="19">
        <f t="shared" si="2"/>
        <v>6</v>
      </c>
      <c r="AC218" s="19"/>
    </row>
    <row r="219" ht="15.75" customHeight="1">
      <c r="A219" s="26"/>
      <c r="B219" s="27" t="s">
        <v>201</v>
      </c>
      <c r="C219" s="27" t="s">
        <v>1101</v>
      </c>
      <c r="D219" s="27" t="s">
        <v>1102</v>
      </c>
      <c r="E219" s="27"/>
      <c r="F219" s="32">
        <v>42350.0</v>
      </c>
      <c r="G219" s="27">
        <v>3.0</v>
      </c>
      <c r="H219" s="27"/>
      <c r="I219" s="34" t="s">
        <v>1103</v>
      </c>
      <c r="J219" s="27"/>
      <c r="K219" s="27"/>
      <c r="L219" s="27" t="s">
        <v>1104</v>
      </c>
      <c r="M219" s="27" t="s">
        <v>111</v>
      </c>
      <c r="N219" s="27" t="s">
        <v>67</v>
      </c>
      <c r="O219" s="14" t="b">
        <v>1</v>
      </c>
      <c r="P219" s="27" t="s">
        <v>1105</v>
      </c>
      <c r="Q219" s="27"/>
      <c r="R219" s="27"/>
      <c r="S219" s="27" t="s">
        <v>1106</v>
      </c>
      <c r="T219" s="27" t="s">
        <v>4242</v>
      </c>
      <c r="U219" s="26"/>
      <c r="V219" s="32">
        <v>45112.0</v>
      </c>
      <c r="W219" s="27" t="s">
        <v>91</v>
      </c>
      <c r="X219" s="25">
        <v>3062000.0</v>
      </c>
      <c r="Y219" s="25">
        <v>765500.0</v>
      </c>
      <c r="Z219" s="25">
        <v>2296500.0</v>
      </c>
      <c r="AA219" s="19" t="str">
        <f t="shared" si="1"/>
        <v/>
      </c>
      <c r="AB219" s="19">
        <f t="shared" si="2"/>
        <v>7</v>
      </c>
      <c r="AC219" s="19"/>
    </row>
    <row r="220" ht="15.75" customHeight="1">
      <c r="A220" s="12">
        <v>45092.0</v>
      </c>
      <c r="B220" s="14" t="s">
        <v>84</v>
      </c>
      <c r="C220" s="14" t="s">
        <v>1107</v>
      </c>
      <c r="D220" s="14" t="s">
        <v>1108</v>
      </c>
      <c r="E220" s="14"/>
      <c r="F220" s="142">
        <v>41798.0</v>
      </c>
      <c r="G220" s="14"/>
      <c r="H220" s="14"/>
      <c r="I220" s="15" t="s">
        <v>1109</v>
      </c>
      <c r="J220" s="14"/>
      <c r="K220" s="14"/>
      <c r="L220" s="14" t="s">
        <v>1110</v>
      </c>
      <c r="M220" s="14" t="s">
        <v>111</v>
      </c>
      <c r="N220" s="14" t="s">
        <v>13</v>
      </c>
      <c r="O220" s="14" t="b">
        <v>1</v>
      </c>
      <c r="P220" s="14" t="s">
        <v>1111</v>
      </c>
      <c r="Q220" s="14"/>
      <c r="R220" s="14"/>
      <c r="S220" s="14" t="s">
        <v>1112</v>
      </c>
      <c r="T220" s="14" t="s">
        <v>4197</v>
      </c>
      <c r="U220" s="17">
        <v>45110.0</v>
      </c>
      <c r="V220" s="14"/>
      <c r="W220" s="14"/>
      <c r="X220" s="18"/>
      <c r="Y220" s="18"/>
      <c r="Z220" s="18"/>
      <c r="AA220" s="19">
        <f t="shared" si="1"/>
        <v>6</v>
      </c>
      <c r="AB220" s="19" t="str">
        <f t="shared" si="2"/>
        <v/>
      </c>
      <c r="AC220" s="19"/>
    </row>
    <row r="221" ht="15.75" customHeight="1">
      <c r="A221" s="12">
        <v>45089.0</v>
      </c>
      <c r="B221" s="13" t="s">
        <v>28</v>
      </c>
      <c r="C221" s="14" t="s">
        <v>1113</v>
      </c>
      <c r="D221" s="14"/>
      <c r="E221" s="14"/>
      <c r="F221" s="14"/>
      <c r="G221" s="14"/>
      <c r="H221" s="14"/>
      <c r="I221" s="15" t="s">
        <v>1114</v>
      </c>
      <c r="J221" s="14"/>
      <c r="K221" s="14"/>
      <c r="L221" s="128" t="s">
        <v>1115</v>
      </c>
      <c r="M221" s="14" t="s">
        <v>111</v>
      </c>
      <c r="N221" s="14" t="s">
        <v>34</v>
      </c>
      <c r="O221" s="14" t="b">
        <v>0</v>
      </c>
      <c r="P221" s="14"/>
      <c r="Q221" s="14"/>
      <c r="R221" s="14"/>
      <c r="S221" s="14" t="s">
        <v>1116</v>
      </c>
      <c r="T221" s="14" t="s">
        <v>4243</v>
      </c>
      <c r="U221" s="17"/>
      <c r="V221" s="14"/>
      <c r="W221" s="14"/>
      <c r="X221" s="18"/>
      <c r="Y221" s="18"/>
      <c r="Z221" s="18"/>
      <c r="AA221" s="19">
        <f t="shared" si="1"/>
        <v>6</v>
      </c>
      <c r="AB221" s="19" t="str">
        <f t="shared" si="2"/>
        <v/>
      </c>
      <c r="AC221" s="19"/>
    </row>
    <row r="222" ht="15.75" customHeight="1">
      <c r="A222" s="12">
        <v>45096.0</v>
      </c>
      <c r="B222" s="14" t="s">
        <v>201</v>
      </c>
      <c r="C222" s="14" t="s">
        <v>4244</v>
      </c>
      <c r="D222" s="14" t="s">
        <v>1118</v>
      </c>
      <c r="E222" s="14"/>
      <c r="F222" s="142">
        <v>40909.0</v>
      </c>
      <c r="G222" s="14">
        <v>6.0</v>
      </c>
      <c r="H222" s="14"/>
      <c r="I222" s="15" t="s">
        <v>1119</v>
      </c>
      <c r="J222" s="14"/>
      <c r="K222" s="14"/>
      <c r="L222" s="14"/>
      <c r="M222" s="14" t="s">
        <v>111</v>
      </c>
      <c r="N222" s="14" t="s">
        <v>13</v>
      </c>
      <c r="O222" s="14" t="b">
        <v>1</v>
      </c>
      <c r="P222" s="14" t="s">
        <v>1121</v>
      </c>
      <c r="Q222" s="14"/>
      <c r="R222" s="14"/>
      <c r="S222" s="277" t="s">
        <v>4245</v>
      </c>
      <c r="T222" s="14" t="s">
        <v>4197</v>
      </c>
      <c r="U222" s="17">
        <v>45127.0</v>
      </c>
      <c r="V222" s="14"/>
      <c r="W222" s="14"/>
      <c r="X222" s="18"/>
      <c r="Y222" s="18"/>
      <c r="Z222" s="18"/>
      <c r="AA222" s="19">
        <f t="shared" si="1"/>
        <v>6</v>
      </c>
      <c r="AB222" s="19" t="str">
        <f t="shared" si="2"/>
        <v/>
      </c>
      <c r="AC222" s="19" t="s">
        <v>373</v>
      </c>
    </row>
    <row r="223" ht="15.75" customHeight="1">
      <c r="A223" s="12">
        <v>45096.0</v>
      </c>
      <c r="B223" s="14" t="s">
        <v>201</v>
      </c>
      <c r="C223" s="14" t="s">
        <v>4244</v>
      </c>
      <c r="D223" s="278" t="s">
        <v>1123</v>
      </c>
      <c r="E223" s="14"/>
      <c r="F223" s="279">
        <v>42621.0</v>
      </c>
      <c r="G223" s="14"/>
      <c r="H223" s="14"/>
      <c r="I223" s="15"/>
      <c r="J223" s="14"/>
      <c r="K223" s="14"/>
      <c r="L223" s="14"/>
      <c r="M223" s="14" t="s">
        <v>111</v>
      </c>
      <c r="N223" s="14" t="s">
        <v>13</v>
      </c>
      <c r="O223" s="14" t="b">
        <v>1</v>
      </c>
      <c r="P223" s="14" t="s">
        <v>1125</v>
      </c>
      <c r="Q223" s="14"/>
      <c r="R223" s="14"/>
      <c r="S223" s="14" t="s">
        <v>1126</v>
      </c>
      <c r="T223" s="14" t="s">
        <v>4246</v>
      </c>
      <c r="U223" s="17">
        <v>45127.0</v>
      </c>
      <c r="V223" s="14"/>
      <c r="W223" s="14"/>
      <c r="X223" s="18"/>
      <c r="Y223" s="18"/>
      <c r="Z223" s="18"/>
      <c r="AA223" s="19">
        <f t="shared" si="1"/>
        <v>6</v>
      </c>
      <c r="AB223" s="19" t="str">
        <f t="shared" si="2"/>
        <v/>
      </c>
      <c r="AC223" s="19" t="s">
        <v>373</v>
      </c>
    </row>
    <row r="224" ht="15.75" customHeight="1">
      <c r="A224" s="12">
        <v>45096.0</v>
      </c>
      <c r="B224" s="14" t="s">
        <v>340</v>
      </c>
      <c r="C224" s="14" t="s">
        <v>1127</v>
      </c>
      <c r="D224" s="14" t="s">
        <v>1128</v>
      </c>
      <c r="E224" s="14"/>
      <c r="F224" s="14">
        <v>2012.0</v>
      </c>
      <c r="G224" s="14">
        <v>6.0</v>
      </c>
      <c r="H224" s="14" t="s">
        <v>64</v>
      </c>
      <c r="I224" s="15" t="s">
        <v>1129</v>
      </c>
      <c r="J224" s="14"/>
      <c r="K224" s="14"/>
      <c r="L224" s="14" t="s">
        <v>1130</v>
      </c>
      <c r="M224" s="14" t="s">
        <v>412</v>
      </c>
      <c r="N224" s="14" t="s">
        <v>1131</v>
      </c>
      <c r="O224" s="14" t="b">
        <v>0</v>
      </c>
      <c r="P224" s="14" t="s">
        <v>476</v>
      </c>
      <c r="Q224" s="14"/>
      <c r="R224" s="14"/>
      <c r="S224" s="14" t="s">
        <v>1132</v>
      </c>
      <c r="T224" s="14"/>
      <c r="U224" s="17">
        <v>45107.0</v>
      </c>
      <c r="V224" s="14"/>
      <c r="W224" s="14"/>
      <c r="X224" s="18"/>
      <c r="Y224" s="18"/>
      <c r="Z224" s="18"/>
      <c r="AA224" s="19">
        <f t="shared" si="1"/>
        <v>6</v>
      </c>
      <c r="AB224" s="19" t="str">
        <f t="shared" si="2"/>
        <v/>
      </c>
      <c r="AC224" s="19"/>
    </row>
    <row r="225" ht="15.75" customHeight="1">
      <c r="A225" s="12">
        <v>45096.0</v>
      </c>
      <c r="B225" s="14" t="s">
        <v>84</v>
      </c>
      <c r="C225" s="14" t="s">
        <v>4247</v>
      </c>
      <c r="D225" s="14"/>
      <c r="E225" s="14"/>
      <c r="F225" s="14"/>
      <c r="G225" s="14"/>
      <c r="H225" s="14"/>
      <c r="I225" s="15" t="s">
        <v>1134</v>
      </c>
      <c r="J225" s="14"/>
      <c r="K225" s="14"/>
      <c r="L225" s="130" t="s">
        <v>1135</v>
      </c>
      <c r="M225" s="14" t="s">
        <v>48</v>
      </c>
      <c r="N225" s="14" t="s">
        <v>158</v>
      </c>
      <c r="O225" s="14" t="b">
        <v>0</v>
      </c>
      <c r="P225" s="14"/>
      <c r="Q225" s="14"/>
      <c r="R225" s="14"/>
      <c r="S225" s="14" t="s">
        <v>1136</v>
      </c>
      <c r="T225" s="14"/>
      <c r="U225" s="17"/>
      <c r="V225" s="14"/>
      <c r="W225" s="14"/>
      <c r="X225" s="18"/>
      <c r="Y225" s="18"/>
      <c r="Z225" s="18"/>
      <c r="AA225" s="19">
        <f t="shared" si="1"/>
        <v>6</v>
      </c>
      <c r="AB225" s="19" t="str">
        <f t="shared" si="2"/>
        <v/>
      </c>
      <c r="AC225" s="19"/>
    </row>
    <row r="226" ht="15.75" customHeight="1">
      <c r="A226" s="26">
        <v>45096.0</v>
      </c>
      <c r="B226" s="13" t="s">
        <v>28</v>
      </c>
      <c r="C226" s="27" t="s">
        <v>1137</v>
      </c>
      <c r="D226" s="27" t="s">
        <v>1138</v>
      </c>
      <c r="E226" s="27"/>
      <c r="F226" s="27" t="s">
        <v>1244</v>
      </c>
      <c r="G226" s="27">
        <v>5.0</v>
      </c>
      <c r="H226" s="27"/>
      <c r="I226" s="34" t="s">
        <v>1139</v>
      </c>
      <c r="J226" s="27"/>
      <c r="K226" s="27"/>
      <c r="L226" s="27" t="s">
        <v>1135</v>
      </c>
      <c r="M226" s="27" t="s">
        <v>48</v>
      </c>
      <c r="N226" s="27" t="s">
        <v>67</v>
      </c>
      <c r="O226" s="14" t="b">
        <v>1</v>
      </c>
      <c r="P226" s="27" t="s">
        <v>1140</v>
      </c>
      <c r="Q226" s="27"/>
      <c r="R226" s="27"/>
      <c r="S226" s="27" t="s">
        <v>1141</v>
      </c>
      <c r="T226" s="27"/>
      <c r="U226" s="26"/>
      <c r="V226" s="32">
        <v>45101.0</v>
      </c>
      <c r="W226" s="27" t="s">
        <v>4248</v>
      </c>
      <c r="X226" s="25">
        <v>8750000.0</v>
      </c>
      <c r="Y226" s="25">
        <f>X226-Z226</f>
        <v>1312500</v>
      </c>
      <c r="Z226" s="25">
        <v>7437500.0</v>
      </c>
      <c r="AA226" s="19">
        <f t="shared" si="1"/>
        <v>6</v>
      </c>
      <c r="AB226" s="19">
        <f t="shared" si="2"/>
        <v>6</v>
      </c>
      <c r="AC226" s="19"/>
    </row>
    <row r="227" ht="15.75" customHeight="1">
      <c r="A227" s="26">
        <v>45097.0</v>
      </c>
      <c r="B227" s="27" t="s">
        <v>201</v>
      </c>
      <c r="C227" s="27" t="s">
        <v>4249</v>
      </c>
      <c r="D227" s="27" t="s">
        <v>1143</v>
      </c>
      <c r="E227" s="27"/>
      <c r="F227" s="27">
        <v>2016.0</v>
      </c>
      <c r="G227" s="27"/>
      <c r="H227" s="27"/>
      <c r="I227" s="34" t="s">
        <v>1144</v>
      </c>
      <c r="J227" s="27"/>
      <c r="K227" s="27"/>
      <c r="L227" s="27" t="s">
        <v>1145</v>
      </c>
      <c r="M227" s="27" t="s">
        <v>111</v>
      </c>
      <c r="N227" s="27" t="s">
        <v>67</v>
      </c>
      <c r="O227" s="14" t="b">
        <v>1</v>
      </c>
      <c r="P227" s="27"/>
      <c r="Q227" s="27"/>
      <c r="R227" s="27"/>
      <c r="S227" s="27" t="s">
        <v>1146</v>
      </c>
      <c r="T227" s="27" t="s">
        <v>4227</v>
      </c>
      <c r="U227" s="26"/>
      <c r="V227" s="32">
        <v>45098.0</v>
      </c>
      <c r="W227" s="27" t="s">
        <v>4208</v>
      </c>
      <c r="X227" s="25">
        <v>3062000.0</v>
      </c>
      <c r="Y227" s="25">
        <v>153100.0</v>
      </c>
      <c r="Z227" s="25">
        <v>2908900.0</v>
      </c>
      <c r="AA227" s="19">
        <f t="shared" si="1"/>
        <v>6</v>
      </c>
      <c r="AB227" s="19">
        <f t="shared" si="2"/>
        <v>6</v>
      </c>
      <c r="AC227" s="19"/>
    </row>
    <row r="228" ht="15.75" customHeight="1">
      <c r="A228" s="26">
        <v>45097.0</v>
      </c>
      <c r="B228" s="27" t="s">
        <v>201</v>
      </c>
      <c r="C228" s="27" t="s">
        <v>4250</v>
      </c>
      <c r="D228" s="27" t="s">
        <v>1148</v>
      </c>
      <c r="E228" s="27"/>
      <c r="F228" s="27">
        <v>2010.0</v>
      </c>
      <c r="G228" s="27">
        <v>8.0</v>
      </c>
      <c r="H228" s="27"/>
      <c r="I228" s="34" t="s">
        <v>1149</v>
      </c>
      <c r="J228" s="27"/>
      <c r="K228" s="27"/>
      <c r="L228" s="27"/>
      <c r="M228" s="27" t="s">
        <v>48</v>
      </c>
      <c r="N228" s="27" t="s">
        <v>67</v>
      </c>
      <c r="O228" s="14" t="b">
        <v>1</v>
      </c>
      <c r="P228" s="27" t="s">
        <v>4251</v>
      </c>
      <c r="Q228" s="27"/>
      <c r="R228" s="27"/>
      <c r="S228" s="27" t="s">
        <v>1152</v>
      </c>
      <c r="T228" s="27" t="s">
        <v>4252</v>
      </c>
      <c r="U228" s="26"/>
      <c r="V228" s="32">
        <v>45098.0</v>
      </c>
      <c r="W228" s="27" t="s">
        <v>4253</v>
      </c>
      <c r="X228" s="25">
        <v>6124000.0</v>
      </c>
      <c r="Y228" s="25">
        <f>X228-Z228</f>
        <v>918600</v>
      </c>
      <c r="Z228" s="25">
        <v>5205400.0</v>
      </c>
      <c r="AA228" s="19">
        <f t="shared" si="1"/>
        <v>6</v>
      </c>
      <c r="AB228" s="19">
        <f t="shared" si="2"/>
        <v>6</v>
      </c>
      <c r="AC228" s="19"/>
    </row>
    <row r="229" ht="15.75" customHeight="1">
      <c r="A229" s="12">
        <v>45094.0</v>
      </c>
      <c r="B229" s="14" t="s">
        <v>201</v>
      </c>
      <c r="C229" s="14" t="s">
        <v>1153</v>
      </c>
      <c r="D229" s="14" t="s">
        <v>1154</v>
      </c>
      <c r="E229" s="14"/>
      <c r="F229" s="14" t="s">
        <v>87</v>
      </c>
      <c r="G229" s="14">
        <v>7.0</v>
      </c>
      <c r="H229" s="14"/>
      <c r="I229" s="15" t="s">
        <v>1155</v>
      </c>
      <c r="J229" s="14"/>
      <c r="K229" s="14"/>
      <c r="L229" s="14"/>
      <c r="M229" s="14" t="s">
        <v>111</v>
      </c>
      <c r="N229" s="14" t="s">
        <v>34</v>
      </c>
      <c r="O229" s="14" t="b">
        <v>1</v>
      </c>
      <c r="P229" s="14" t="s">
        <v>1156</v>
      </c>
      <c r="Q229" s="14"/>
      <c r="R229" s="14"/>
      <c r="S229" s="14" t="s">
        <v>1157</v>
      </c>
      <c r="T229" s="14" t="s">
        <v>4069</v>
      </c>
      <c r="U229" s="17"/>
      <c r="V229" s="14"/>
      <c r="W229" s="14"/>
      <c r="X229" s="18"/>
      <c r="Y229" s="18"/>
      <c r="Z229" s="18"/>
      <c r="AA229" s="19">
        <f t="shared" si="1"/>
        <v>6</v>
      </c>
      <c r="AB229" s="19" t="str">
        <f t="shared" si="2"/>
        <v/>
      </c>
      <c r="AC229" s="19"/>
    </row>
    <row r="230" ht="15.75" customHeight="1">
      <c r="A230" s="12">
        <v>45093.0</v>
      </c>
      <c r="B230" s="14" t="s">
        <v>84</v>
      </c>
      <c r="C230" s="14" t="s">
        <v>4254</v>
      </c>
      <c r="D230" s="14" t="s">
        <v>1159</v>
      </c>
      <c r="E230" s="14"/>
      <c r="F230" s="14">
        <v>2015.0</v>
      </c>
      <c r="G230" s="14">
        <v>3.0</v>
      </c>
      <c r="H230" s="14"/>
      <c r="I230" s="15" t="s">
        <v>1160</v>
      </c>
      <c r="J230" s="14"/>
      <c r="K230" s="14"/>
      <c r="L230" s="14"/>
      <c r="M230" s="14" t="s">
        <v>111</v>
      </c>
      <c r="N230" s="14" t="s">
        <v>34</v>
      </c>
      <c r="O230" s="14" t="b">
        <v>1</v>
      </c>
      <c r="P230" s="14" t="s">
        <v>4255</v>
      </c>
      <c r="Q230" s="14"/>
      <c r="R230" s="14"/>
      <c r="S230" s="14" t="s">
        <v>1162</v>
      </c>
      <c r="T230" s="14" t="s">
        <v>4069</v>
      </c>
      <c r="U230" s="17"/>
      <c r="V230" s="14"/>
      <c r="W230" s="14"/>
      <c r="X230" s="18"/>
      <c r="Y230" s="18"/>
      <c r="Z230" s="18"/>
      <c r="AA230" s="19">
        <f t="shared" si="1"/>
        <v>6</v>
      </c>
      <c r="AB230" s="19" t="str">
        <f t="shared" si="2"/>
        <v/>
      </c>
      <c r="AC230" s="19"/>
    </row>
    <row r="231" ht="15.75" customHeight="1">
      <c r="A231" s="12">
        <v>45097.0</v>
      </c>
      <c r="B231" s="14" t="s">
        <v>73</v>
      </c>
      <c r="C231" s="14" t="s">
        <v>1163</v>
      </c>
      <c r="D231" s="14" t="s">
        <v>1164</v>
      </c>
      <c r="E231" s="14"/>
      <c r="F231" s="14" t="s">
        <v>425</v>
      </c>
      <c r="G231" s="14">
        <v>4.0</v>
      </c>
      <c r="H231" s="14"/>
      <c r="I231" s="15" t="s">
        <v>1165</v>
      </c>
      <c r="J231" s="14"/>
      <c r="K231" s="14"/>
      <c r="L231" s="14"/>
      <c r="M231" s="14" t="s">
        <v>48</v>
      </c>
      <c r="N231" s="14" t="s">
        <v>34</v>
      </c>
      <c r="O231" s="14" t="b">
        <v>0</v>
      </c>
      <c r="P231" s="14"/>
      <c r="Q231" s="14"/>
      <c r="R231" s="14"/>
      <c r="S231" s="14" t="s">
        <v>1166</v>
      </c>
      <c r="T231" s="14" t="s">
        <v>36</v>
      </c>
      <c r="U231" s="17"/>
      <c r="V231" s="14"/>
      <c r="W231" s="14"/>
      <c r="X231" s="18"/>
      <c r="Y231" s="18"/>
      <c r="Z231" s="18"/>
      <c r="AA231" s="19">
        <f t="shared" si="1"/>
        <v>6</v>
      </c>
      <c r="AB231" s="19" t="str">
        <f t="shared" si="2"/>
        <v/>
      </c>
      <c r="AC231" s="19"/>
    </row>
    <row r="232" ht="15.75" customHeight="1">
      <c r="A232" s="12">
        <v>45097.0</v>
      </c>
      <c r="B232" s="13" t="s">
        <v>28</v>
      </c>
      <c r="C232" s="14" t="s">
        <v>1167</v>
      </c>
      <c r="D232" s="14" t="s">
        <v>1168</v>
      </c>
      <c r="E232" s="14"/>
      <c r="F232" s="14"/>
      <c r="G232" s="14">
        <v>2.0</v>
      </c>
      <c r="H232" s="14"/>
      <c r="I232" s="15" t="s">
        <v>1169</v>
      </c>
      <c r="J232" s="14"/>
      <c r="K232" s="14"/>
      <c r="L232" s="14"/>
      <c r="M232" s="14" t="s">
        <v>48</v>
      </c>
      <c r="N232" s="14" t="s">
        <v>34</v>
      </c>
      <c r="O232" s="14" t="b">
        <v>0</v>
      </c>
      <c r="P232" s="14" t="s">
        <v>1170</v>
      </c>
      <c r="Q232" s="14"/>
      <c r="R232" s="14"/>
      <c r="S232" s="14" t="s">
        <v>1171</v>
      </c>
      <c r="T232" s="14" t="s">
        <v>36</v>
      </c>
      <c r="U232" s="17"/>
      <c r="V232" s="14"/>
      <c r="W232" s="14"/>
      <c r="X232" s="18"/>
      <c r="Y232" s="18"/>
      <c r="Z232" s="18"/>
      <c r="AA232" s="19">
        <f t="shared" si="1"/>
        <v>6</v>
      </c>
      <c r="AB232" s="19" t="str">
        <f t="shared" si="2"/>
        <v/>
      </c>
      <c r="AC232" s="19"/>
    </row>
    <row r="233" ht="15.75" customHeight="1">
      <c r="A233" s="12">
        <v>45097.0</v>
      </c>
      <c r="B233" s="13" t="s">
        <v>28</v>
      </c>
      <c r="C233" s="14" t="s">
        <v>1172</v>
      </c>
      <c r="D233" s="14" t="s">
        <v>1173</v>
      </c>
      <c r="E233" s="14"/>
      <c r="F233" s="280">
        <v>41649.0</v>
      </c>
      <c r="G233" s="14">
        <v>4.0</v>
      </c>
      <c r="H233" s="14"/>
      <c r="I233" s="15" t="s">
        <v>1174</v>
      </c>
      <c r="J233" s="14"/>
      <c r="K233" s="14"/>
      <c r="L233" s="14"/>
      <c r="M233" s="14" t="s">
        <v>48</v>
      </c>
      <c r="N233" s="14" t="s">
        <v>1049</v>
      </c>
      <c r="O233" s="14" t="b">
        <v>1</v>
      </c>
      <c r="P233" s="14" t="s">
        <v>1175</v>
      </c>
      <c r="Q233" s="14"/>
      <c r="R233" s="14"/>
      <c r="S233" s="14" t="s">
        <v>1176</v>
      </c>
      <c r="T233" s="14" t="s">
        <v>4256</v>
      </c>
      <c r="U233" s="17"/>
      <c r="V233" s="14"/>
      <c r="W233" s="14"/>
      <c r="X233" s="18"/>
      <c r="Y233" s="18"/>
      <c r="Z233" s="18"/>
      <c r="AA233" s="19">
        <f t="shared" si="1"/>
        <v>6</v>
      </c>
      <c r="AB233" s="19" t="str">
        <f t="shared" si="2"/>
        <v/>
      </c>
      <c r="AC233" s="19"/>
    </row>
    <row r="234" ht="15.75" customHeight="1">
      <c r="A234" s="12">
        <v>45097.0</v>
      </c>
      <c r="B234" s="13" t="s">
        <v>28</v>
      </c>
      <c r="C234" s="14" t="s">
        <v>1177</v>
      </c>
      <c r="D234" s="14"/>
      <c r="E234" s="14"/>
      <c r="F234" s="14"/>
      <c r="G234" s="14"/>
      <c r="H234" s="14"/>
      <c r="I234" s="15" t="s">
        <v>1178</v>
      </c>
      <c r="J234" s="14"/>
      <c r="K234" s="14"/>
      <c r="L234" s="13" t="s">
        <v>1179</v>
      </c>
      <c r="M234" s="14" t="s">
        <v>48</v>
      </c>
      <c r="N234" s="14" t="s">
        <v>565</v>
      </c>
      <c r="O234" s="14" t="b">
        <v>0</v>
      </c>
      <c r="P234" s="14"/>
      <c r="Q234" s="14"/>
      <c r="R234" s="14"/>
      <c r="S234" s="62" t="s">
        <v>1180</v>
      </c>
      <c r="T234" s="14" t="s">
        <v>4257</v>
      </c>
      <c r="U234" s="17"/>
      <c r="V234" s="14"/>
      <c r="W234" s="14"/>
      <c r="X234" s="18"/>
      <c r="Y234" s="18"/>
      <c r="Z234" s="18"/>
      <c r="AA234" s="19">
        <f t="shared" si="1"/>
        <v>6</v>
      </c>
      <c r="AB234" s="19" t="str">
        <f t="shared" si="2"/>
        <v/>
      </c>
      <c r="AC234" s="19"/>
    </row>
    <row r="235" ht="15.75" customHeight="1">
      <c r="A235" s="12">
        <v>45097.0</v>
      </c>
      <c r="B235" s="13" t="s">
        <v>28</v>
      </c>
      <c r="C235" s="14" t="s">
        <v>1181</v>
      </c>
      <c r="D235" s="14" t="s">
        <v>1182</v>
      </c>
      <c r="E235" s="14"/>
      <c r="F235" s="14"/>
      <c r="G235" s="14">
        <v>7.0</v>
      </c>
      <c r="H235" s="14"/>
      <c r="I235" s="15" t="s">
        <v>1183</v>
      </c>
      <c r="J235" s="14"/>
      <c r="K235" s="14"/>
      <c r="L235" s="14" t="s">
        <v>1184</v>
      </c>
      <c r="M235" s="14" t="s">
        <v>48</v>
      </c>
      <c r="N235" s="14" t="s">
        <v>13</v>
      </c>
      <c r="O235" s="14" t="b">
        <v>1</v>
      </c>
      <c r="P235" s="14" t="s">
        <v>1185</v>
      </c>
      <c r="Q235" s="14"/>
      <c r="R235" s="14"/>
      <c r="S235" s="14" t="s">
        <v>1186</v>
      </c>
      <c r="T235" s="14" t="s">
        <v>36</v>
      </c>
      <c r="U235" s="22"/>
      <c r="V235" s="14"/>
      <c r="W235" s="14"/>
      <c r="X235" s="18"/>
      <c r="Y235" s="18"/>
      <c r="Z235" s="18"/>
      <c r="AA235" s="19">
        <f t="shared" si="1"/>
        <v>6</v>
      </c>
      <c r="AB235" s="19" t="str">
        <f t="shared" si="2"/>
        <v/>
      </c>
      <c r="AC235" s="19"/>
    </row>
    <row r="236" ht="15.75" customHeight="1">
      <c r="A236" s="26">
        <v>45098.0</v>
      </c>
      <c r="B236" s="13" t="s">
        <v>28</v>
      </c>
      <c r="C236" s="27" t="s">
        <v>1187</v>
      </c>
      <c r="D236" s="27" t="s">
        <v>1188</v>
      </c>
      <c r="E236" s="27"/>
      <c r="F236" s="27" t="s">
        <v>457</v>
      </c>
      <c r="G236" s="27"/>
      <c r="H236" s="27"/>
      <c r="I236" s="34" t="s">
        <v>1189</v>
      </c>
      <c r="J236" s="27"/>
      <c r="K236" s="27"/>
      <c r="L236" s="27" t="s">
        <v>1190</v>
      </c>
      <c r="M236" s="27" t="s">
        <v>48</v>
      </c>
      <c r="N236" s="27" t="s">
        <v>67</v>
      </c>
      <c r="O236" s="14" t="b">
        <v>1</v>
      </c>
      <c r="P236" s="27" t="s">
        <v>1191</v>
      </c>
      <c r="Q236" s="27"/>
      <c r="R236" s="27"/>
      <c r="S236" s="27" t="s">
        <v>1192</v>
      </c>
      <c r="T236" s="27"/>
      <c r="U236" s="26"/>
      <c r="V236" s="32">
        <v>45107.0</v>
      </c>
      <c r="W236" s="281" t="s">
        <v>4258</v>
      </c>
      <c r="X236" s="25">
        <v>3062000.0</v>
      </c>
      <c r="Y236" s="25">
        <f>X236-Z236</f>
        <v>153000</v>
      </c>
      <c r="Z236" s="25">
        <v>2909000.0</v>
      </c>
      <c r="AA236" s="19">
        <f t="shared" si="1"/>
        <v>6</v>
      </c>
      <c r="AB236" s="19">
        <f t="shared" si="2"/>
        <v>6</v>
      </c>
      <c r="AC236" s="19"/>
    </row>
    <row r="237" ht="15.75" customHeight="1">
      <c r="A237" s="12">
        <v>45098.0</v>
      </c>
      <c r="B237" s="13" t="s">
        <v>28</v>
      </c>
      <c r="C237" s="14"/>
      <c r="D237" s="14" t="s">
        <v>1193</v>
      </c>
      <c r="E237" s="14"/>
      <c r="F237" s="14" t="s">
        <v>4259</v>
      </c>
      <c r="G237" s="14"/>
      <c r="H237" s="14"/>
      <c r="I237" s="15" t="s">
        <v>1194</v>
      </c>
      <c r="J237" s="14"/>
      <c r="K237" s="14"/>
      <c r="L237" s="14" t="s">
        <v>4260</v>
      </c>
      <c r="M237" s="14" t="s">
        <v>48</v>
      </c>
      <c r="N237" s="14" t="s">
        <v>158</v>
      </c>
      <c r="O237" s="14" t="b">
        <v>1</v>
      </c>
      <c r="P237" s="14" t="s">
        <v>4261</v>
      </c>
      <c r="Q237" s="14"/>
      <c r="R237" s="14"/>
      <c r="S237" s="14" t="s">
        <v>1197</v>
      </c>
      <c r="T237" s="14" t="s">
        <v>4262</v>
      </c>
      <c r="U237" s="17"/>
      <c r="V237" s="14"/>
      <c r="W237" s="14"/>
      <c r="X237" s="18"/>
      <c r="Y237" s="18"/>
      <c r="Z237" s="18"/>
      <c r="AA237" s="19">
        <f t="shared" si="1"/>
        <v>6</v>
      </c>
      <c r="AB237" s="19" t="str">
        <f t="shared" si="2"/>
        <v/>
      </c>
      <c r="AC237" s="19"/>
    </row>
    <row r="238" ht="15.75" customHeight="1">
      <c r="A238" s="12">
        <v>45098.0</v>
      </c>
      <c r="B238" s="13" t="s">
        <v>28</v>
      </c>
      <c r="C238" s="14" t="s">
        <v>1198</v>
      </c>
      <c r="D238" s="14" t="s">
        <v>1199</v>
      </c>
      <c r="E238" s="14"/>
      <c r="F238" s="14">
        <v>2017.0</v>
      </c>
      <c r="G238" s="14"/>
      <c r="H238" s="14"/>
      <c r="I238" s="15" t="s">
        <v>1200</v>
      </c>
      <c r="J238" s="14"/>
      <c r="K238" s="14"/>
      <c r="L238" s="14" t="s">
        <v>1201</v>
      </c>
      <c r="M238" s="14" t="s">
        <v>111</v>
      </c>
      <c r="N238" s="14" t="s">
        <v>333</v>
      </c>
      <c r="O238" s="14" t="b">
        <v>0</v>
      </c>
      <c r="P238" s="14"/>
      <c r="Q238" s="14"/>
      <c r="R238" s="14"/>
      <c r="S238" s="14" t="s">
        <v>1202</v>
      </c>
      <c r="T238" s="14" t="s">
        <v>4197</v>
      </c>
      <c r="U238" s="17">
        <v>45110.0</v>
      </c>
      <c r="V238" s="14"/>
      <c r="W238" s="14"/>
      <c r="X238" s="18"/>
      <c r="Y238" s="18"/>
      <c r="Z238" s="18"/>
      <c r="AA238" s="19">
        <f t="shared" si="1"/>
        <v>6</v>
      </c>
      <c r="AB238" s="19" t="str">
        <f t="shared" si="2"/>
        <v/>
      </c>
      <c r="AC238" s="19" t="s">
        <v>373</v>
      </c>
    </row>
    <row r="239" ht="15.75" customHeight="1">
      <c r="A239" s="12">
        <v>45098.0</v>
      </c>
      <c r="B239" s="13" t="s">
        <v>28</v>
      </c>
      <c r="C239" s="14" t="s">
        <v>1203</v>
      </c>
      <c r="D239" s="14"/>
      <c r="E239" s="14"/>
      <c r="F239" s="14"/>
      <c r="G239" s="14"/>
      <c r="H239" s="14"/>
      <c r="I239" s="15" t="s">
        <v>1204</v>
      </c>
      <c r="J239" s="14"/>
      <c r="K239" s="14"/>
      <c r="L239" s="14"/>
      <c r="M239" s="14" t="s">
        <v>48</v>
      </c>
      <c r="N239" s="14" t="s">
        <v>1049</v>
      </c>
      <c r="O239" s="14" t="b">
        <v>0</v>
      </c>
      <c r="P239" s="14"/>
      <c r="Q239" s="14"/>
      <c r="R239" s="14"/>
      <c r="S239" s="14" t="s">
        <v>1205</v>
      </c>
      <c r="T239" s="14" t="s">
        <v>4263</v>
      </c>
      <c r="U239" s="17">
        <v>45127.0</v>
      </c>
      <c r="V239" s="14"/>
      <c r="W239" s="14"/>
      <c r="X239" s="18"/>
      <c r="Y239" s="18"/>
      <c r="Z239" s="18"/>
      <c r="AA239" s="19">
        <f t="shared" si="1"/>
        <v>6</v>
      </c>
      <c r="AB239" s="19" t="str">
        <f t="shared" si="2"/>
        <v/>
      </c>
      <c r="AC239" s="19"/>
    </row>
    <row r="240" ht="15.75" customHeight="1">
      <c r="A240" s="12">
        <v>45084.0</v>
      </c>
      <c r="B240" s="14" t="s">
        <v>201</v>
      </c>
      <c r="C240" s="14" t="s">
        <v>4264</v>
      </c>
      <c r="D240" s="14"/>
      <c r="E240" s="14"/>
      <c r="F240" s="14" t="s">
        <v>839</v>
      </c>
      <c r="G240" s="14"/>
      <c r="H240" s="14"/>
      <c r="I240" s="15" t="s">
        <v>1207</v>
      </c>
      <c r="J240" s="14"/>
      <c r="K240" s="14"/>
      <c r="L240" s="14"/>
      <c r="M240" s="14" t="s">
        <v>111</v>
      </c>
      <c r="N240" s="14" t="s">
        <v>34</v>
      </c>
      <c r="O240" s="14" t="b">
        <v>0</v>
      </c>
      <c r="P240" s="14"/>
      <c r="Q240" s="14"/>
      <c r="R240" s="14"/>
      <c r="S240" s="14" t="s">
        <v>1208</v>
      </c>
      <c r="T240" s="14"/>
      <c r="U240" s="17"/>
      <c r="V240" s="14"/>
      <c r="W240" s="14"/>
      <c r="X240" s="18"/>
      <c r="Y240" s="18"/>
      <c r="Z240" s="18"/>
      <c r="AA240" s="19">
        <f t="shared" si="1"/>
        <v>6</v>
      </c>
      <c r="AB240" s="19" t="str">
        <f t="shared" si="2"/>
        <v/>
      </c>
      <c r="AC240" s="19"/>
    </row>
    <row r="241" ht="15.75" customHeight="1">
      <c r="A241" s="12">
        <v>45098.0</v>
      </c>
      <c r="B241" s="13" t="s">
        <v>28</v>
      </c>
      <c r="C241" s="14" t="s">
        <v>1209</v>
      </c>
      <c r="D241" s="14" t="s">
        <v>1210</v>
      </c>
      <c r="E241" s="14"/>
      <c r="F241" s="14" t="s">
        <v>542</v>
      </c>
      <c r="G241" s="14"/>
      <c r="H241" s="14"/>
      <c r="I241" s="15" t="s">
        <v>1211</v>
      </c>
      <c r="J241" s="14"/>
      <c r="K241" s="14">
        <v>7.84648555E8</v>
      </c>
      <c r="L241" s="14" t="s">
        <v>1212</v>
      </c>
      <c r="M241" s="14" t="s">
        <v>111</v>
      </c>
      <c r="N241" s="14" t="s">
        <v>34</v>
      </c>
      <c r="O241" s="14" t="b">
        <v>0</v>
      </c>
      <c r="P241" s="14"/>
      <c r="Q241" s="14"/>
      <c r="R241" s="14"/>
      <c r="S241" s="14" t="s">
        <v>1213</v>
      </c>
      <c r="T241" s="14" t="s">
        <v>4069</v>
      </c>
      <c r="U241" s="17"/>
      <c r="V241" s="14"/>
      <c r="W241" s="14"/>
      <c r="X241" s="18"/>
      <c r="Y241" s="18"/>
      <c r="Z241" s="18"/>
      <c r="AA241" s="19">
        <f t="shared" si="1"/>
        <v>6</v>
      </c>
      <c r="AB241" s="19" t="str">
        <f t="shared" si="2"/>
        <v/>
      </c>
      <c r="AC241" s="19"/>
    </row>
    <row r="242" ht="15.75" customHeight="1">
      <c r="A242" s="12">
        <v>45098.0</v>
      </c>
      <c r="B242" s="13" t="s">
        <v>28</v>
      </c>
      <c r="C242" s="14" t="s">
        <v>1214</v>
      </c>
      <c r="D242" s="14" t="s">
        <v>1215</v>
      </c>
      <c r="E242" s="14"/>
      <c r="F242" s="14" t="s">
        <v>542</v>
      </c>
      <c r="G242" s="14"/>
      <c r="H242" s="14"/>
      <c r="I242" s="15" t="s">
        <v>1216</v>
      </c>
      <c r="J242" s="14"/>
      <c r="K242" s="14">
        <v>3.54507704E8</v>
      </c>
      <c r="L242" s="14"/>
      <c r="M242" s="14" t="s">
        <v>111</v>
      </c>
      <c r="N242" s="14" t="s">
        <v>34</v>
      </c>
      <c r="O242" s="14" t="b">
        <v>0</v>
      </c>
      <c r="P242" s="14"/>
      <c r="Q242" s="14"/>
      <c r="R242" s="14"/>
      <c r="S242" s="14" t="s">
        <v>1217</v>
      </c>
      <c r="T242" s="14" t="s">
        <v>4096</v>
      </c>
      <c r="U242" s="17"/>
      <c r="V242" s="14"/>
      <c r="W242" s="14"/>
      <c r="X242" s="18"/>
      <c r="Y242" s="18"/>
      <c r="Z242" s="18"/>
      <c r="AA242" s="19">
        <f t="shared" si="1"/>
        <v>6</v>
      </c>
      <c r="AB242" s="19" t="str">
        <f t="shared" si="2"/>
        <v/>
      </c>
      <c r="AC242" s="19"/>
    </row>
    <row r="243" ht="15.75" customHeight="1">
      <c r="A243" s="12">
        <v>45098.0</v>
      </c>
      <c r="B243" s="13" t="s">
        <v>28</v>
      </c>
      <c r="C243" s="14" t="s">
        <v>1218</v>
      </c>
      <c r="D243" s="14" t="s">
        <v>1219</v>
      </c>
      <c r="E243" s="14"/>
      <c r="F243" s="14" t="s">
        <v>4229</v>
      </c>
      <c r="G243" s="14"/>
      <c r="H243" s="14"/>
      <c r="I243" s="15" t="s">
        <v>1220</v>
      </c>
      <c r="J243" s="14"/>
      <c r="K243" s="14"/>
      <c r="L243" s="14" t="s">
        <v>1221</v>
      </c>
      <c r="M243" s="14" t="s">
        <v>48</v>
      </c>
      <c r="N243" s="14" t="s">
        <v>13</v>
      </c>
      <c r="O243" s="14" t="b">
        <v>1</v>
      </c>
      <c r="P243" s="14" t="s">
        <v>1222</v>
      </c>
      <c r="Q243" s="14"/>
      <c r="R243" s="14"/>
      <c r="S243" s="14" t="s">
        <v>1223</v>
      </c>
      <c r="T243" s="14" t="s">
        <v>4265</v>
      </c>
      <c r="U243" s="17">
        <v>45127.0</v>
      </c>
      <c r="V243" s="14"/>
      <c r="W243" s="14"/>
      <c r="X243" s="18"/>
      <c r="Y243" s="18"/>
      <c r="Z243" s="18"/>
      <c r="AA243" s="19">
        <f t="shared" si="1"/>
        <v>6</v>
      </c>
      <c r="AB243" s="19" t="str">
        <f t="shared" si="2"/>
        <v/>
      </c>
      <c r="AC243" s="19"/>
    </row>
    <row r="244" ht="15.75" customHeight="1">
      <c r="A244" s="26">
        <v>45098.0</v>
      </c>
      <c r="B244" s="13" t="s">
        <v>28</v>
      </c>
      <c r="C244" s="27" t="s">
        <v>1224</v>
      </c>
      <c r="D244" s="27" t="s">
        <v>1225</v>
      </c>
      <c r="E244" s="27"/>
      <c r="F244" s="27">
        <v>2011.0</v>
      </c>
      <c r="G244" s="27" t="s">
        <v>234</v>
      </c>
      <c r="H244" s="27"/>
      <c r="I244" s="34" t="s">
        <v>1226</v>
      </c>
      <c r="J244" s="27"/>
      <c r="K244" s="27"/>
      <c r="L244" s="27" t="s">
        <v>289</v>
      </c>
      <c r="M244" s="27" t="s">
        <v>111</v>
      </c>
      <c r="N244" s="27" t="s">
        <v>67</v>
      </c>
      <c r="O244" s="14" t="b">
        <v>1</v>
      </c>
      <c r="P244" s="27" t="s">
        <v>1227</v>
      </c>
      <c r="Q244" s="27"/>
      <c r="R244" s="27"/>
      <c r="S244" s="27" t="s">
        <v>1228</v>
      </c>
      <c r="T244" s="27" t="s">
        <v>4266</v>
      </c>
      <c r="U244" s="26"/>
      <c r="V244" s="32">
        <v>45100.0</v>
      </c>
      <c r="W244" s="27" t="s">
        <v>4204</v>
      </c>
      <c r="X244" s="25">
        <v>4375000.0</v>
      </c>
      <c r="Y244" s="25">
        <v>218750.0</v>
      </c>
      <c r="Z244" s="25">
        <v>4156250.0</v>
      </c>
      <c r="AA244" s="19">
        <f t="shared" si="1"/>
        <v>6</v>
      </c>
      <c r="AB244" s="19">
        <f t="shared" si="2"/>
        <v>6</v>
      </c>
      <c r="AC244" s="19"/>
    </row>
    <row r="245" ht="15.75" customHeight="1">
      <c r="A245" s="26"/>
      <c r="B245" s="13" t="s">
        <v>28</v>
      </c>
      <c r="C245" s="27" t="s">
        <v>1224</v>
      </c>
      <c r="D245" s="27" t="s">
        <v>1225</v>
      </c>
      <c r="E245" s="27"/>
      <c r="F245" s="32"/>
      <c r="G245" s="27"/>
      <c r="H245" s="27"/>
      <c r="I245" s="34"/>
      <c r="J245" s="27"/>
      <c r="K245" s="27"/>
      <c r="L245" s="27"/>
      <c r="M245" s="27" t="s">
        <v>111</v>
      </c>
      <c r="N245" s="27" t="s">
        <v>67</v>
      </c>
      <c r="O245" s="14" t="b">
        <v>0</v>
      </c>
      <c r="P245" s="27"/>
      <c r="Q245" s="27"/>
      <c r="R245" s="27"/>
      <c r="S245" s="58"/>
      <c r="T245" s="27"/>
      <c r="U245" s="26"/>
      <c r="V245" s="32">
        <v>45112.0</v>
      </c>
      <c r="W245" s="27"/>
      <c r="X245" s="25" t="s">
        <v>1229</v>
      </c>
      <c r="Y245" s="25">
        <v>0.15</v>
      </c>
      <c r="Z245" s="25">
        <v>3281250.0</v>
      </c>
      <c r="AA245" s="19" t="str">
        <f t="shared" si="1"/>
        <v/>
      </c>
      <c r="AB245" s="19">
        <f t="shared" si="2"/>
        <v>7</v>
      </c>
      <c r="AC245" s="19"/>
    </row>
    <row r="246" ht="15.75" customHeight="1">
      <c r="A246" s="26">
        <v>45099.0</v>
      </c>
      <c r="B246" s="13" t="s">
        <v>28</v>
      </c>
      <c r="C246" s="131" t="s">
        <v>1231</v>
      </c>
      <c r="D246" s="131" t="s">
        <v>1232</v>
      </c>
      <c r="E246" s="27"/>
      <c r="F246" s="32">
        <v>39383.0</v>
      </c>
      <c r="G246" s="27" t="s">
        <v>1233</v>
      </c>
      <c r="H246" s="27"/>
      <c r="I246" s="34" t="s">
        <v>1234</v>
      </c>
      <c r="J246" s="27"/>
      <c r="K246" s="27"/>
      <c r="L246" s="27" t="s">
        <v>1235</v>
      </c>
      <c r="M246" s="27" t="s">
        <v>48</v>
      </c>
      <c r="N246" s="27" t="s">
        <v>67</v>
      </c>
      <c r="O246" s="14" t="b">
        <v>1</v>
      </c>
      <c r="P246" s="27" t="s">
        <v>1236</v>
      </c>
      <c r="Q246" s="27"/>
      <c r="R246" s="27"/>
      <c r="S246" s="58" t="s">
        <v>1237</v>
      </c>
      <c r="T246" s="27"/>
      <c r="U246" s="26"/>
      <c r="V246" s="32">
        <v>45101.0</v>
      </c>
      <c r="W246" s="27" t="s">
        <v>4267</v>
      </c>
      <c r="X246" s="25">
        <v>4375000.0</v>
      </c>
      <c r="Y246" s="25">
        <f t="shared" ref="Y246:Y248" si="4">X246-Z246</f>
        <v>350000</v>
      </c>
      <c r="Z246" s="25">
        <v>4025000.0</v>
      </c>
      <c r="AA246" s="19">
        <f t="shared" si="1"/>
        <v>6</v>
      </c>
      <c r="AB246" s="19">
        <f t="shared" si="2"/>
        <v>6</v>
      </c>
      <c r="AC246" s="19"/>
    </row>
    <row r="247" ht="15.75" customHeight="1">
      <c r="A247" s="26">
        <v>45099.0</v>
      </c>
      <c r="B247" s="13" t="s">
        <v>28</v>
      </c>
      <c r="C247" s="131" t="s">
        <v>1231</v>
      </c>
      <c r="D247" s="131" t="s">
        <v>1238</v>
      </c>
      <c r="E247" s="27"/>
      <c r="F247" s="32">
        <v>40107.0</v>
      </c>
      <c r="G247" s="27" t="s">
        <v>1239</v>
      </c>
      <c r="H247" s="27"/>
      <c r="I247" s="34" t="s">
        <v>1234</v>
      </c>
      <c r="J247" s="27"/>
      <c r="K247" s="27"/>
      <c r="L247" s="27" t="s">
        <v>1240</v>
      </c>
      <c r="M247" s="27" t="s">
        <v>48</v>
      </c>
      <c r="N247" s="27" t="s">
        <v>67</v>
      </c>
      <c r="O247" s="14" t="b">
        <v>1</v>
      </c>
      <c r="P247" s="27" t="s">
        <v>4268</v>
      </c>
      <c r="Q247" s="27"/>
      <c r="R247" s="27"/>
      <c r="S247" s="58" t="s">
        <v>1242</v>
      </c>
      <c r="T247" s="27"/>
      <c r="U247" s="26"/>
      <c r="V247" s="32">
        <v>45101.0</v>
      </c>
      <c r="W247" s="27" t="s">
        <v>4269</v>
      </c>
      <c r="X247" s="25">
        <v>2558000.0</v>
      </c>
      <c r="Y247" s="25">
        <f t="shared" si="4"/>
        <v>204640</v>
      </c>
      <c r="Z247" s="25">
        <v>2353360.0</v>
      </c>
      <c r="AA247" s="19">
        <f t="shared" si="1"/>
        <v>6</v>
      </c>
      <c r="AB247" s="19">
        <f t="shared" si="2"/>
        <v>6</v>
      </c>
      <c r="AC247" s="19"/>
    </row>
    <row r="248" ht="15.75" customHeight="1">
      <c r="A248" s="26">
        <v>45099.0</v>
      </c>
      <c r="B248" s="13" t="s">
        <v>28</v>
      </c>
      <c r="C248" s="131" t="s">
        <v>1231</v>
      </c>
      <c r="D248" s="131" t="s">
        <v>1243</v>
      </c>
      <c r="E248" s="27"/>
      <c r="F248" s="32">
        <v>41459.0</v>
      </c>
      <c r="G248" s="27" t="s">
        <v>1244</v>
      </c>
      <c r="H248" s="27"/>
      <c r="I248" s="34" t="s">
        <v>1234</v>
      </c>
      <c r="J248" s="27"/>
      <c r="K248" s="27"/>
      <c r="L248" s="27" t="s">
        <v>1245</v>
      </c>
      <c r="M248" s="27" t="s">
        <v>48</v>
      </c>
      <c r="N248" s="27" t="s">
        <v>67</v>
      </c>
      <c r="O248" s="14" t="b">
        <v>1</v>
      </c>
      <c r="P248" s="27" t="s">
        <v>1246</v>
      </c>
      <c r="Q248" s="27"/>
      <c r="R248" s="27"/>
      <c r="S248" s="58" t="s">
        <v>1247</v>
      </c>
      <c r="T248" s="27"/>
      <c r="U248" s="26"/>
      <c r="V248" s="32">
        <v>45101.0</v>
      </c>
      <c r="W248" s="157" t="s">
        <v>4270</v>
      </c>
      <c r="X248" s="282">
        <v>3062000.0</v>
      </c>
      <c r="Y248" s="25">
        <f t="shared" si="4"/>
        <v>244960</v>
      </c>
      <c r="Z248" s="282">
        <v>2817040.0</v>
      </c>
      <c r="AA248" s="19">
        <f t="shared" si="1"/>
        <v>6</v>
      </c>
      <c r="AB248" s="19">
        <f t="shared" si="2"/>
        <v>6</v>
      </c>
      <c r="AC248" s="19"/>
    </row>
    <row r="249" ht="15.75" customHeight="1">
      <c r="A249" s="12">
        <v>45099.0</v>
      </c>
      <c r="B249" s="14" t="s">
        <v>703</v>
      </c>
      <c r="C249" s="14" t="s">
        <v>1248</v>
      </c>
      <c r="D249" s="14"/>
      <c r="E249" s="14"/>
      <c r="F249" s="14"/>
      <c r="G249" s="14"/>
      <c r="H249" s="14"/>
      <c r="I249" s="15" t="s">
        <v>1249</v>
      </c>
      <c r="J249" s="14"/>
      <c r="K249" s="14"/>
      <c r="L249" s="130" t="s">
        <v>4271</v>
      </c>
      <c r="M249" s="14" t="s">
        <v>111</v>
      </c>
      <c r="N249" s="14" t="s">
        <v>565</v>
      </c>
      <c r="O249" s="14" t="b">
        <v>0</v>
      </c>
      <c r="P249" s="14"/>
      <c r="Q249" s="14"/>
      <c r="R249" s="14"/>
      <c r="S249" s="14" t="s">
        <v>1251</v>
      </c>
      <c r="T249" s="14" t="s">
        <v>4096</v>
      </c>
      <c r="U249" s="17">
        <v>45105.0</v>
      </c>
      <c r="V249" s="14"/>
      <c r="W249" s="14"/>
      <c r="X249" s="18"/>
      <c r="Y249" s="18"/>
      <c r="Z249" s="18"/>
      <c r="AA249" s="19">
        <f t="shared" si="1"/>
        <v>6</v>
      </c>
      <c r="AB249" s="19" t="str">
        <f t="shared" si="2"/>
        <v/>
      </c>
      <c r="AC249" s="19"/>
    </row>
    <row r="250" ht="15.75" customHeight="1">
      <c r="A250" s="12">
        <v>45099.0</v>
      </c>
      <c r="B250" s="13" t="s">
        <v>28</v>
      </c>
      <c r="C250" s="14" t="s">
        <v>1252</v>
      </c>
      <c r="D250" s="14" t="s">
        <v>1253</v>
      </c>
      <c r="E250" s="14"/>
      <c r="F250" s="14"/>
      <c r="G250" s="14" t="s">
        <v>1254</v>
      </c>
      <c r="H250" s="14"/>
      <c r="I250" s="15" t="s">
        <v>1255</v>
      </c>
      <c r="J250" s="14"/>
      <c r="K250" s="14"/>
      <c r="L250" s="14"/>
      <c r="M250" s="14" t="s">
        <v>48</v>
      </c>
      <c r="N250" s="14" t="s">
        <v>158</v>
      </c>
      <c r="O250" s="14" t="b">
        <v>0</v>
      </c>
      <c r="P250" s="14"/>
      <c r="Q250" s="14"/>
      <c r="R250" s="14"/>
      <c r="S250" s="14" t="s">
        <v>1256</v>
      </c>
      <c r="T250" s="14" t="s">
        <v>4272</v>
      </c>
      <c r="U250" s="17">
        <v>45122.0</v>
      </c>
      <c r="V250" s="14"/>
      <c r="W250" s="14"/>
      <c r="X250" s="18"/>
      <c r="Y250" s="18"/>
      <c r="Z250" s="18"/>
      <c r="AA250" s="19">
        <f t="shared" si="1"/>
        <v>6</v>
      </c>
      <c r="AB250" s="19" t="str">
        <f t="shared" si="2"/>
        <v/>
      </c>
      <c r="AC250" s="19"/>
    </row>
    <row r="251" ht="15.75" customHeight="1">
      <c r="A251" s="12">
        <v>45099.0</v>
      </c>
      <c r="B251" s="13" t="s">
        <v>28</v>
      </c>
      <c r="C251" s="14" t="s">
        <v>1257</v>
      </c>
      <c r="D251" s="14" t="s">
        <v>1258</v>
      </c>
      <c r="E251" s="14"/>
      <c r="F251" s="14">
        <v>2012.0</v>
      </c>
      <c r="G251" s="14" t="s">
        <v>474</v>
      </c>
      <c r="H251" s="14"/>
      <c r="I251" s="15" t="s">
        <v>1259</v>
      </c>
      <c r="J251" s="14"/>
      <c r="K251" s="14"/>
      <c r="L251" s="130" t="s">
        <v>1260</v>
      </c>
      <c r="M251" s="14" t="s">
        <v>111</v>
      </c>
      <c r="N251" s="14" t="s">
        <v>13</v>
      </c>
      <c r="O251" s="14" t="b">
        <v>1</v>
      </c>
      <c r="P251" s="14" t="s">
        <v>1261</v>
      </c>
      <c r="Q251" s="14"/>
      <c r="R251" s="14"/>
      <c r="S251" s="14" t="s">
        <v>1262</v>
      </c>
      <c r="T251" s="14" t="s">
        <v>4197</v>
      </c>
      <c r="U251" s="17">
        <v>45124.0</v>
      </c>
      <c r="V251" s="14"/>
      <c r="W251" s="14"/>
      <c r="X251" s="18"/>
      <c r="Y251" s="18"/>
      <c r="Z251" s="18"/>
      <c r="AA251" s="19">
        <f t="shared" si="1"/>
        <v>6</v>
      </c>
      <c r="AB251" s="19" t="str">
        <f t="shared" si="2"/>
        <v/>
      </c>
      <c r="AC251" s="19"/>
    </row>
    <row r="252" ht="15.75" customHeight="1">
      <c r="A252" s="12">
        <v>45099.0</v>
      </c>
      <c r="B252" s="13" t="s">
        <v>28</v>
      </c>
      <c r="C252" s="14" t="s">
        <v>1263</v>
      </c>
      <c r="D252" s="14"/>
      <c r="E252" s="14"/>
      <c r="F252" s="14"/>
      <c r="G252" s="14"/>
      <c r="H252" s="14"/>
      <c r="I252" s="15" t="s">
        <v>1264</v>
      </c>
      <c r="J252" s="14"/>
      <c r="K252" s="14"/>
      <c r="L252" s="14" t="s">
        <v>1265</v>
      </c>
      <c r="M252" s="14" t="s">
        <v>48</v>
      </c>
      <c r="N252" s="14" t="s">
        <v>565</v>
      </c>
      <c r="O252" s="14" t="b">
        <v>0</v>
      </c>
      <c r="P252" s="14"/>
      <c r="Q252" s="14"/>
      <c r="R252" s="14"/>
      <c r="S252" s="14" t="s">
        <v>1266</v>
      </c>
      <c r="T252" s="14" t="s">
        <v>36</v>
      </c>
      <c r="U252" s="17"/>
      <c r="V252" s="14"/>
      <c r="W252" s="14"/>
      <c r="X252" s="18"/>
      <c r="Y252" s="18"/>
      <c r="Z252" s="18"/>
      <c r="AA252" s="19">
        <f t="shared" si="1"/>
        <v>6</v>
      </c>
      <c r="AB252" s="19" t="str">
        <f t="shared" si="2"/>
        <v/>
      </c>
      <c r="AC252" s="19"/>
    </row>
    <row r="253" ht="15.75" customHeight="1">
      <c r="A253" s="12">
        <v>45099.0</v>
      </c>
      <c r="B253" s="13" t="s">
        <v>28</v>
      </c>
      <c r="C253" s="14" t="s">
        <v>247</v>
      </c>
      <c r="D253" s="14"/>
      <c r="E253" s="14"/>
      <c r="F253" s="14"/>
      <c r="G253" s="14"/>
      <c r="H253" s="14"/>
      <c r="I253" s="15" t="s">
        <v>1267</v>
      </c>
      <c r="J253" s="14"/>
      <c r="K253" s="14"/>
      <c r="L253" s="14" t="s">
        <v>1268</v>
      </c>
      <c r="M253" s="14" t="s">
        <v>111</v>
      </c>
      <c r="N253" s="14" t="s">
        <v>216</v>
      </c>
      <c r="O253" s="14" t="b">
        <v>0</v>
      </c>
      <c r="P253" s="14"/>
      <c r="Q253" s="14"/>
      <c r="R253" s="14"/>
      <c r="S253" s="14" t="s">
        <v>1269</v>
      </c>
      <c r="T253" s="14" t="s">
        <v>4096</v>
      </c>
      <c r="U253" s="17">
        <v>45103.0</v>
      </c>
      <c r="V253" s="14"/>
      <c r="W253" s="14"/>
      <c r="X253" s="18"/>
      <c r="Y253" s="18"/>
      <c r="Z253" s="18"/>
      <c r="AA253" s="19">
        <f t="shared" si="1"/>
        <v>6</v>
      </c>
      <c r="AB253" s="19" t="str">
        <f t="shared" si="2"/>
        <v/>
      </c>
      <c r="AC253" s="19"/>
    </row>
    <row r="254" ht="15.75" customHeight="1">
      <c r="A254" s="12">
        <v>45099.0</v>
      </c>
      <c r="B254" s="13" t="s">
        <v>28</v>
      </c>
      <c r="C254" s="14" t="s">
        <v>1270</v>
      </c>
      <c r="D254" s="14" t="s">
        <v>1271</v>
      </c>
      <c r="E254" s="14"/>
      <c r="F254" s="14"/>
      <c r="G254" s="14">
        <v>6.0</v>
      </c>
      <c r="H254" s="14"/>
      <c r="I254" s="15" t="s">
        <v>1272</v>
      </c>
      <c r="J254" s="14"/>
      <c r="K254" s="14"/>
      <c r="L254" s="14" t="s">
        <v>1273</v>
      </c>
      <c r="M254" s="14" t="s">
        <v>48</v>
      </c>
      <c r="N254" s="14" t="s">
        <v>565</v>
      </c>
      <c r="O254" s="14" t="b">
        <v>0</v>
      </c>
      <c r="P254" s="14"/>
      <c r="Q254" s="14"/>
      <c r="R254" s="14"/>
      <c r="S254" s="14" t="s">
        <v>1274</v>
      </c>
      <c r="T254" s="14" t="s">
        <v>4273</v>
      </c>
      <c r="U254" s="17"/>
      <c r="V254" s="14"/>
      <c r="W254" s="14"/>
      <c r="X254" s="18"/>
      <c r="Y254" s="18"/>
      <c r="Z254" s="18"/>
      <c r="AA254" s="19">
        <f t="shared" si="1"/>
        <v>6</v>
      </c>
      <c r="AB254" s="19" t="str">
        <f t="shared" si="2"/>
        <v/>
      </c>
      <c r="AC254" s="19"/>
    </row>
    <row r="255" ht="15.75" customHeight="1">
      <c r="A255" s="12">
        <v>45099.0</v>
      </c>
      <c r="B255" s="13" t="s">
        <v>28</v>
      </c>
      <c r="C255" s="120" t="s">
        <v>1275</v>
      </c>
      <c r="D255" s="14" t="s">
        <v>1276</v>
      </c>
      <c r="E255" s="14"/>
      <c r="F255" s="14">
        <v>2010.0</v>
      </c>
      <c r="G255" s="14"/>
      <c r="H255" s="14"/>
      <c r="I255" s="15" t="s">
        <v>1277</v>
      </c>
      <c r="J255" s="14"/>
      <c r="K255" s="14"/>
      <c r="L255" s="14"/>
      <c r="M255" s="14" t="s">
        <v>111</v>
      </c>
      <c r="N255" s="14" t="s">
        <v>34</v>
      </c>
      <c r="O255" s="14" t="b">
        <v>0</v>
      </c>
      <c r="P255" s="14"/>
      <c r="Q255" s="14"/>
      <c r="R255" s="14"/>
      <c r="S255" s="14" t="s">
        <v>1278</v>
      </c>
      <c r="T255" s="14" t="s">
        <v>4069</v>
      </c>
      <c r="U255" s="17"/>
      <c r="V255" s="14"/>
      <c r="W255" s="14"/>
      <c r="X255" s="18"/>
      <c r="Y255" s="18"/>
      <c r="Z255" s="18"/>
      <c r="AA255" s="19">
        <f t="shared" si="1"/>
        <v>6</v>
      </c>
      <c r="AB255" s="19" t="str">
        <f t="shared" si="2"/>
        <v/>
      </c>
      <c r="AC255" s="19"/>
    </row>
    <row r="256" ht="15.75" customHeight="1">
      <c r="A256" s="12">
        <v>45099.0</v>
      </c>
      <c r="B256" s="13" t="s">
        <v>28</v>
      </c>
      <c r="C256" s="120" t="s">
        <v>1275</v>
      </c>
      <c r="D256" s="14" t="s">
        <v>1279</v>
      </c>
      <c r="E256" s="14"/>
      <c r="F256" s="14"/>
      <c r="G256" s="14"/>
      <c r="H256" s="14"/>
      <c r="I256" s="15" t="s">
        <v>1277</v>
      </c>
      <c r="J256" s="14"/>
      <c r="K256" s="14"/>
      <c r="L256" s="14"/>
      <c r="M256" s="14" t="s">
        <v>111</v>
      </c>
      <c r="N256" s="14" t="s">
        <v>34</v>
      </c>
      <c r="O256" s="14" t="b">
        <v>0</v>
      </c>
      <c r="P256" s="14"/>
      <c r="Q256" s="14"/>
      <c r="R256" s="14"/>
      <c r="S256" s="14" t="s">
        <v>1278</v>
      </c>
      <c r="T256" s="14" t="s">
        <v>4069</v>
      </c>
      <c r="U256" s="17"/>
      <c r="V256" s="14"/>
      <c r="W256" s="14"/>
      <c r="X256" s="18"/>
      <c r="Y256" s="18"/>
      <c r="Z256" s="18"/>
      <c r="AA256" s="19">
        <f t="shared" si="1"/>
        <v>6</v>
      </c>
      <c r="AB256" s="19" t="str">
        <f t="shared" si="2"/>
        <v/>
      </c>
      <c r="AC256" s="19"/>
    </row>
    <row r="257" ht="15.75" customHeight="1">
      <c r="A257" s="12">
        <v>45099.0</v>
      </c>
      <c r="B257" s="13" t="s">
        <v>28</v>
      </c>
      <c r="C257" s="14" t="s">
        <v>1280</v>
      </c>
      <c r="D257" s="14"/>
      <c r="E257" s="14"/>
      <c r="F257" s="14"/>
      <c r="G257" s="14"/>
      <c r="H257" s="14"/>
      <c r="I257" s="15" t="s">
        <v>1281</v>
      </c>
      <c r="J257" s="14"/>
      <c r="K257" s="132" t="s">
        <v>1281</v>
      </c>
      <c r="L257" s="14" t="s">
        <v>1282</v>
      </c>
      <c r="M257" s="14" t="s">
        <v>48</v>
      </c>
      <c r="N257" s="14" t="s">
        <v>565</v>
      </c>
      <c r="O257" s="14" t="b">
        <v>0</v>
      </c>
      <c r="P257" s="14"/>
      <c r="Q257" s="14"/>
      <c r="R257" s="14"/>
      <c r="S257" s="14" t="s">
        <v>1283</v>
      </c>
      <c r="T257" s="14" t="s">
        <v>4274</v>
      </c>
      <c r="U257" s="22">
        <v>45111.0</v>
      </c>
      <c r="V257" s="14"/>
      <c r="W257" s="14"/>
      <c r="X257" s="18"/>
      <c r="Y257" s="18"/>
      <c r="Z257" s="18"/>
      <c r="AA257" s="19">
        <f t="shared" si="1"/>
        <v>6</v>
      </c>
      <c r="AB257" s="19" t="str">
        <f t="shared" si="2"/>
        <v/>
      </c>
      <c r="AC257" s="19"/>
    </row>
    <row r="258" ht="15.75" customHeight="1">
      <c r="A258" s="12">
        <v>45099.0</v>
      </c>
      <c r="B258" s="13" t="s">
        <v>28</v>
      </c>
      <c r="C258" s="14" t="s">
        <v>1284</v>
      </c>
      <c r="D258" s="14" t="s">
        <v>1285</v>
      </c>
      <c r="E258" s="14"/>
      <c r="F258" s="14" t="s">
        <v>4125</v>
      </c>
      <c r="G258" s="14"/>
      <c r="H258" s="14"/>
      <c r="I258" s="15" t="s">
        <v>1286</v>
      </c>
      <c r="J258" s="14"/>
      <c r="K258" s="14"/>
      <c r="L258" s="130" t="s">
        <v>4275</v>
      </c>
      <c r="M258" s="14" t="s">
        <v>111</v>
      </c>
      <c r="N258" s="14" t="s">
        <v>34</v>
      </c>
      <c r="O258" s="14" t="b">
        <v>0</v>
      </c>
      <c r="P258" s="14"/>
      <c r="Q258" s="14"/>
      <c r="R258" s="14"/>
      <c r="S258" s="14" t="s">
        <v>1288</v>
      </c>
      <c r="T258" s="14" t="s">
        <v>4085</v>
      </c>
      <c r="U258" s="17"/>
      <c r="V258" s="14"/>
      <c r="W258" s="14"/>
      <c r="X258" s="18"/>
      <c r="Y258" s="18"/>
      <c r="Z258" s="18"/>
      <c r="AA258" s="19">
        <f t="shared" si="1"/>
        <v>6</v>
      </c>
      <c r="AB258" s="19" t="str">
        <f t="shared" si="2"/>
        <v/>
      </c>
      <c r="AC258" s="19"/>
    </row>
    <row r="259" ht="15.75" customHeight="1">
      <c r="A259" s="12">
        <v>45099.0</v>
      </c>
      <c r="B259" s="13" t="s">
        <v>28</v>
      </c>
      <c r="C259" s="14" t="s">
        <v>1289</v>
      </c>
      <c r="D259" s="14" t="s">
        <v>1290</v>
      </c>
      <c r="E259" s="14"/>
      <c r="F259" s="14" t="s">
        <v>176</v>
      </c>
      <c r="G259" s="14"/>
      <c r="H259" s="14"/>
      <c r="I259" s="15" t="s">
        <v>1291</v>
      </c>
      <c r="J259" s="14"/>
      <c r="K259" s="14"/>
      <c r="L259" s="130" t="s">
        <v>4276</v>
      </c>
      <c r="M259" s="14" t="s">
        <v>48</v>
      </c>
      <c r="N259" s="14" t="s">
        <v>34</v>
      </c>
      <c r="O259" s="14" t="b">
        <v>0</v>
      </c>
      <c r="P259" s="14"/>
      <c r="Q259" s="14"/>
      <c r="R259" s="14"/>
      <c r="S259" s="14" t="s">
        <v>1293</v>
      </c>
      <c r="T259" s="14" t="s">
        <v>4277</v>
      </c>
      <c r="U259" s="17"/>
      <c r="V259" s="14"/>
      <c r="W259" s="14"/>
      <c r="X259" s="18"/>
      <c r="Y259" s="18"/>
      <c r="Z259" s="18"/>
      <c r="AA259" s="19">
        <f t="shared" si="1"/>
        <v>6</v>
      </c>
      <c r="AB259" s="19" t="str">
        <f t="shared" si="2"/>
        <v/>
      </c>
      <c r="AC259" s="19"/>
    </row>
    <row r="260" ht="15.75" customHeight="1">
      <c r="A260" s="26">
        <v>45099.0</v>
      </c>
      <c r="B260" s="27" t="s">
        <v>84</v>
      </c>
      <c r="C260" s="27" t="s">
        <v>4278</v>
      </c>
      <c r="D260" s="27" t="s">
        <v>1295</v>
      </c>
      <c r="E260" s="27"/>
      <c r="F260" s="27">
        <v>2011.0</v>
      </c>
      <c r="G260" s="27"/>
      <c r="H260" s="27"/>
      <c r="I260" s="34" t="s">
        <v>1296</v>
      </c>
      <c r="J260" s="27"/>
      <c r="K260" s="27"/>
      <c r="L260" s="27" t="s">
        <v>4279</v>
      </c>
      <c r="M260" s="27" t="s">
        <v>111</v>
      </c>
      <c r="N260" s="27" t="s">
        <v>67</v>
      </c>
      <c r="O260" s="14" t="b">
        <v>1</v>
      </c>
      <c r="P260" s="27" t="s">
        <v>1298</v>
      </c>
      <c r="Q260" s="27"/>
      <c r="R260" s="27"/>
      <c r="S260" s="27" t="s">
        <v>1299</v>
      </c>
      <c r="T260" s="27" t="s">
        <v>4227</v>
      </c>
      <c r="U260" s="26"/>
      <c r="V260" s="32">
        <v>45102.0</v>
      </c>
      <c r="W260" s="27" t="s">
        <v>238</v>
      </c>
      <c r="X260" s="25">
        <v>5116000.0</v>
      </c>
      <c r="Y260" s="25">
        <v>1790600.0</v>
      </c>
      <c r="Z260" s="25">
        <v>3325400.0</v>
      </c>
      <c r="AA260" s="19">
        <f t="shared" si="1"/>
        <v>6</v>
      </c>
      <c r="AB260" s="19">
        <f t="shared" si="2"/>
        <v>6</v>
      </c>
      <c r="AC260" s="19"/>
    </row>
    <row r="261" ht="15.75" customHeight="1">
      <c r="A261" s="12">
        <v>45099.0</v>
      </c>
      <c r="B261" s="14" t="s">
        <v>84</v>
      </c>
      <c r="C261" s="14" t="s">
        <v>4280</v>
      </c>
      <c r="D261" s="14" t="s">
        <v>1301</v>
      </c>
      <c r="E261" s="14"/>
      <c r="F261" s="14">
        <v>2015.0</v>
      </c>
      <c r="G261" s="14"/>
      <c r="H261" s="14"/>
      <c r="I261" s="15" t="s">
        <v>1302</v>
      </c>
      <c r="J261" s="14"/>
      <c r="K261" s="14"/>
      <c r="L261" s="14"/>
      <c r="M261" s="14" t="s">
        <v>111</v>
      </c>
      <c r="N261" s="14" t="s">
        <v>34</v>
      </c>
      <c r="O261" s="14" t="b">
        <v>1</v>
      </c>
      <c r="P261" s="14" t="s">
        <v>4281</v>
      </c>
      <c r="Q261" s="14"/>
      <c r="R261" s="14"/>
      <c r="S261" s="14" t="s">
        <v>1304</v>
      </c>
      <c r="T261" s="14" t="s">
        <v>4069</v>
      </c>
      <c r="U261" s="17"/>
      <c r="V261" s="14"/>
      <c r="W261" s="14"/>
      <c r="X261" s="18"/>
      <c r="Y261" s="18"/>
      <c r="Z261" s="18"/>
      <c r="AA261" s="19">
        <f t="shared" si="1"/>
        <v>6</v>
      </c>
      <c r="AB261" s="19" t="str">
        <f t="shared" si="2"/>
        <v/>
      </c>
      <c r="AC261" s="19"/>
    </row>
    <row r="262" ht="15.75" customHeight="1">
      <c r="A262" s="12">
        <v>45099.0</v>
      </c>
      <c r="B262" s="14" t="s">
        <v>84</v>
      </c>
      <c r="C262" s="14" t="s">
        <v>4282</v>
      </c>
      <c r="D262" s="14"/>
      <c r="E262" s="14"/>
      <c r="F262" s="14"/>
      <c r="G262" s="14"/>
      <c r="H262" s="14"/>
      <c r="I262" s="15" t="s">
        <v>1306</v>
      </c>
      <c r="J262" s="14"/>
      <c r="K262" s="14"/>
      <c r="L262" s="14"/>
      <c r="M262" s="14" t="s">
        <v>48</v>
      </c>
      <c r="N262" s="14" t="s">
        <v>34</v>
      </c>
      <c r="O262" s="14" t="b">
        <v>0</v>
      </c>
      <c r="P262" s="14"/>
      <c r="Q262" s="14"/>
      <c r="R262" s="14"/>
      <c r="S262" s="14" t="s">
        <v>1307</v>
      </c>
      <c r="T262" s="14" t="s">
        <v>36</v>
      </c>
      <c r="U262" s="17"/>
      <c r="V262" s="14"/>
      <c r="W262" s="14"/>
      <c r="X262" s="18"/>
      <c r="Y262" s="18"/>
      <c r="Z262" s="18"/>
      <c r="AA262" s="19">
        <f t="shared" si="1"/>
        <v>6</v>
      </c>
      <c r="AB262" s="19" t="str">
        <f t="shared" si="2"/>
        <v/>
      </c>
      <c r="AC262" s="19"/>
    </row>
    <row r="263" ht="15.75" customHeight="1">
      <c r="A263" s="12">
        <v>45100.0</v>
      </c>
      <c r="B263" s="14" t="s">
        <v>84</v>
      </c>
      <c r="C263" s="14" t="s">
        <v>1308</v>
      </c>
      <c r="D263" s="14"/>
      <c r="E263" s="14"/>
      <c r="F263" s="14"/>
      <c r="G263" s="14"/>
      <c r="H263" s="14"/>
      <c r="I263" s="15" t="s">
        <v>1309</v>
      </c>
      <c r="J263" s="14"/>
      <c r="K263" s="14"/>
      <c r="L263" s="14" t="s">
        <v>1310</v>
      </c>
      <c r="M263" s="14" t="s">
        <v>89</v>
      </c>
      <c r="N263" s="14" t="s">
        <v>565</v>
      </c>
      <c r="O263" s="14" t="b">
        <v>0</v>
      </c>
      <c r="P263" s="14"/>
      <c r="Q263" s="14"/>
      <c r="R263" s="14"/>
      <c r="S263" s="14" t="s">
        <v>1311</v>
      </c>
      <c r="T263" s="14" t="s">
        <v>4283</v>
      </c>
      <c r="U263" s="17">
        <v>45103.0</v>
      </c>
      <c r="V263" s="14"/>
      <c r="W263" s="14"/>
      <c r="X263" s="18"/>
      <c r="Y263" s="18"/>
      <c r="Z263" s="18"/>
      <c r="AA263" s="19">
        <f t="shared" si="1"/>
        <v>6</v>
      </c>
      <c r="AB263" s="19" t="str">
        <f t="shared" si="2"/>
        <v/>
      </c>
      <c r="AC263" s="19"/>
    </row>
    <row r="264" ht="15.75" customHeight="1">
      <c r="A264" s="12">
        <v>45100.0</v>
      </c>
      <c r="B264" s="14" t="s">
        <v>84</v>
      </c>
      <c r="C264" s="14" t="s">
        <v>1312</v>
      </c>
      <c r="D264" s="14" t="s">
        <v>1313</v>
      </c>
      <c r="E264" s="14"/>
      <c r="F264" s="14">
        <v>2014.0</v>
      </c>
      <c r="G264" s="14">
        <v>4.0</v>
      </c>
      <c r="H264" s="14"/>
      <c r="I264" s="15" t="s">
        <v>1314</v>
      </c>
      <c r="J264" s="14"/>
      <c r="K264" s="14"/>
      <c r="L264" s="14" t="s">
        <v>1315</v>
      </c>
      <c r="M264" s="14" t="s">
        <v>111</v>
      </c>
      <c r="N264" s="14" t="s">
        <v>333</v>
      </c>
      <c r="O264" s="14" t="b">
        <v>0</v>
      </c>
      <c r="P264" s="14"/>
      <c r="Q264" s="14"/>
      <c r="R264" s="14"/>
      <c r="S264" s="14" t="s">
        <v>1316</v>
      </c>
      <c r="T264" s="14" t="s">
        <v>4069</v>
      </c>
      <c r="U264" s="17"/>
      <c r="V264" s="14"/>
      <c r="W264" s="14"/>
      <c r="X264" s="18"/>
      <c r="Y264" s="18"/>
      <c r="Z264" s="18"/>
      <c r="AA264" s="19">
        <f t="shared" si="1"/>
        <v>6</v>
      </c>
      <c r="AB264" s="19" t="str">
        <f t="shared" si="2"/>
        <v/>
      </c>
      <c r="AC264" s="19"/>
    </row>
    <row r="265" ht="15.75" customHeight="1">
      <c r="A265" s="12">
        <v>45100.0</v>
      </c>
      <c r="B265" s="13" t="s">
        <v>28</v>
      </c>
      <c r="C265" s="14" t="s">
        <v>1317</v>
      </c>
      <c r="D265" s="14" t="s">
        <v>1318</v>
      </c>
      <c r="E265" s="14"/>
      <c r="F265" s="14" t="s">
        <v>542</v>
      </c>
      <c r="G265" s="14"/>
      <c r="H265" s="14"/>
      <c r="I265" s="15" t="s">
        <v>1319</v>
      </c>
      <c r="J265" s="14"/>
      <c r="K265" s="14"/>
      <c r="L265" s="14" t="s">
        <v>1320</v>
      </c>
      <c r="M265" s="14" t="s">
        <v>48</v>
      </c>
      <c r="N265" s="14" t="s">
        <v>158</v>
      </c>
      <c r="O265" s="14" t="b">
        <v>0</v>
      </c>
      <c r="P265" s="14"/>
      <c r="Q265" s="14"/>
      <c r="R265" s="14"/>
      <c r="S265" s="14" t="s">
        <v>1321</v>
      </c>
      <c r="T265" s="14" t="s">
        <v>4073</v>
      </c>
      <c r="U265" s="17"/>
      <c r="V265" s="14"/>
      <c r="W265" s="14"/>
      <c r="X265" s="18"/>
      <c r="Y265" s="18"/>
      <c r="Z265" s="18"/>
      <c r="AA265" s="19">
        <f t="shared" si="1"/>
        <v>6</v>
      </c>
      <c r="AB265" s="19" t="str">
        <f t="shared" si="2"/>
        <v/>
      </c>
      <c r="AC265" s="19"/>
    </row>
    <row r="266" ht="15.75" customHeight="1">
      <c r="A266" s="12">
        <v>45100.0</v>
      </c>
      <c r="B266" s="13" t="s">
        <v>28</v>
      </c>
      <c r="C266" s="14" t="s">
        <v>1322</v>
      </c>
      <c r="D266" s="14"/>
      <c r="E266" s="14"/>
      <c r="F266" s="14"/>
      <c r="G266" s="14"/>
      <c r="H266" s="14"/>
      <c r="I266" s="15" t="s">
        <v>1323</v>
      </c>
      <c r="J266" s="14"/>
      <c r="K266" s="14"/>
      <c r="L266" s="14" t="s">
        <v>1324</v>
      </c>
      <c r="M266" s="14" t="s">
        <v>111</v>
      </c>
      <c r="N266" s="14" t="s">
        <v>216</v>
      </c>
      <c r="O266" s="14" t="b">
        <v>0</v>
      </c>
      <c r="P266" s="14"/>
      <c r="Q266" s="14"/>
      <c r="R266" s="14"/>
      <c r="S266" s="14" t="s">
        <v>1325</v>
      </c>
      <c r="T266" s="14" t="s">
        <v>4096</v>
      </c>
      <c r="U266" s="17">
        <v>45101.0</v>
      </c>
      <c r="V266" s="14"/>
      <c r="W266" s="14"/>
      <c r="X266" s="18"/>
      <c r="Y266" s="18"/>
      <c r="Z266" s="18"/>
      <c r="AA266" s="19">
        <f t="shared" si="1"/>
        <v>6</v>
      </c>
      <c r="AB266" s="19" t="str">
        <f t="shared" si="2"/>
        <v/>
      </c>
      <c r="AC266" s="19"/>
    </row>
    <row r="267" ht="15.75" customHeight="1">
      <c r="A267" s="26">
        <v>45100.0</v>
      </c>
      <c r="B267" s="13" t="s">
        <v>28</v>
      </c>
      <c r="C267" s="27" t="s">
        <v>1326</v>
      </c>
      <c r="D267" s="27" t="s">
        <v>1327</v>
      </c>
      <c r="E267" s="27"/>
      <c r="F267" s="32">
        <v>41564.0</v>
      </c>
      <c r="G267" s="27" t="s">
        <v>1328</v>
      </c>
      <c r="H267" s="27"/>
      <c r="I267" s="34" t="s">
        <v>1329</v>
      </c>
      <c r="J267" s="27"/>
      <c r="K267" s="27"/>
      <c r="L267" s="27"/>
      <c r="M267" s="27" t="s">
        <v>48</v>
      </c>
      <c r="N267" s="27" t="s">
        <v>67</v>
      </c>
      <c r="O267" s="14" t="b">
        <v>1</v>
      </c>
      <c r="P267" s="27" t="s">
        <v>1330</v>
      </c>
      <c r="Q267" s="283"/>
      <c r="R267" s="27"/>
      <c r="S267" s="27" t="s">
        <v>1331</v>
      </c>
      <c r="T267" s="27"/>
      <c r="U267" s="26"/>
      <c r="V267" s="32">
        <v>45106.0</v>
      </c>
      <c r="W267" s="27" t="s">
        <v>4284</v>
      </c>
      <c r="X267" s="25">
        <v>3062000.0</v>
      </c>
      <c r="Y267" s="25">
        <f>X267-Z267</f>
        <v>152000</v>
      </c>
      <c r="Z267" s="25">
        <v>2910000.0</v>
      </c>
      <c r="AA267" s="19">
        <f t="shared" si="1"/>
        <v>6</v>
      </c>
      <c r="AB267" s="19">
        <f t="shared" si="2"/>
        <v>6</v>
      </c>
      <c r="AC267" s="19"/>
    </row>
    <row r="268" ht="15.75" customHeight="1">
      <c r="A268" s="12">
        <v>45100.0</v>
      </c>
      <c r="B268" s="13" t="s">
        <v>28</v>
      </c>
      <c r="C268" s="14" t="s">
        <v>1332</v>
      </c>
      <c r="D268" s="14" t="s">
        <v>1333</v>
      </c>
      <c r="E268" s="14"/>
      <c r="F268" s="14" t="s">
        <v>4125</v>
      </c>
      <c r="G268" s="14"/>
      <c r="H268" s="14"/>
      <c r="I268" s="15" t="s">
        <v>1334</v>
      </c>
      <c r="J268" s="14"/>
      <c r="K268" s="14"/>
      <c r="L268" s="14" t="s">
        <v>1335</v>
      </c>
      <c r="M268" s="14" t="s">
        <v>48</v>
      </c>
      <c r="N268" s="14" t="s">
        <v>34</v>
      </c>
      <c r="O268" s="14" t="b">
        <v>1</v>
      </c>
      <c r="P268" s="14" t="s">
        <v>4285</v>
      </c>
      <c r="Q268" s="14"/>
      <c r="R268" s="14"/>
      <c r="S268" s="278" t="s">
        <v>1337</v>
      </c>
      <c r="T268" s="14" t="s">
        <v>36</v>
      </c>
      <c r="U268" s="17"/>
      <c r="V268" s="14"/>
      <c r="W268" s="14"/>
      <c r="X268" s="18"/>
      <c r="Y268" s="18"/>
      <c r="Z268" s="18"/>
      <c r="AA268" s="19">
        <f t="shared" si="1"/>
        <v>6</v>
      </c>
      <c r="AB268" s="19" t="str">
        <f t="shared" si="2"/>
        <v/>
      </c>
      <c r="AC268" s="19"/>
    </row>
    <row r="269" ht="15.75" customHeight="1">
      <c r="A269" s="26">
        <v>45100.0</v>
      </c>
      <c r="B269" s="13" t="s">
        <v>28</v>
      </c>
      <c r="C269" s="27" t="s">
        <v>1338</v>
      </c>
      <c r="D269" s="27" t="s">
        <v>1339</v>
      </c>
      <c r="E269" s="27"/>
      <c r="F269" s="27">
        <v>2012.0</v>
      </c>
      <c r="G269" s="27">
        <v>6.0</v>
      </c>
      <c r="H269" s="27"/>
      <c r="I269" s="284" t="s">
        <v>1340</v>
      </c>
      <c r="J269" s="27"/>
      <c r="K269" s="27"/>
      <c r="L269" s="27" t="s">
        <v>1341</v>
      </c>
      <c r="M269" s="27" t="s">
        <v>111</v>
      </c>
      <c r="N269" s="27" t="s">
        <v>67</v>
      </c>
      <c r="O269" s="14" t="b">
        <v>1</v>
      </c>
      <c r="P269" s="27" t="s">
        <v>1342</v>
      </c>
      <c r="Q269" s="27" t="s">
        <v>4207</v>
      </c>
      <c r="R269" s="27" t="s">
        <v>1343</v>
      </c>
      <c r="S269" s="27" t="s">
        <v>1344</v>
      </c>
      <c r="T269" s="27" t="s">
        <v>4195</v>
      </c>
      <c r="U269" s="26"/>
      <c r="V269" s="32">
        <v>45114.0</v>
      </c>
      <c r="W269" s="27" t="s">
        <v>4286</v>
      </c>
      <c r="X269" s="25">
        <v>3062000.0</v>
      </c>
      <c r="Y269" s="25">
        <v>153100.0</v>
      </c>
      <c r="Z269" s="25">
        <v>2908900.0</v>
      </c>
      <c r="AA269" s="19">
        <f t="shared" si="1"/>
        <v>6</v>
      </c>
      <c r="AB269" s="19">
        <f t="shared" si="2"/>
        <v>7</v>
      </c>
      <c r="AC269" s="19"/>
    </row>
    <row r="270" ht="15.75" customHeight="1">
      <c r="A270" s="12">
        <v>45100.0</v>
      </c>
      <c r="B270" s="13" t="s">
        <v>28</v>
      </c>
      <c r="C270" s="14" t="s">
        <v>1345</v>
      </c>
      <c r="D270" s="14" t="s">
        <v>1346</v>
      </c>
      <c r="E270" s="14"/>
      <c r="F270" s="14"/>
      <c r="G270" s="14" t="s">
        <v>1328</v>
      </c>
      <c r="H270" s="14"/>
      <c r="I270" s="15" t="s">
        <v>1347</v>
      </c>
      <c r="J270" s="14"/>
      <c r="K270" s="14"/>
      <c r="L270" s="14"/>
      <c r="M270" s="14" t="s">
        <v>48</v>
      </c>
      <c r="N270" s="14" t="s">
        <v>34</v>
      </c>
      <c r="O270" s="14" t="b">
        <v>1</v>
      </c>
      <c r="P270" s="14" t="s">
        <v>1348</v>
      </c>
      <c r="Q270" s="14"/>
      <c r="R270" s="14"/>
      <c r="S270" s="14" t="s">
        <v>1349</v>
      </c>
      <c r="T270" s="14" t="s">
        <v>4127</v>
      </c>
      <c r="U270" s="17"/>
      <c r="V270" s="14"/>
      <c r="W270" s="14"/>
      <c r="X270" s="18"/>
      <c r="Y270" s="18"/>
      <c r="Z270" s="18"/>
      <c r="AA270" s="19">
        <f t="shared" si="1"/>
        <v>6</v>
      </c>
      <c r="AB270" s="19" t="str">
        <f t="shared" si="2"/>
        <v/>
      </c>
      <c r="AC270" s="19"/>
    </row>
    <row r="271" ht="15.75" customHeight="1">
      <c r="A271" s="12">
        <v>45100.0</v>
      </c>
      <c r="B271" s="13" t="s">
        <v>28</v>
      </c>
      <c r="C271" s="14" t="s">
        <v>1350</v>
      </c>
      <c r="D271" s="14"/>
      <c r="E271" s="14"/>
      <c r="F271" s="14"/>
      <c r="G271" s="14"/>
      <c r="H271" s="14"/>
      <c r="I271" s="15" t="s">
        <v>1351</v>
      </c>
      <c r="J271" s="14"/>
      <c r="K271" s="14"/>
      <c r="L271" s="14"/>
      <c r="M271" s="14" t="s">
        <v>48</v>
      </c>
      <c r="N271" s="14" t="s">
        <v>216</v>
      </c>
      <c r="O271" s="14" t="b">
        <v>0</v>
      </c>
      <c r="P271" s="14"/>
      <c r="Q271" s="14"/>
      <c r="R271" s="14"/>
      <c r="S271" s="14" t="s">
        <v>1352</v>
      </c>
      <c r="T271" s="14" t="s">
        <v>4127</v>
      </c>
      <c r="U271" s="17"/>
      <c r="V271" s="14"/>
      <c r="W271" s="14"/>
      <c r="X271" s="18"/>
      <c r="Y271" s="18"/>
      <c r="Z271" s="18"/>
      <c r="AA271" s="19">
        <f t="shared" si="1"/>
        <v>6</v>
      </c>
      <c r="AB271" s="19" t="str">
        <f t="shared" si="2"/>
        <v/>
      </c>
      <c r="AC271" s="19"/>
    </row>
    <row r="272" ht="15.75" customHeight="1">
      <c r="A272" s="12">
        <v>45100.0</v>
      </c>
      <c r="B272" s="13" t="s">
        <v>28</v>
      </c>
      <c r="C272" s="120" t="s">
        <v>1353</v>
      </c>
      <c r="D272" s="120" t="s">
        <v>1354</v>
      </c>
      <c r="E272" s="14"/>
      <c r="F272" s="142">
        <v>40816.0</v>
      </c>
      <c r="G272" s="14" t="s">
        <v>297</v>
      </c>
      <c r="H272" s="14"/>
      <c r="I272" s="15" t="s">
        <v>1355</v>
      </c>
      <c r="J272" s="14"/>
      <c r="K272" s="14"/>
      <c r="L272" s="14" t="s">
        <v>4287</v>
      </c>
      <c r="M272" s="14" t="s">
        <v>111</v>
      </c>
      <c r="N272" s="14" t="s">
        <v>13</v>
      </c>
      <c r="O272" s="14" t="b">
        <v>1</v>
      </c>
      <c r="P272" s="14" t="s">
        <v>1357</v>
      </c>
      <c r="Q272" s="14"/>
      <c r="R272" s="14"/>
      <c r="S272" s="285" t="s">
        <v>1358</v>
      </c>
      <c r="T272" s="14" t="s">
        <v>4197</v>
      </c>
      <c r="U272" s="17"/>
      <c r="V272" s="14"/>
      <c r="W272" s="14"/>
      <c r="X272" s="18"/>
      <c r="Y272" s="18"/>
      <c r="Z272" s="18"/>
      <c r="AA272" s="19">
        <f t="shared" si="1"/>
        <v>6</v>
      </c>
      <c r="AB272" s="19" t="str">
        <f t="shared" si="2"/>
        <v/>
      </c>
      <c r="AC272" s="19"/>
    </row>
    <row r="273" ht="15.75" customHeight="1">
      <c r="A273" s="12">
        <v>45100.0</v>
      </c>
      <c r="B273" s="13" t="s">
        <v>28</v>
      </c>
      <c r="C273" s="120"/>
      <c r="D273" s="120" t="s">
        <v>4288</v>
      </c>
      <c r="E273" s="14"/>
      <c r="F273" s="14">
        <v>2014.0</v>
      </c>
      <c r="G273" s="14"/>
      <c r="H273" s="14"/>
      <c r="I273" s="15" t="s">
        <v>1355</v>
      </c>
      <c r="J273" s="14"/>
      <c r="K273" s="14"/>
      <c r="L273" s="14"/>
      <c r="M273" s="14" t="s">
        <v>111</v>
      </c>
      <c r="N273" s="14" t="s">
        <v>34</v>
      </c>
      <c r="O273" s="14" t="b">
        <v>0</v>
      </c>
      <c r="P273" s="14"/>
      <c r="Q273" s="14"/>
      <c r="R273" s="14"/>
      <c r="S273" s="285" t="s">
        <v>1360</v>
      </c>
      <c r="T273" s="14" t="s">
        <v>4069</v>
      </c>
      <c r="U273" s="17"/>
      <c r="V273" s="14"/>
      <c r="W273" s="14"/>
      <c r="X273" s="18"/>
      <c r="Y273" s="18"/>
      <c r="Z273" s="18"/>
      <c r="AA273" s="19">
        <f t="shared" si="1"/>
        <v>6</v>
      </c>
      <c r="AB273" s="19" t="str">
        <f t="shared" si="2"/>
        <v/>
      </c>
      <c r="AC273" s="19"/>
    </row>
    <row r="274" ht="15.75" customHeight="1">
      <c r="A274" s="12">
        <v>45101.0</v>
      </c>
      <c r="B274" s="13" t="s">
        <v>28</v>
      </c>
      <c r="C274" s="14"/>
      <c r="D274" s="14"/>
      <c r="E274" s="14"/>
      <c r="F274" s="14"/>
      <c r="G274" s="14"/>
      <c r="H274" s="14"/>
      <c r="I274" s="286"/>
      <c r="J274" s="14"/>
      <c r="K274" s="14"/>
      <c r="L274" s="14"/>
      <c r="M274" s="14" t="s">
        <v>48</v>
      </c>
      <c r="N274" s="14" t="s">
        <v>216</v>
      </c>
      <c r="O274" s="14" t="b">
        <v>0</v>
      </c>
      <c r="P274" s="14"/>
      <c r="Q274" s="14"/>
      <c r="R274" s="14"/>
      <c r="S274" s="14"/>
      <c r="T274" s="14"/>
      <c r="U274" s="17"/>
      <c r="V274" s="14"/>
      <c r="W274" s="14"/>
      <c r="X274" s="18"/>
      <c r="Y274" s="18"/>
      <c r="Z274" s="18"/>
      <c r="AA274" s="19">
        <f t="shared" si="1"/>
        <v>6</v>
      </c>
      <c r="AB274" s="19" t="str">
        <f t="shared" si="2"/>
        <v/>
      </c>
      <c r="AC274" s="19"/>
    </row>
    <row r="275" ht="15.75" customHeight="1">
      <c r="A275" s="12">
        <v>45101.0</v>
      </c>
      <c r="B275" s="13" t="s">
        <v>28</v>
      </c>
      <c r="C275" s="120" t="s">
        <v>1361</v>
      </c>
      <c r="D275" s="37" t="s">
        <v>1362</v>
      </c>
      <c r="E275" s="14"/>
      <c r="F275" s="14"/>
      <c r="G275" s="14"/>
      <c r="H275" s="14"/>
      <c r="I275" s="287" t="s">
        <v>1363</v>
      </c>
      <c r="J275" s="14"/>
      <c r="K275" s="14"/>
      <c r="L275" s="14" t="s">
        <v>1364</v>
      </c>
      <c r="M275" s="14" t="s">
        <v>48</v>
      </c>
      <c r="N275" s="14" t="s">
        <v>34</v>
      </c>
      <c r="O275" s="14" t="b">
        <v>0</v>
      </c>
      <c r="P275" s="14"/>
      <c r="Q275" s="14"/>
      <c r="R275" s="14"/>
      <c r="S275" s="37" t="s">
        <v>1365</v>
      </c>
      <c r="T275" s="14" t="s">
        <v>36</v>
      </c>
      <c r="U275" s="61"/>
      <c r="V275" s="14"/>
      <c r="W275" s="14"/>
      <c r="X275" s="18"/>
      <c r="Y275" s="18"/>
      <c r="Z275" s="18"/>
      <c r="AA275" s="19">
        <f t="shared" si="1"/>
        <v>6</v>
      </c>
      <c r="AB275" s="19" t="str">
        <f t="shared" si="2"/>
        <v/>
      </c>
      <c r="AC275" s="19"/>
    </row>
    <row r="276" ht="15.75" customHeight="1">
      <c r="A276" s="26">
        <v>45101.0</v>
      </c>
      <c r="B276" s="13" t="s">
        <v>28</v>
      </c>
      <c r="C276" s="27" t="s">
        <v>1366</v>
      </c>
      <c r="D276" s="27" t="s">
        <v>1367</v>
      </c>
      <c r="E276" s="27"/>
      <c r="F276" s="32">
        <v>41202.0</v>
      </c>
      <c r="G276" s="27" t="s">
        <v>1368</v>
      </c>
      <c r="H276" s="27"/>
      <c r="I276" s="34" t="s">
        <v>1369</v>
      </c>
      <c r="J276" s="27"/>
      <c r="K276" s="27"/>
      <c r="L276" s="27"/>
      <c r="M276" s="27" t="s">
        <v>48</v>
      </c>
      <c r="N276" s="27" t="s">
        <v>67</v>
      </c>
      <c r="O276" s="14" t="b">
        <v>1</v>
      </c>
      <c r="P276" s="288" t="s">
        <v>1370</v>
      </c>
      <c r="Q276" s="27"/>
      <c r="R276" s="27"/>
      <c r="S276" s="27" t="s">
        <v>1371</v>
      </c>
      <c r="T276" s="27"/>
      <c r="U276" s="32"/>
      <c r="V276" s="32">
        <v>45107.0</v>
      </c>
      <c r="W276" s="27" t="s">
        <v>4289</v>
      </c>
      <c r="X276" s="25">
        <v>3062000.0</v>
      </c>
      <c r="Y276" s="25">
        <f>X276-Z276</f>
        <v>153100</v>
      </c>
      <c r="Z276" s="25">
        <v>2908900.0</v>
      </c>
      <c r="AA276" s="19">
        <f t="shared" si="1"/>
        <v>6</v>
      </c>
      <c r="AB276" s="19">
        <f t="shared" si="2"/>
        <v>6</v>
      </c>
      <c r="AC276" s="19"/>
    </row>
    <row r="277" ht="15.75" customHeight="1">
      <c r="A277" s="12">
        <v>45101.0</v>
      </c>
      <c r="B277" s="14" t="s">
        <v>703</v>
      </c>
      <c r="C277" s="14" t="s">
        <v>1372</v>
      </c>
      <c r="D277" s="14"/>
      <c r="E277" s="14"/>
      <c r="F277" s="14" t="s">
        <v>542</v>
      </c>
      <c r="G277" s="14"/>
      <c r="H277" s="14"/>
      <c r="I277" s="15" t="s">
        <v>1373</v>
      </c>
      <c r="J277" s="14"/>
      <c r="K277" s="14"/>
      <c r="L277" s="14" t="s">
        <v>1374</v>
      </c>
      <c r="M277" s="14" t="s">
        <v>111</v>
      </c>
      <c r="N277" s="14" t="s">
        <v>565</v>
      </c>
      <c r="O277" s="14" t="b">
        <v>0</v>
      </c>
      <c r="P277" s="14"/>
      <c r="Q277" s="14"/>
      <c r="R277" s="14"/>
      <c r="S277" s="14" t="s">
        <v>1375</v>
      </c>
      <c r="T277" s="14"/>
      <c r="U277" s="17"/>
      <c r="V277" s="14"/>
      <c r="W277" s="14"/>
      <c r="X277" s="18"/>
      <c r="Y277" s="18"/>
      <c r="Z277" s="18"/>
      <c r="AA277" s="19">
        <f t="shared" si="1"/>
        <v>6</v>
      </c>
      <c r="AB277" s="19" t="str">
        <f t="shared" si="2"/>
        <v/>
      </c>
      <c r="AC277" s="19"/>
    </row>
    <row r="278" ht="15.75" customHeight="1">
      <c r="A278" s="26">
        <v>45101.0</v>
      </c>
      <c r="B278" s="27" t="s">
        <v>84</v>
      </c>
      <c r="C278" s="27" t="s">
        <v>1377</v>
      </c>
      <c r="D278" s="27" t="s">
        <v>1378</v>
      </c>
      <c r="E278" s="27"/>
      <c r="F278" s="27" t="s">
        <v>4125</v>
      </c>
      <c r="G278" s="27"/>
      <c r="H278" s="27"/>
      <c r="I278" s="34" t="s">
        <v>1379</v>
      </c>
      <c r="J278" s="27"/>
      <c r="K278" s="27"/>
      <c r="L278" s="27" t="s">
        <v>1380</v>
      </c>
      <c r="M278" s="27" t="s">
        <v>111</v>
      </c>
      <c r="N278" s="27" t="s">
        <v>67</v>
      </c>
      <c r="O278" s="14" t="b">
        <v>1</v>
      </c>
      <c r="P278" s="27" t="s">
        <v>1381</v>
      </c>
      <c r="Q278" s="27" t="s">
        <v>91</v>
      </c>
      <c r="R278" s="27" t="s">
        <v>1382</v>
      </c>
      <c r="S278" s="27" t="s">
        <v>4290</v>
      </c>
      <c r="T278" s="27" t="s">
        <v>4291</v>
      </c>
      <c r="U278" s="26"/>
      <c r="V278" s="32">
        <v>45105.0</v>
      </c>
      <c r="W278" s="27" t="s">
        <v>4204</v>
      </c>
      <c r="X278" s="25">
        <v>8750000.0</v>
      </c>
      <c r="Y278" s="25">
        <v>437500.0</v>
      </c>
      <c r="Z278" s="25">
        <v>8312500.0</v>
      </c>
      <c r="AA278" s="19">
        <f t="shared" si="1"/>
        <v>6</v>
      </c>
      <c r="AB278" s="19">
        <f t="shared" si="2"/>
        <v>6</v>
      </c>
      <c r="AC278" s="19"/>
    </row>
    <row r="279" ht="15.75" customHeight="1">
      <c r="A279" s="114">
        <v>45095.0</v>
      </c>
      <c r="B279" s="115" t="s">
        <v>84</v>
      </c>
      <c r="C279" s="115" t="s">
        <v>4292</v>
      </c>
      <c r="D279" s="115" t="s">
        <v>1385</v>
      </c>
      <c r="E279" s="115"/>
      <c r="F279" s="115"/>
      <c r="G279" s="115"/>
      <c r="H279" s="115"/>
      <c r="I279" s="15" t="s">
        <v>1386</v>
      </c>
      <c r="J279" s="115"/>
      <c r="K279" s="115"/>
      <c r="L279" s="14" t="s">
        <v>1380</v>
      </c>
      <c r="M279" s="115" t="s">
        <v>111</v>
      </c>
      <c r="N279" s="115" t="s">
        <v>34</v>
      </c>
      <c r="O279" s="14" t="b">
        <v>1</v>
      </c>
      <c r="P279" s="115" t="s">
        <v>1387</v>
      </c>
      <c r="Q279" s="115" t="s">
        <v>1381</v>
      </c>
      <c r="R279" s="115"/>
      <c r="S279" s="115" t="s">
        <v>1388</v>
      </c>
      <c r="T279" s="115"/>
      <c r="U279" s="135"/>
      <c r="V279" s="115"/>
      <c r="W279" s="115"/>
      <c r="X279" s="134"/>
      <c r="Y279" s="134"/>
      <c r="Z279" s="18"/>
      <c r="AA279" s="19">
        <f t="shared" si="1"/>
        <v>6</v>
      </c>
      <c r="AB279" s="19" t="str">
        <f t="shared" si="2"/>
        <v/>
      </c>
      <c r="AC279" s="19"/>
    </row>
    <row r="280" ht="15.75" customHeight="1">
      <c r="A280" s="12">
        <v>45101.0</v>
      </c>
      <c r="B280" s="13" t="s">
        <v>28</v>
      </c>
      <c r="C280" s="14" t="s">
        <v>1389</v>
      </c>
      <c r="D280" s="14"/>
      <c r="E280" s="14"/>
      <c r="F280" s="14"/>
      <c r="G280" s="14"/>
      <c r="H280" s="14"/>
      <c r="I280" s="15" t="s">
        <v>1390</v>
      </c>
      <c r="J280" s="14"/>
      <c r="K280" s="14"/>
      <c r="L280" s="14"/>
      <c r="M280" s="14" t="s">
        <v>48</v>
      </c>
      <c r="N280" s="14" t="s">
        <v>216</v>
      </c>
      <c r="O280" s="14" t="b">
        <v>0</v>
      </c>
      <c r="P280" s="14"/>
      <c r="Q280" s="14"/>
      <c r="R280" s="14"/>
      <c r="S280" s="14" t="s">
        <v>1391</v>
      </c>
      <c r="T280" s="14"/>
      <c r="U280" s="17">
        <v>45110.0</v>
      </c>
      <c r="V280" s="14"/>
      <c r="W280" s="14"/>
      <c r="X280" s="18"/>
      <c r="Y280" s="18"/>
      <c r="Z280" s="18"/>
      <c r="AA280" s="19">
        <f t="shared" si="1"/>
        <v>6</v>
      </c>
      <c r="AB280" s="19" t="str">
        <f t="shared" si="2"/>
        <v/>
      </c>
      <c r="AC280" s="19"/>
    </row>
    <row r="281" ht="15.75" customHeight="1">
      <c r="A281" s="12">
        <v>45101.0</v>
      </c>
      <c r="B281" s="14" t="s">
        <v>84</v>
      </c>
      <c r="C281" s="14" t="s">
        <v>1392</v>
      </c>
      <c r="D281" s="14"/>
      <c r="E281" s="14" t="s">
        <v>2821</v>
      </c>
      <c r="F281" s="14">
        <v>2014.0</v>
      </c>
      <c r="G281" s="14"/>
      <c r="H281" s="14"/>
      <c r="I281" s="15" t="s">
        <v>1393</v>
      </c>
      <c r="J281" s="14"/>
      <c r="K281" s="14"/>
      <c r="L281" s="14" t="s">
        <v>1394</v>
      </c>
      <c r="M281" s="14" t="s">
        <v>111</v>
      </c>
      <c r="N281" s="14" t="s">
        <v>34</v>
      </c>
      <c r="O281" s="14" t="b">
        <v>0</v>
      </c>
      <c r="P281" s="14"/>
      <c r="Q281" s="14"/>
      <c r="R281" s="14"/>
      <c r="S281" s="14" t="s">
        <v>1395</v>
      </c>
      <c r="T281" s="14" t="s">
        <v>4083</v>
      </c>
      <c r="U281" s="17"/>
      <c r="V281" s="14"/>
      <c r="W281" s="14"/>
      <c r="X281" s="18"/>
      <c r="Y281" s="18"/>
      <c r="Z281" s="18"/>
      <c r="AA281" s="19">
        <f t="shared" si="1"/>
        <v>6</v>
      </c>
      <c r="AB281" s="19" t="str">
        <f t="shared" si="2"/>
        <v/>
      </c>
      <c r="AC281" s="19"/>
    </row>
    <row r="282" ht="15.75" customHeight="1">
      <c r="A282" s="26">
        <v>45102.0</v>
      </c>
      <c r="B282" s="13" t="s">
        <v>28</v>
      </c>
      <c r="C282" s="27" t="s">
        <v>1396</v>
      </c>
      <c r="D282" s="27" t="s">
        <v>1397</v>
      </c>
      <c r="E282" s="27"/>
      <c r="F282" s="27" t="s">
        <v>505</v>
      </c>
      <c r="G282" s="27"/>
      <c r="H282" s="27"/>
      <c r="I282" s="34" t="s">
        <v>1398</v>
      </c>
      <c r="J282" s="27"/>
      <c r="K282" s="27" t="s">
        <v>1399</v>
      </c>
      <c r="L282" s="27" t="s">
        <v>4293</v>
      </c>
      <c r="M282" s="27" t="s">
        <v>111</v>
      </c>
      <c r="N282" s="27" t="s">
        <v>67</v>
      </c>
      <c r="O282" s="14" t="b">
        <v>1</v>
      </c>
      <c r="P282" s="58" t="s">
        <v>1401</v>
      </c>
      <c r="Q282" s="27"/>
      <c r="R282" s="27"/>
      <c r="S282" s="27" t="s">
        <v>4294</v>
      </c>
      <c r="T282" s="27" t="s">
        <v>4195</v>
      </c>
      <c r="U282" s="26"/>
      <c r="V282" s="109">
        <v>45103.0</v>
      </c>
      <c r="W282" s="58" t="s">
        <v>4295</v>
      </c>
      <c r="X282" s="25">
        <v>6124000.0</v>
      </c>
      <c r="Y282" s="25">
        <v>918600.0</v>
      </c>
      <c r="Z282" s="25">
        <v>5205400.0</v>
      </c>
      <c r="AA282" s="19">
        <f t="shared" si="1"/>
        <v>6</v>
      </c>
      <c r="AB282" s="19">
        <f t="shared" si="2"/>
        <v>6</v>
      </c>
      <c r="AC282" s="19"/>
    </row>
    <row r="283" ht="15.75" customHeight="1">
      <c r="A283" s="12">
        <v>45103.0</v>
      </c>
      <c r="B283" s="14" t="s">
        <v>84</v>
      </c>
      <c r="C283" s="14"/>
      <c r="D283" s="14" t="s">
        <v>1403</v>
      </c>
      <c r="E283" s="14"/>
      <c r="F283" s="14" t="s">
        <v>4296</v>
      </c>
      <c r="G283" s="14"/>
      <c r="H283" s="14"/>
      <c r="I283" s="15" t="s">
        <v>1404</v>
      </c>
      <c r="J283" s="14"/>
      <c r="K283" s="14"/>
      <c r="L283" s="14" t="s">
        <v>1405</v>
      </c>
      <c r="M283" s="14" t="s">
        <v>48</v>
      </c>
      <c r="N283" s="14" t="s">
        <v>34</v>
      </c>
      <c r="O283" s="14" t="b">
        <v>0</v>
      </c>
      <c r="P283" s="14"/>
      <c r="Q283" s="14"/>
      <c r="R283" s="14"/>
      <c r="S283" s="14" t="s">
        <v>1406</v>
      </c>
      <c r="T283" s="14" t="s">
        <v>4085</v>
      </c>
      <c r="U283" s="17"/>
      <c r="V283" s="14"/>
      <c r="W283" s="14"/>
      <c r="X283" s="18"/>
      <c r="Y283" s="18"/>
      <c r="Z283" s="18"/>
      <c r="AA283" s="19">
        <f t="shared" si="1"/>
        <v>6</v>
      </c>
      <c r="AB283" s="19" t="str">
        <f t="shared" si="2"/>
        <v/>
      </c>
      <c r="AC283" s="19"/>
    </row>
    <row r="284" ht="15.75" customHeight="1">
      <c r="A284" s="12">
        <v>45097.0</v>
      </c>
      <c r="B284" s="14" t="s">
        <v>201</v>
      </c>
      <c r="C284" s="14" t="s">
        <v>154</v>
      </c>
      <c r="D284" s="14" t="s">
        <v>1407</v>
      </c>
      <c r="E284" s="14"/>
      <c r="F284" s="14"/>
      <c r="G284" s="14" t="s">
        <v>234</v>
      </c>
      <c r="H284" s="14"/>
      <c r="I284" s="15" t="s">
        <v>156</v>
      </c>
      <c r="J284" s="14"/>
      <c r="K284" s="14"/>
      <c r="L284" s="14" t="s">
        <v>1408</v>
      </c>
      <c r="M284" s="14" t="s">
        <v>48</v>
      </c>
      <c r="N284" s="14" t="s">
        <v>34</v>
      </c>
      <c r="O284" s="14" t="b">
        <v>1</v>
      </c>
      <c r="P284" s="14" t="s">
        <v>1409</v>
      </c>
      <c r="Q284" s="14"/>
      <c r="R284" s="14"/>
      <c r="S284" s="14" t="s">
        <v>1410</v>
      </c>
      <c r="T284" s="14" t="s">
        <v>36</v>
      </c>
      <c r="U284" s="17"/>
      <c r="V284" s="14"/>
      <c r="W284" s="14"/>
      <c r="X284" s="18"/>
      <c r="Y284" s="18"/>
      <c r="Z284" s="18"/>
      <c r="AA284" s="19">
        <f t="shared" si="1"/>
        <v>6</v>
      </c>
      <c r="AB284" s="19" t="str">
        <f t="shared" si="2"/>
        <v/>
      </c>
      <c r="AC284" s="19"/>
    </row>
    <row r="285" ht="15.75" customHeight="1">
      <c r="A285" s="26">
        <v>45097.0</v>
      </c>
      <c r="B285" s="27" t="s">
        <v>201</v>
      </c>
      <c r="C285" s="27" t="s">
        <v>154</v>
      </c>
      <c r="D285" s="27" t="s">
        <v>1412</v>
      </c>
      <c r="E285" s="27"/>
      <c r="F285" s="32">
        <v>40395.0</v>
      </c>
      <c r="G285" s="27" t="s">
        <v>1413</v>
      </c>
      <c r="H285" s="27"/>
      <c r="I285" s="34" t="s">
        <v>156</v>
      </c>
      <c r="J285" s="27"/>
      <c r="K285" s="27"/>
      <c r="L285" s="27" t="s">
        <v>1414</v>
      </c>
      <c r="M285" s="27" t="s">
        <v>48</v>
      </c>
      <c r="N285" s="27" t="s">
        <v>67</v>
      </c>
      <c r="O285" s="14" t="b">
        <v>1</v>
      </c>
      <c r="P285" s="27" t="s">
        <v>1415</v>
      </c>
      <c r="Q285" s="27"/>
      <c r="R285" s="27"/>
      <c r="S285" s="27" t="s">
        <v>1417</v>
      </c>
      <c r="T285" s="27"/>
      <c r="U285" s="26"/>
      <c r="V285" s="32">
        <v>45103.0</v>
      </c>
      <c r="W285" s="27" t="s">
        <v>4297</v>
      </c>
      <c r="X285" s="25">
        <v>8750000.0</v>
      </c>
      <c r="Y285" s="25">
        <f>X285-Z285</f>
        <v>1292500</v>
      </c>
      <c r="Z285" s="25">
        <v>7457500.0</v>
      </c>
      <c r="AA285" s="19">
        <f t="shared" si="1"/>
        <v>6</v>
      </c>
      <c r="AB285" s="19">
        <f t="shared" si="2"/>
        <v>6</v>
      </c>
      <c r="AC285" s="19"/>
    </row>
    <row r="286" ht="15.75" customHeight="1">
      <c r="A286" s="12">
        <v>45103.0</v>
      </c>
      <c r="B286" s="27" t="s">
        <v>60</v>
      </c>
      <c r="C286" s="14" t="s">
        <v>4298</v>
      </c>
      <c r="D286" s="14"/>
      <c r="E286" s="14"/>
      <c r="F286" s="14"/>
      <c r="G286" s="14" t="s">
        <v>1419</v>
      </c>
      <c r="H286" s="14"/>
      <c r="I286" s="286" t="s">
        <v>1420</v>
      </c>
      <c r="J286" s="14"/>
      <c r="K286" s="14"/>
      <c r="L286" s="14" t="s">
        <v>1421</v>
      </c>
      <c r="M286" s="27" t="s">
        <v>48</v>
      </c>
      <c r="N286" s="14" t="s">
        <v>565</v>
      </c>
      <c r="O286" s="14" t="b">
        <v>0</v>
      </c>
      <c r="P286" s="14"/>
      <c r="Q286" s="14"/>
      <c r="R286" s="14"/>
      <c r="S286" s="14" t="s">
        <v>1422</v>
      </c>
      <c r="T286" s="14"/>
      <c r="U286" s="17">
        <v>45108.0</v>
      </c>
      <c r="V286" s="14"/>
      <c r="W286" s="14"/>
      <c r="X286" s="18"/>
      <c r="Y286" s="18"/>
      <c r="Z286" s="18"/>
      <c r="AA286" s="19">
        <f t="shared" si="1"/>
        <v>6</v>
      </c>
      <c r="AB286" s="19" t="str">
        <f t="shared" si="2"/>
        <v/>
      </c>
      <c r="AC286" s="19"/>
    </row>
    <row r="287" ht="15.75" customHeight="1">
      <c r="A287" s="12">
        <v>45104.0</v>
      </c>
      <c r="B287" s="13" t="s">
        <v>28</v>
      </c>
      <c r="C287" s="14" t="s">
        <v>1423</v>
      </c>
      <c r="D287" s="14"/>
      <c r="E287" s="14"/>
      <c r="F287" s="14"/>
      <c r="G287" s="14"/>
      <c r="H287" s="14"/>
      <c r="I287" s="15" t="s">
        <v>1424</v>
      </c>
      <c r="J287" s="14"/>
      <c r="K287" s="14"/>
      <c r="L287" s="14"/>
      <c r="M287" s="27" t="s">
        <v>111</v>
      </c>
      <c r="N287" s="14" t="s">
        <v>34</v>
      </c>
      <c r="O287" s="14" t="b">
        <v>0</v>
      </c>
      <c r="P287" s="14"/>
      <c r="Q287" s="14"/>
      <c r="R287" s="14"/>
      <c r="S287" s="14" t="s">
        <v>1425</v>
      </c>
      <c r="T287" s="14" t="s">
        <v>4069</v>
      </c>
      <c r="U287" s="17"/>
      <c r="V287" s="14"/>
      <c r="W287" s="14"/>
      <c r="X287" s="18"/>
      <c r="Y287" s="18"/>
      <c r="Z287" s="18"/>
      <c r="AA287" s="19">
        <f t="shared" si="1"/>
        <v>6</v>
      </c>
      <c r="AB287" s="19" t="str">
        <f t="shared" si="2"/>
        <v/>
      </c>
      <c r="AC287" s="19"/>
    </row>
    <row r="288" ht="15.75" customHeight="1">
      <c r="A288" s="12">
        <v>45104.0</v>
      </c>
      <c r="B288" s="13" t="s">
        <v>28</v>
      </c>
      <c r="C288" s="14" t="s">
        <v>1426</v>
      </c>
      <c r="D288" s="14"/>
      <c r="E288" s="14"/>
      <c r="F288" s="14"/>
      <c r="G288" s="14"/>
      <c r="H288" s="14"/>
      <c r="I288" s="15" t="s">
        <v>1427</v>
      </c>
      <c r="J288" s="14"/>
      <c r="K288" s="14"/>
      <c r="L288" s="14" t="s">
        <v>1428</v>
      </c>
      <c r="M288" s="27" t="s">
        <v>48</v>
      </c>
      <c r="N288" s="14" t="s">
        <v>34</v>
      </c>
      <c r="O288" s="14" t="b">
        <v>0</v>
      </c>
      <c r="P288" s="14"/>
      <c r="Q288" s="14"/>
      <c r="R288" s="14"/>
      <c r="S288" s="14" t="s">
        <v>1429</v>
      </c>
      <c r="T288" s="14" t="s">
        <v>36</v>
      </c>
      <c r="U288" s="17"/>
      <c r="V288" s="14"/>
      <c r="W288" s="14"/>
      <c r="X288" s="18"/>
      <c r="Y288" s="18"/>
      <c r="Z288" s="18"/>
      <c r="AA288" s="19">
        <f t="shared" si="1"/>
        <v>6</v>
      </c>
      <c r="AB288" s="19" t="str">
        <f t="shared" si="2"/>
        <v/>
      </c>
      <c r="AC288" s="19"/>
    </row>
    <row r="289" ht="15.75" customHeight="1">
      <c r="A289" s="12">
        <v>45104.0</v>
      </c>
      <c r="B289" s="115" t="s">
        <v>703</v>
      </c>
      <c r="C289" s="14" t="s">
        <v>1430</v>
      </c>
      <c r="D289" s="14"/>
      <c r="E289" s="14"/>
      <c r="F289" s="14"/>
      <c r="G289" s="14"/>
      <c r="H289" s="14"/>
      <c r="I289" s="15" t="s">
        <v>1431</v>
      </c>
      <c r="J289" s="14"/>
      <c r="K289" s="14"/>
      <c r="L289" s="14"/>
      <c r="M289" s="27" t="s">
        <v>111</v>
      </c>
      <c r="N289" s="14" t="s">
        <v>216</v>
      </c>
      <c r="O289" s="14" t="b">
        <v>0</v>
      </c>
      <c r="P289" s="14"/>
      <c r="Q289" s="14"/>
      <c r="R289" s="14"/>
      <c r="S289" s="14" t="s">
        <v>1432</v>
      </c>
      <c r="T289" s="14"/>
      <c r="U289" s="17"/>
      <c r="V289" s="14"/>
      <c r="W289" s="14"/>
      <c r="X289" s="18"/>
      <c r="Y289" s="18"/>
      <c r="Z289" s="18"/>
      <c r="AA289" s="19">
        <f t="shared" si="1"/>
        <v>6</v>
      </c>
      <c r="AB289" s="19" t="str">
        <f t="shared" si="2"/>
        <v/>
      </c>
      <c r="AC289" s="19"/>
    </row>
    <row r="290" ht="15.75" customHeight="1">
      <c r="A290" s="12">
        <v>45104.0</v>
      </c>
      <c r="B290" s="115" t="s">
        <v>703</v>
      </c>
      <c r="C290" s="14" t="s">
        <v>1433</v>
      </c>
      <c r="D290" s="14"/>
      <c r="E290" s="14"/>
      <c r="F290" s="14"/>
      <c r="G290" s="14"/>
      <c r="H290" s="14"/>
      <c r="I290" s="15" t="s">
        <v>1434</v>
      </c>
      <c r="J290" s="14"/>
      <c r="K290" s="14"/>
      <c r="L290" s="14" t="s">
        <v>1435</v>
      </c>
      <c r="M290" s="27" t="s">
        <v>48</v>
      </c>
      <c r="N290" s="14" t="s">
        <v>34</v>
      </c>
      <c r="O290" s="14" t="b">
        <v>0</v>
      </c>
      <c r="P290" s="14"/>
      <c r="Q290" s="14"/>
      <c r="R290" s="14"/>
      <c r="S290" s="14" t="s">
        <v>1436</v>
      </c>
      <c r="T290" s="14" t="s">
        <v>36</v>
      </c>
      <c r="U290" s="17"/>
      <c r="V290" s="14"/>
      <c r="W290" s="14"/>
      <c r="X290" s="18"/>
      <c r="Y290" s="18"/>
      <c r="Z290" s="18"/>
      <c r="AA290" s="19">
        <f t="shared" si="1"/>
        <v>6</v>
      </c>
      <c r="AB290" s="19" t="str">
        <f t="shared" si="2"/>
        <v/>
      </c>
      <c r="AC290" s="19"/>
    </row>
    <row r="291" ht="15.75" customHeight="1">
      <c r="A291" s="12">
        <v>45104.0</v>
      </c>
      <c r="B291" s="13" t="s">
        <v>28</v>
      </c>
      <c r="C291" s="14" t="s">
        <v>1437</v>
      </c>
      <c r="D291" s="14"/>
      <c r="E291" s="14"/>
      <c r="F291" s="14"/>
      <c r="G291" s="14" t="s">
        <v>176</v>
      </c>
      <c r="H291" s="14"/>
      <c r="I291" s="15" t="s">
        <v>1438</v>
      </c>
      <c r="J291" s="14"/>
      <c r="K291" s="14"/>
      <c r="L291" s="14" t="s">
        <v>1439</v>
      </c>
      <c r="M291" s="27" t="s">
        <v>111</v>
      </c>
      <c r="N291" s="14" t="s">
        <v>1049</v>
      </c>
      <c r="O291" s="14" t="b">
        <v>0</v>
      </c>
      <c r="P291" s="14"/>
      <c r="Q291" s="14"/>
      <c r="R291" s="14"/>
      <c r="S291" s="14" t="s">
        <v>1440</v>
      </c>
      <c r="T291" s="14"/>
      <c r="U291" s="17"/>
      <c r="V291" s="14"/>
      <c r="W291" s="14"/>
      <c r="X291" s="18"/>
      <c r="Y291" s="18"/>
      <c r="Z291" s="18"/>
      <c r="AA291" s="19">
        <f t="shared" si="1"/>
        <v>6</v>
      </c>
      <c r="AB291" s="19" t="str">
        <f t="shared" si="2"/>
        <v/>
      </c>
      <c r="AC291" s="19"/>
    </row>
    <row r="292" ht="15.75" customHeight="1">
      <c r="A292" s="12">
        <v>45104.0</v>
      </c>
      <c r="B292" s="14" t="s">
        <v>60</v>
      </c>
      <c r="C292" s="14" t="s">
        <v>4299</v>
      </c>
      <c r="D292" s="14" t="s">
        <v>1442</v>
      </c>
      <c r="E292" s="14"/>
      <c r="F292" s="14"/>
      <c r="G292" s="14" t="s">
        <v>1443</v>
      </c>
      <c r="H292" s="14"/>
      <c r="I292" s="289" t="s">
        <v>1444</v>
      </c>
      <c r="J292" s="14"/>
      <c r="K292" s="14"/>
      <c r="L292" s="14"/>
      <c r="M292" s="27" t="s">
        <v>48</v>
      </c>
      <c r="N292" s="14" t="s">
        <v>34</v>
      </c>
      <c r="O292" s="14" t="b">
        <v>0</v>
      </c>
      <c r="P292" s="14"/>
      <c r="Q292" s="14"/>
      <c r="R292" s="14"/>
      <c r="S292" s="14" t="s">
        <v>1445</v>
      </c>
      <c r="T292" s="14" t="s">
        <v>36</v>
      </c>
      <c r="U292" s="17"/>
      <c r="V292" s="14"/>
      <c r="W292" s="14"/>
      <c r="X292" s="18"/>
      <c r="Y292" s="18"/>
      <c r="Z292" s="18"/>
      <c r="AA292" s="19">
        <f t="shared" si="1"/>
        <v>6</v>
      </c>
      <c r="AB292" s="19" t="str">
        <f t="shared" si="2"/>
        <v/>
      </c>
      <c r="AC292" s="19"/>
    </row>
    <row r="293" ht="15.75" customHeight="1">
      <c r="A293" s="12">
        <v>45104.0</v>
      </c>
      <c r="B293" s="13" t="s">
        <v>28</v>
      </c>
      <c r="C293" s="14" t="s">
        <v>1446</v>
      </c>
      <c r="D293" s="14"/>
      <c r="E293" s="14"/>
      <c r="F293" s="14"/>
      <c r="G293" s="14"/>
      <c r="H293" s="14"/>
      <c r="I293" s="15" t="s">
        <v>1447</v>
      </c>
      <c r="J293" s="14"/>
      <c r="K293" s="14"/>
      <c r="L293" s="14" t="s">
        <v>1448</v>
      </c>
      <c r="M293" s="27" t="s">
        <v>48</v>
      </c>
      <c r="N293" s="14" t="s">
        <v>34</v>
      </c>
      <c r="O293" s="14" t="b">
        <v>0</v>
      </c>
      <c r="P293" s="14"/>
      <c r="Q293" s="14"/>
      <c r="R293" s="14"/>
      <c r="S293" s="14" t="s">
        <v>1449</v>
      </c>
      <c r="T293" s="14" t="s">
        <v>36</v>
      </c>
      <c r="U293" s="17"/>
      <c r="V293" s="14"/>
      <c r="W293" s="14"/>
      <c r="X293" s="18"/>
      <c r="Y293" s="18"/>
      <c r="Z293" s="18"/>
      <c r="AA293" s="19">
        <f t="shared" si="1"/>
        <v>6</v>
      </c>
      <c r="AB293" s="19" t="str">
        <f t="shared" si="2"/>
        <v/>
      </c>
      <c r="AC293" s="19"/>
    </row>
    <row r="294" ht="15.75" customHeight="1">
      <c r="A294" s="12">
        <v>45104.0</v>
      </c>
      <c r="B294" s="13" t="s">
        <v>28</v>
      </c>
      <c r="C294" s="14" t="s">
        <v>393</v>
      </c>
      <c r="D294" s="14"/>
      <c r="E294" s="14"/>
      <c r="F294" s="14"/>
      <c r="G294" s="14"/>
      <c r="H294" s="14"/>
      <c r="I294" s="15" t="s">
        <v>1450</v>
      </c>
      <c r="J294" s="14"/>
      <c r="K294" s="14"/>
      <c r="L294" s="14" t="s">
        <v>1451</v>
      </c>
      <c r="M294" s="27" t="s">
        <v>111</v>
      </c>
      <c r="N294" s="14" t="s">
        <v>34</v>
      </c>
      <c r="O294" s="14" t="b">
        <v>0</v>
      </c>
      <c r="P294" s="14"/>
      <c r="Q294" s="14"/>
      <c r="R294" s="14"/>
      <c r="S294" s="14" t="s">
        <v>1452</v>
      </c>
      <c r="T294" s="14" t="s">
        <v>4069</v>
      </c>
      <c r="U294" s="17"/>
      <c r="V294" s="14"/>
      <c r="W294" s="14"/>
      <c r="X294" s="18"/>
      <c r="Y294" s="18"/>
      <c r="Z294" s="18"/>
      <c r="AA294" s="19">
        <f t="shared" si="1"/>
        <v>6</v>
      </c>
      <c r="AB294" s="19" t="str">
        <f t="shared" si="2"/>
        <v/>
      </c>
      <c r="AC294" s="19"/>
    </row>
    <row r="295" ht="15.75" customHeight="1">
      <c r="A295" s="12">
        <v>45104.0</v>
      </c>
      <c r="B295" s="14" t="s">
        <v>60</v>
      </c>
      <c r="C295" s="290" t="s">
        <v>4300</v>
      </c>
      <c r="D295" s="290" t="s">
        <v>1453</v>
      </c>
      <c r="E295" s="14"/>
      <c r="F295" s="14"/>
      <c r="G295" s="14" t="s">
        <v>1443</v>
      </c>
      <c r="H295" s="14"/>
      <c r="I295" s="289" t="s">
        <v>1454</v>
      </c>
      <c r="J295" s="14"/>
      <c r="K295" s="14"/>
      <c r="L295" s="14"/>
      <c r="M295" s="27" t="s">
        <v>48</v>
      </c>
      <c r="N295" s="14" t="s">
        <v>565</v>
      </c>
      <c r="O295" s="14" t="b">
        <v>0</v>
      </c>
      <c r="P295" s="14"/>
      <c r="Q295" s="14"/>
      <c r="R295" s="14"/>
      <c r="S295" s="14" t="s">
        <v>1455</v>
      </c>
      <c r="T295" s="14"/>
      <c r="U295" s="17"/>
      <c r="V295" s="14"/>
      <c r="W295" s="14"/>
      <c r="X295" s="18"/>
      <c r="Y295" s="18"/>
      <c r="Z295" s="18"/>
      <c r="AA295" s="19">
        <f t="shared" si="1"/>
        <v>6</v>
      </c>
      <c r="AB295" s="19" t="str">
        <f t="shared" si="2"/>
        <v/>
      </c>
      <c r="AC295" s="19"/>
    </row>
    <row r="296" ht="15.75" customHeight="1">
      <c r="A296" s="26">
        <v>45104.0</v>
      </c>
      <c r="B296" s="13" t="s">
        <v>28</v>
      </c>
      <c r="C296" s="27" t="s">
        <v>1456</v>
      </c>
      <c r="D296" s="27" t="s">
        <v>1457</v>
      </c>
      <c r="E296" s="27"/>
      <c r="F296" s="291">
        <v>41334.0</v>
      </c>
      <c r="G296" s="27" t="s">
        <v>1458</v>
      </c>
      <c r="H296" s="27"/>
      <c r="I296" s="34" t="s">
        <v>1459</v>
      </c>
      <c r="J296" s="27"/>
      <c r="K296" s="27"/>
      <c r="L296" s="27" t="s">
        <v>1460</v>
      </c>
      <c r="M296" s="27" t="s">
        <v>48</v>
      </c>
      <c r="N296" s="27" t="s">
        <v>67</v>
      </c>
      <c r="O296" s="14" t="b">
        <v>1</v>
      </c>
      <c r="P296" s="288" t="s">
        <v>1461</v>
      </c>
      <c r="Q296" s="27"/>
      <c r="R296" s="27"/>
      <c r="S296" s="27" t="s">
        <v>1462</v>
      </c>
      <c r="T296" s="27"/>
      <c r="U296" s="26"/>
      <c r="V296" s="32">
        <v>45105.0</v>
      </c>
      <c r="W296" s="281" t="s">
        <v>4301</v>
      </c>
      <c r="X296" s="25">
        <v>5116000.0</v>
      </c>
      <c r="Y296" s="25">
        <f>X296-Z296</f>
        <v>767400</v>
      </c>
      <c r="Z296" s="25">
        <v>4348600.0</v>
      </c>
      <c r="AA296" s="19">
        <f t="shared" si="1"/>
        <v>6</v>
      </c>
      <c r="AB296" s="19">
        <f t="shared" si="2"/>
        <v>6</v>
      </c>
      <c r="AC296" s="19"/>
    </row>
    <row r="297" ht="15.75" customHeight="1">
      <c r="A297" s="12">
        <v>45104.0</v>
      </c>
      <c r="B297" s="13" t="s">
        <v>28</v>
      </c>
      <c r="C297" s="14" t="s">
        <v>1463</v>
      </c>
      <c r="D297" s="14"/>
      <c r="E297" s="14"/>
      <c r="F297" s="14" t="s">
        <v>425</v>
      </c>
      <c r="G297" s="14"/>
      <c r="H297" s="14"/>
      <c r="I297" s="15" t="s">
        <v>1464</v>
      </c>
      <c r="J297" s="14"/>
      <c r="K297" s="14"/>
      <c r="L297" s="14"/>
      <c r="M297" s="27" t="s">
        <v>111</v>
      </c>
      <c r="N297" s="14" t="s">
        <v>158</v>
      </c>
      <c r="O297" s="14" t="b">
        <v>0</v>
      </c>
      <c r="P297" s="14"/>
      <c r="Q297" s="14"/>
      <c r="R297" s="14"/>
      <c r="S297" s="14" t="s">
        <v>1465</v>
      </c>
      <c r="T297" s="14" t="s">
        <v>4302</v>
      </c>
      <c r="U297" s="17">
        <v>45120.0</v>
      </c>
      <c r="V297" s="14"/>
      <c r="W297" s="14"/>
      <c r="X297" s="18"/>
      <c r="Y297" s="18"/>
      <c r="Z297" s="18"/>
      <c r="AA297" s="19">
        <f t="shared" si="1"/>
        <v>6</v>
      </c>
      <c r="AB297" s="19" t="str">
        <f t="shared" si="2"/>
        <v/>
      </c>
      <c r="AC297" s="19"/>
    </row>
    <row r="298" ht="15.75" customHeight="1">
      <c r="A298" s="12">
        <v>45104.0</v>
      </c>
      <c r="B298" s="13" t="s">
        <v>28</v>
      </c>
      <c r="C298" s="14" t="s">
        <v>1466</v>
      </c>
      <c r="D298" s="14" t="s">
        <v>1467</v>
      </c>
      <c r="E298" s="14"/>
      <c r="F298" s="142">
        <v>41255.0</v>
      </c>
      <c r="G298" s="14" t="s">
        <v>437</v>
      </c>
      <c r="H298" s="14"/>
      <c r="I298" s="15" t="s">
        <v>1468</v>
      </c>
      <c r="J298" s="14"/>
      <c r="K298" s="14"/>
      <c r="L298" s="14"/>
      <c r="M298" s="27" t="s">
        <v>48</v>
      </c>
      <c r="N298" s="14" t="s">
        <v>34</v>
      </c>
      <c r="O298" s="14" t="b">
        <v>1</v>
      </c>
      <c r="P298" s="14" t="s">
        <v>1469</v>
      </c>
      <c r="Q298" s="14"/>
      <c r="R298" s="14"/>
      <c r="S298" s="14" t="s">
        <v>1470</v>
      </c>
      <c r="T298" s="14" t="s">
        <v>36</v>
      </c>
      <c r="U298" s="17"/>
      <c r="V298" s="14"/>
      <c r="W298" s="14"/>
      <c r="X298" s="18"/>
      <c r="Y298" s="18"/>
      <c r="Z298" s="18"/>
      <c r="AA298" s="19">
        <f t="shared" si="1"/>
        <v>6</v>
      </c>
      <c r="AB298" s="19" t="str">
        <f t="shared" si="2"/>
        <v/>
      </c>
      <c r="AC298" s="19"/>
    </row>
    <row r="299" ht="15.75" customHeight="1">
      <c r="A299" s="12">
        <v>45104.0</v>
      </c>
      <c r="B299" s="13" t="s">
        <v>28</v>
      </c>
      <c r="C299" s="14" t="s">
        <v>1471</v>
      </c>
      <c r="D299" s="14" t="s">
        <v>1472</v>
      </c>
      <c r="E299" s="14"/>
      <c r="F299" s="14" t="s">
        <v>4303</v>
      </c>
      <c r="G299" s="14"/>
      <c r="H299" s="14"/>
      <c r="I299" s="15" t="s">
        <v>1473</v>
      </c>
      <c r="J299" s="14"/>
      <c r="K299" s="14"/>
      <c r="L299" s="14"/>
      <c r="M299" s="27" t="s">
        <v>48</v>
      </c>
      <c r="N299" s="14" t="s">
        <v>34</v>
      </c>
      <c r="O299" s="14" t="b">
        <v>1</v>
      </c>
      <c r="P299" s="14" t="s">
        <v>1474</v>
      </c>
      <c r="Q299" s="14"/>
      <c r="R299" s="14"/>
      <c r="S299" s="14" t="s">
        <v>1475</v>
      </c>
      <c r="T299" s="14" t="s">
        <v>36</v>
      </c>
      <c r="U299" s="41"/>
      <c r="V299" s="14"/>
      <c r="W299" s="14"/>
      <c r="X299" s="18"/>
      <c r="Y299" s="18"/>
      <c r="Z299" s="18"/>
      <c r="AA299" s="19">
        <f t="shared" si="1"/>
        <v>6</v>
      </c>
      <c r="AB299" s="19" t="str">
        <f t="shared" si="2"/>
        <v/>
      </c>
      <c r="AC299" s="19"/>
    </row>
    <row r="300" ht="15.75" customHeight="1">
      <c r="A300" s="26">
        <v>45104.0</v>
      </c>
      <c r="B300" s="13" t="s">
        <v>28</v>
      </c>
      <c r="C300" s="27" t="s">
        <v>4304</v>
      </c>
      <c r="D300" s="27" t="s">
        <v>1477</v>
      </c>
      <c r="E300" s="27"/>
      <c r="F300" s="27">
        <v>2012.0</v>
      </c>
      <c r="G300" s="27"/>
      <c r="H300" s="27"/>
      <c r="I300" s="34" t="s">
        <v>1478</v>
      </c>
      <c r="J300" s="27"/>
      <c r="K300" s="27"/>
      <c r="L300" s="27" t="s">
        <v>1479</v>
      </c>
      <c r="M300" s="27" t="s">
        <v>111</v>
      </c>
      <c r="N300" s="27" t="s">
        <v>67</v>
      </c>
      <c r="O300" s="14" t="b">
        <v>1</v>
      </c>
      <c r="P300" s="27" t="s">
        <v>1480</v>
      </c>
      <c r="Q300" s="27"/>
      <c r="R300" s="27"/>
      <c r="S300" s="27" t="s">
        <v>1481</v>
      </c>
      <c r="T300" s="27"/>
      <c r="U300" s="26"/>
      <c r="V300" s="32">
        <v>45126.0</v>
      </c>
      <c r="W300" s="27" t="s">
        <v>4194</v>
      </c>
      <c r="X300" s="25">
        <v>5116000.0</v>
      </c>
      <c r="Y300" s="25">
        <v>500000.0</v>
      </c>
      <c r="Z300" s="25">
        <v>4616000.0</v>
      </c>
      <c r="AA300" s="19">
        <f t="shared" si="1"/>
        <v>6</v>
      </c>
      <c r="AB300" s="19">
        <f t="shared" si="2"/>
        <v>7</v>
      </c>
      <c r="AC300" s="19"/>
    </row>
    <row r="301" ht="15.75" customHeight="1">
      <c r="A301" s="12">
        <v>45104.0</v>
      </c>
      <c r="B301" s="13" t="s">
        <v>28</v>
      </c>
      <c r="C301" s="14" t="s">
        <v>1482</v>
      </c>
      <c r="D301" s="14"/>
      <c r="E301" s="14"/>
      <c r="F301" s="14"/>
      <c r="G301" s="14"/>
      <c r="H301" s="14"/>
      <c r="I301" s="15" t="s">
        <v>1483</v>
      </c>
      <c r="J301" s="14"/>
      <c r="K301" s="14"/>
      <c r="L301" s="14"/>
      <c r="M301" s="27" t="s">
        <v>48</v>
      </c>
      <c r="N301" s="14" t="s">
        <v>1484</v>
      </c>
      <c r="O301" s="14" t="b">
        <v>0</v>
      </c>
      <c r="P301" s="14"/>
      <c r="Q301" s="14"/>
      <c r="R301" s="14"/>
      <c r="S301" s="14" t="s">
        <v>1485</v>
      </c>
      <c r="T301" s="14" t="s">
        <v>4305</v>
      </c>
      <c r="U301" s="17">
        <v>45114.0</v>
      </c>
      <c r="V301" s="14"/>
      <c r="W301" s="14"/>
      <c r="X301" s="18"/>
      <c r="Y301" s="18"/>
      <c r="Z301" s="18"/>
      <c r="AA301" s="19">
        <f t="shared" si="1"/>
        <v>6</v>
      </c>
      <c r="AB301" s="19" t="str">
        <f t="shared" si="2"/>
        <v/>
      </c>
      <c r="AC301" s="19"/>
    </row>
    <row r="302" ht="15.75" customHeight="1">
      <c r="A302" s="26">
        <v>45104.0</v>
      </c>
      <c r="B302" s="13" t="s">
        <v>28</v>
      </c>
      <c r="C302" s="27" t="s">
        <v>1486</v>
      </c>
      <c r="D302" s="27" t="s">
        <v>1487</v>
      </c>
      <c r="E302" s="27"/>
      <c r="F302" s="27" t="s">
        <v>4306</v>
      </c>
      <c r="G302" s="27"/>
      <c r="H302" s="27"/>
      <c r="I302" s="34" t="s">
        <v>1488</v>
      </c>
      <c r="J302" s="27"/>
      <c r="K302" s="27">
        <v>9.06459947E8</v>
      </c>
      <c r="L302" s="27" t="s">
        <v>1489</v>
      </c>
      <c r="M302" s="27" t="s">
        <v>111</v>
      </c>
      <c r="N302" s="27" t="s">
        <v>67</v>
      </c>
      <c r="O302" s="14" t="b">
        <v>1</v>
      </c>
      <c r="P302" s="27" t="s">
        <v>1490</v>
      </c>
      <c r="Q302" s="27"/>
      <c r="R302" s="27"/>
      <c r="S302" s="27" t="s">
        <v>1491</v>
      </c>
      <c r="T302" s="27" t="s">
        <v>4197</v>
      </c>
      <c r="U302" s="26"/>
      <c r="V302" s="32">
        <v>45128.0</v>
      </c>
      <c r="W302" s="27" t="s">
        <v>4194</v>
      </c>
      <c r="X302" s="25">
        <v>2558000.0</v>
      </c>
      <c r="Y302" s="25">
        <v>0.0</v>
      </c>
      <c r="Z302" s="25">
        <v>2558000.0</v>
      </c>
      <c r="AA302" s="19">
        <f t="shared" si="1"/>
        <v>6</v>
      </c>
      <c r="AB302" s="19">
        <f t="shared" si="2"/>
        <v>7</v>
      </c>
      <c r="AC302" s="19"/>
    </row>
    <row r="303" ht="15.75" customHeight="1">
      <c r="A303" s="12">
        <v>45104.0</v>
      </c>
      <c r="B303" s="13" t="s">
        <v>28</v>
      </c>
      <c r="C303" s="14" t="s">
        <v>1492</v>
      </c>
      <c r="D303" s="14" t="s">
        <v>1493</v>
      </c>
      <c r="E303" s="14"/>
      <c r="F303" s="14">
        <v>2014.0</v>
      </c>
      <c r="G303" s="14">
        <v>4.0</v>
      </c>
      <c r="H303" s="14"/>
      <c r="I303" s="15" t="s">
        <v>1494</v>
      </c>
      <c r="J303" s="14"/>
      <c r="K303" s="14"/>
      <c r="L303" s="14"/>
      <c r="M303" s="27" t="s">
        <v>48</v>
      </c>
      <c r="N303" s="14" t="s">
        <v>34</v>
      </c>
      <c r="O303" s="14" t="b">
        <v>0</v>
      </c>
      <c r="P303" s="14" t="s">
        <v>1495</v>
      </c>
      <c r="Q303" s="14"/>
      <c r="R303" s="14"/>
      <c r="S303" s="14" t="s">
        <v>1496</v>
      </c>
      <c r="T303" s="14" t="s">
        <v>4307</v>
      </c>
      <c r="U303" s="17">
        <v>45127.0</v>
      </c>
      <c r="V303" s="14"/>
      <c r="W303" s="14"/>
      <c r="X303" s="18"/>
      <c r="Y303" s="18"/>
      <c r="Z303" s="18"/>
      <c r="AA303" s="19">
        <f t="shared" si="1"/>
        <v>6</v>
      </c>
      <c r="AB303" s="19" t="str">
        <f t="shared" si="2"/>
        <v/>
      </c>
      <c r="AC303" s="19"/>
    </row>
    <row r="304" ht="15.75" customHeight="1">
      <c r="A304" s="12">
        <v>45104.0</v>
      </c>
      <c r="B304" s="13" t="s">
        <v>28</v>
      </c>
      <c r="C304" s="14" t="s">
        <v>1497</v>
      </c>
      <c r="D304" s="14" t="s">
        <v>1498</v>
      </c>
      <c r="E304" s="14"/>
      <c r="F304" s="14" t="s">
        <v>4308</v>
      </c>
      <c r="G304" s="14"/>
      <c r="H304" s="14"/>
      <c r="I304" s="287" t="s">
        <v>1499</v>
      </c>
      <c r="J304" s="14"/>
      <c r="K304" s="14"/>
      <c r="L304" s="14" t="s">
        <v>1500</v>
      </c>
      <c r="M304" s="27" t="s">
        <v>111</v>
      </c>
      <c r="N304" s="14" t="s">
        <v>13</v>
      </c>
      <c r="O304" s="14" t="b">
        <v>0</v>
      </c>
      <c r="P304" s="61"/>
      <c r="Q304" s="14"/>
      <c r="R304" s="14"/>
      <c r="S304" s="14" t="s">
        <v>1501</v>
      </c>
      <c r="T304" s="14" t="s">
        <v>4096</v>
      </c>
      <c r="U304" s="17">
        <v>45117.0</v>
      </c>
      <c r="V304" s="14"/>
      <c r="W304" s="14"/>
      <c r="X304" s="18"/>
      <c r="Y304" s="18"/>
      <c r="Z304" s="18"/>
      <c r="AA304" s="19">
        <f t="shared" si="1"/>
        <v>6</v>
      </c>
      <c r="AB304" s="19" t="str">
        <f t="shared" si="2"/>
        <v/>
      </c>
      <c r="AC304" s="19"/>
    </row>
    <row r="305" ht="15.75" customHeight="1">
      <c r="A305" s="26">
        <v>45104.0</v>
      </c>
      <c r="B305" s="13" t="s">
        <v>28</v>
      </c>
      <c r="C305" s="27" t="s">
        <v>1502</v>
      </c>
      <c r="D305" s="27" t="s">
        <v>1503</v>
      </c>
      <c r="E305" s="27"/>
      <c r="F305" s="27">
        <v>2012.0</v>
      </c>
      <c r="G305" s="27" t="s">
        <v>1504</v>
      </c>
      <c r="H305" s="27"/>
      <c r="I305" s="34" t="s">
        <v>1505</v>
      </c>
      <c r="J305" s="27"/>
      <c r="K305" s="27"/>
      <c r="L305" s="27"/>
      <c r="M305" s="27" t="s">
        <v>48</v>
      </c>
      <c r="N305" s="27" t="s">
        <v>67</v>
      </c>
      <c r="O305" s="14" t="b">
        <v>0</v>
      </c>
      <c r="P305" s="288" t="s">
        <v>1506</v>
      </c>
      <c r="Q305" s="27"/>
      <c r="R305" s="27"/>
      <c r="S305" s="27" t="s">
        <v>1507</v>
      </c>
      <c r="T305" s="27"/>
      <c r="U305" s="26"/>
      <c r="V305" s="32">
        <v>45114.0</v>
      </c>
      <c r="W305" s="27" t="s">
        <v>4309</v>
      </c>
      <c r="X305" s="25">
        <v>6124000.0</v>
      </c>
      <c r="Y305" s="25">
        <f>X305-Z305</f>
        <v>918600</v>
      </c>
      <c r="Z305" s="25">
        <v>5205400.0</v>
      </c>
      <c r="AA305" s="19">
        <f t="shared" si="1"/>
        <v>6</v>
      </c>
      <c r="AB305" s="19">
        <f t="shared" si="2"/>
        <v>7</v>
      </c>
      <c r="AC305" s="19"/>
    </row>
    <row r="306" ht="15.75" customHeight="1">
      <c r="A306" s="12">
        <v>45104.0</v>
      </c>
      <c r="B306" s="13" t="s">
        <v>28</v>
      </c>
      <c r="C306" s="14" t="s">
        <v>1508</v>
      </c>
      <c r="D306" s="14"/>
      <c r="E306" s="14"/>
      <c r="F306" s="14" t="s">
        <v>437</v>
      </c>
      <c r="G306" s="14"/>
      <c r="H306" s="14"/>
      <c r="I306" s="15" t="s">
        <v>1509</v>
      </c>
      <c r="J306" s="14"/>
      <c r="K306" s="14"/>
      <c r="L306" s="14"/>
      <c r="M306" s="27" t="s">
        <v>111</v>
      </c>
      <c r="N306" s="14" t="s">
        <v>34</v>
      </c>
      <c r="O306" s="14" t="b">
        <v>0</v>
      </c>
      <c r="P306" s="14"/>
      <c r="Q306" s="14"/>
      <c r="R306" s="14"/>
      <c r="S306" s="14" t="s">
        <v>1510</v>
      </c>
      <c r="T306" s="14" t="s">
        <v>4069</v>
      </c>
      <c r="U306" s="17"/>
      <c r="V306" s="14"/>
      <c r="W306" s="14"/>
      <c r="X306" s="18"/>
      <c r="Y306" s="18"/>
      <c r="Z306" s="18"/>
      <c r="AA306" s="19">
        <f t="shared" si="1"/>
        <v>6</v>
      </c>
      <c r="AB306" s="19" t="str">
        <f t="shared" si="2"/>
        <v/>
      </c>
      <c r="AC306" s="19"/>
    </row>
    <row r="307" ht="15.75" customHeight="1">
      <c r="A307" s="12">
        <v>45104.0</v>
      </c>
      <c r="B307" s="13" t="s">
        <v>28</v>
      </c>
      <c r="C307" s="120" t="s">
        <v>1511</v>
      </c>
      <c r="D307" s="14"/>
      <c r="E307" s="14"/>
      <c r="F307" s="14" t="s">
        <v>4310</v>
      </c>
      <c r="G307" s="14"/>
      <c r="H307" s="14"/>
      <c r="I307" s="137" t="s">
        <v>1512</v>
      </c>
      <c r="J307" s="14"/>
      <c r="K307" s="14"/>
      <c r="L307" s="14" t="s">
        <v>1513</v>
      </c>
      <c r="M307" s="27" t="s">
        <v>48</v>
      </c>
      <c r="N307" s="14" t="s">
        <v>158</v>
      </c>
      <c r="O307" s="14" t="b">
        <v>0</v>
      </c>
      <c r="P307" s="14"/>
      <c r="Q307" s="14"/>
      <c r="R307" s="14"/>
      <c r="S307" s="14" t="s">
        <v>1514</v>
      </c>
      <c r="T307" s="14" t="s">
        <v>4311</v>
      </c>
      <c r="U307" s="17"/>
      <c r="V307" s="14"/>
      <c r="W307" s="14"/>
      <c r="X307" s="18"/>
      <c r="Y307" s="18"/>
      <c r="Z307" s="18"/>
      <c r="AA307" s="19">
        <f t="shared" si="1"/>
        <v>6</v>
      </c>
      <c r="AB307" s="19" t="str">
        <f t="shared" si="2"/>
        <v/>
      </c>
      <c r="AC307" s="19"/>
    </row>
    <row r="308" ht="15.75" customHeight="1">
      <c r="A308" s="12">
        <v>45104.0</v>
      </c>
      <c r="B308" s="13" t="s">
        <v>28</v>
      </c>
      <c r="C308" s="120" t="s">
        <v>1511</v>
      </c>
      <c r="D308" s="14"/>
      <c r="E308" s="14"/>
      <c r="F308" s="14" t="s">
        <v>4312</v>
      </c>
      <c r="G308" s="14"/>
      <c r="H308" s="14"/>
      <c r="I308" s="137" t="s">
        <v>1512</v>
      </c>
      <c r="J308" s="14"/>
      <c r="K308" s="14"/>
      <c r="L308" s="14" t="s">
        <v>1513</v>
      </c>
      <c r="M308" s="27" t="s">
        <v>48</v>
      </c>
      <c r="N308" s="14" t="s">
        <v>158</v>
      </c>
      <c r="O308" s="14" t="b">
        <v>0</v>
      </c>
      <c r="P308" s="14"/>
      <c r="Q308" s="14"/>
      <c r="R308" s="14"/>
      <c r="S308" s="278" t="s">
        <v>1515</v>
      </c>
      <c r="T308" s="14" t="s">
        <v>4311</v>
      </c>
      <c r="U308" s="17">
        <v>45127.0</v>
      </c>
      <c r="V308" s="14"/>
      <c r="W308" s="14"/>
      <c r="X308" s="18"/>
      <c r="Y308" s="18"/>
      <c r="Z308" s="18"/>
      <c r="AA308" s="19">
        <f t="shared" si="1"/>
        <v>6</v>
      </c>
      <c r="AB308" s="19" t="str">
        <f t="shared" si="2"/>
        <v/>
      </c>
      <c r="AC308" s="19"/>
    </row>
    <row r="309" ht="15.75" customHeight="1">
      <c r="A309" s="12">
        <v>45104.0</v>
      </c>
      <c r="B309" s="14" t="s">
        <v>73</v>
      </c>
      <c r="C309" s="14" t="s">
        <v>1516</v>
      </c>
      <c r="D309" s="14" t="s">
        <v>1517</v>
      </c>
      <c r="E309" s="14"/>
      <c r="F309" s="14" t="s">
        <v>4313</v>
      </c>
      <c r="G309" s="14"/>
      <c r="H309" s="14"/>
      <c r="I309" s="15" t="s">
        <v>1518</v>
      </c>
      <c r="J309" s="14"/>
      <c r="K309" s="14"/>
      <c r="L309" s="14" t="s">
        <v>1519</v>
      </c>
      <c r="M309" s="27" t="s">
        <v>111</v>
      </c>
      <c r="N309" s="14" t="s">
        <v>34</v>
      </c>
      <c r="O309" s="14" t="b">
        <v>1</v>
      </c>
      <c r="P309" s="285" t="s">
        <v>1520</v>
      </c>
      <c r="Q309" s="14"/>
      <c r="R309" s="14"/>
      <c r="S309" s="14" t="s">
        <v>1521</v>
      </c>
      <c r="T309" s="14" t="s">
        <v>4069</v>
      </c>
      <c r="U309" s="17"/>
      <c r="V309" s="14"/>
      <c r="W309" s="14"/>
      <c r="X309" s="18"/>
      <c r="Y309" s="18"/>
      <c r="Z309" s="18"/>
      <c r="AA309" s="19">
        <f t="shared" si="1"/>
        <v>6</v>
      </c>
      <c r="AB309" s="19" t="str">
        <f t="shared" si="2"/>
        <v/>
      </c>
      <c r="AC309" s="19"/>
    </row>
    <row r="310" ht="15.75" customHeight="1">
      <c r="A310" s="12">
        <v>45104.0</v>
      </c>
      <c r="B310" s="13" t="s">
        <v>28</v>
      </c>
      <c r="C310" s="37" t="s">
        <v>1522</v>
      </c>
      <c r="D310" s="14" t="s">
        <v>1523</v>
      </c>
      <c r="E310" s="14"/>
      <c r="F310" s="14" t="s">
        <v>234</v>
      </c>
      <c r="G310" s="14"/>
      <c r="H310" s="14"/>
      <c r="I310" s="15" t="s">
        <v>1524</v>
      </c>
      <c r="J310" s="14"/>
      <c r="K310" s="14"/>
      <c r="L310" s="14" t="s">
        <v>4314</v>
      </c>
      <c r="M310" s="27" t="s">
        <v>48</v>
      </c>
      <c r="N310" s="14" t="s">
        <v>158</v>
      </c>
      <c r="O310" s="14" t="b">
        <v>0</v>
      </c>
      <c r="P310" s="14"/>
      <c r="Q310" s="14"/>
      <c r="R310" s="14"/>
      <c r="S310" s="14" t="s">
        <v>1526</v>
      </c>
      <c r="T310" s="14"/>
      <c r="U310" s="17">
        <v>45122.0</v>
      </c>
      <c r="V310" s="14"/>
      <c r="W310" s="14"/>
      <c r="X310" s="18"/>
      <c r="Y310" s="18"/>
      <c r="Z310" s="18"/>
      <c r="AA310" s="19">
        <f t="shared" si="1"/>
        <v>6</v>
      </c>
      <c r="AB310" s="19" t="str">
        <f t="shared" si="2"/>
        <v/>
      </c>
      <c r="AC310" s="19"/>
    </row>
    <row r="311" ht="15.75" customHeight="1">
      <c r="A311" s="12">
        <v>45101.0</v>
      </c>
      <c r="B311" s="13" t="s">
        <v>28</v>
      </c>
      <c r="C311" s="14"/>
      <c r="D311" s="14" t="s">
        <v>1527</v>
      </c>
      <c r="E311" s="14"/>
      <c r="F311" s="14"/>
      <c r="G311" s="14"/>
      <c r="H311" s="14"/>
      <c r="I311" s="15" t="s">
        <v>1528</v>
      </c>
      <c r="J311" s="14"/>
      <c r="K311" s="14"/>
      <c r="L311" s="14" t="s">
        <v>1529</v>
      </c>
      <c r="M311" s="14" t="s">
        <v>111</v>
      </c>
      <c r="N311" s="14" t="s">
        <v>565</v>
      </c>
      <c r="O311" s="14" t="b">
        <v>0</v>
      </c>
      <c r="P311" s="14"/>
      <c r="Q311" s="14"/>
      <c r="R311" s="14"/>
      <c r="S311" s="14" t="s">
        <v>4315</v>
      </c>
      <c r="T311" s="14" t="s">
        <v>4096</v>
      </c>
      <c r="U311" s="17">
        <v>45106.0</v>
      </c>
      <c r="V311" s="14"/>
      <c r="W311" s="14"/>
      <c r="X311" s="18"/>
      <c r="Y311" s="18"/>
      <c r="Z311" s="18"/>
      <c r="AA311" s="19">
        <f t="shared" si="1"/>
        <v>6</v>
      </c>
      <c r="AB311" s="19" t="str">
        <f t="shared" si="2"/>
        <v/>
      </c>
      <c r="AC311" s="19"/>
    </row>
    <row r="312" ht="15.75" customHeight="1">
      <c r="A312" s="12">
        <v>45100.0</v>
      </c>
      <c r="B312" s="13" t="s">
        <v>28</v>
      </c>
      <c r="C312" s="14" t="s">
        <v>1531</v>
      </c>
      <c r="D312" s="14"/>
      <c r="E312" s="14"/>
      <c r="F312" s="14"/>
      <c r="G312" s="14"/>
      <c r="H312" s="14"/>
      <c r="I312" s="15" t="s">
        <v>1532</v>
      </c>
      <c r="J312" s="14"/>
      <c r="K312" s="14"/>
      <c r="L312" s="14"/>
      <c r="M312" s="14" t="s">
        <v>111</v>
      </c>
      <c r="N312" s="14" t="s">
        <v>34</v>
      </c>
      <c r="O312" s="14" t="b">
        <v>0</v>
      </c>
      <c r="P312" s="14"/>
      <c r="Q312" s="14"/>
      <c r="R312" s="14"/>
      <c r="S312" s="138" t="s">
        <v>1533</v>
      </c>
      <c r="T312" s="14" t="s">
        <v>4069</v>
      </c>
      <c r="U312" s="17"/>
      <c r="V312" s="14"/>
      <c r="W312" s="14"/>
      <c r="X312" s="18"/>
      <c r="Y312" s="18"/>
      <c r="Z312" s="18"/>
      <c r="AA312" s="19">
        <f t="shared" si="1"/>
        <v>6</v>
      </c>
      <c r="AB312" s="19" t="str">
        <f t="shared" si="2"/>
        <v/>
      </c>
      <c r="AC312" s="19"/>
    </row>
    <row r="313" ht="15.75" customHeight="1">
      <c r="A313" s="12">
        <v>45100.0</v>
      </c>
      <c r="B313" s="13" t="s">
        <v>28</v>
      </c>
      <c r="C313" s="14" t="s">
        <v>1534</v>
      </c>
      <c r="D313" s="14" t="s">
        <v>1535</v>
      </c>
      <c r="E313" s="14"/>
      <c r="F313" s="14"/>
      <c r="G313" s="14" t="s">
        <v>155</v>
      </c>
      <c r="H313" s="14"/>
      <c r="I313" s="15" t="s">
        <v>1536</v>
      </c>
      <c r="J313" s="14"/>
      <c r="K313" s="14"/>
      <c r="L313" s="14"/>
      <c r="M313" s="14" t="s">
        <v>48</v>
      </c>
      <c r="N313" s="14" t="s">
        <v>34</v>
      </c>
      <c r="O313" s="14" t="b">
        <v>0</v>
      </c>
      <c r="P313" s="14"/>
      <c r="Q313" s="14"/>
      <c r="R313" s="14"/>
      <c r="S313" s="14" t="s">
        <v>1537</v>
      </c>
      <c r="T313" s="14" t="s">
        <v>36</v>
      </c>
      <c r="U313" s="17"/>
      <c r="V313" s="14"/>
      <c r="W313" s="14"/>
      <c r="X313" s="18"/>
      <c r="Y313" s="18"/>
      <c r="Z313" s="18"/>
      <c r="AA313" s="19">
        <f t="shared" si="1"/>
        <v>6</v>
      </c>
      <c r="AB313" s="19" t="str">
        <f t="shared" si="2"/>
        <v/>
      </c>
      <c r="AC313" s="19"/>
    </row>
    <row r="314" ht="15.75" customHeight="1">
      <c r="A314" s="12">
        <v>45100.0</v>
      </c>
      <c r="B314" s="13" t="s">
        <v>28</v>
      </c>
      <c r="C314" s="14" t="s">
        <v>1538</v>
      </c>
      <c r="D314" s="14"/>
      <c r="E314" s="14"/>
      <c r="F314" s="14"/>
      <c r="G314" s="14"/>
      <c r="H314" s="14"/>
      <c r="I314" s="15" t="s">
        <v>1539</v>
      </c>
      <c r="J314" s="14"/>
      <c r="K314" s="14"/>
      <c r="L314" s="14"/>
      <c r="M314" s="14" t="s">
        <v>111</v>
      </c>
      <c r="N314" s="14" t="s">
        <v>565</v>
      </c>
      <c r="O314" s="14" t="b">
        <v>0</v>
      </c>
      <c r="P314" s="14"/>
      <c r="Q314" s="14"/>
      <c r="R314" s="14"/>
      <c r="S314" s="14" t="s">
        <v>1540</v>
      </c>
      <c r="T314" s="14" t="s">
        <v>4096</v>
      </c>
      <c r="U314" s="17">
        <v>45114.0</v>
      </c>
      <c r="V314" s="14"/>
      <c r="W314" s="14"/>
      <c r="X314" s="18"/>
      <c r="Y314" s="18"/>
      <c r="Z314" s="18"/>
      <c r="AA314" s="19">
        <f t="shared" si="1"/>
        <v>6</v>
      </c>
      <c r="AB314" s="19" t="str">
        <f t="shared" si="2"/>
        <v/>
      </c>
      <c r="AC314" s="19"/>
    </row>
    <row r="315" ht="15.75" customHeight="1">
      <c r="A315" s="12">
        <v>45103.0</v>
      </c>
      <c r="B315" s="13" t="s">
        <v>28</v>
      </c>
      <c r="C315" s="14" t="s">
        <v>1541</v>
      </c>
      <c r="D315" s="14" t="s">
        <v>1542</v>
      </c>
      <c r="E315" s="14"/>
      <c r="F315" s="14" t="s">
        <v>1244</v>
      </c>
      <c r="G315" s="14"/>
      <c r="H315" s="14"/>
      <c r="I315" s="15" t="s">
        <v>1543</v>
      </c>
      <c r="J315" s="14"/>
      <c r="K315" s="14"/>
      <c r="L315" s="14" t="s">
        <v>1544</v>
      </c>
      <c r="M315" s="27" t="s">
        <v>111</v>
      </c>
      <c r="N315" s="14" t="s">
        <v>565</v>
      </c>
      <c r="O315" s="14" t="b">
        <v>0</v>
      </c>
      <c r="P315" s="14"/>
      <c r="Q315" s="14"/>
      <c r="R315" s="14"/>
      <c r="S315" s="14" t="s">
        <v>1545</v>
      </c>
      <c r="T315" s="14" t="s">
        <v>4096</v>
      </c>
      <c r="U315" s="17">
        <v>45117.0</v>
      </c>
      <c r="V315" s="14"/>
      <c r="W315" s="14"/>
      <c r="X315" s="18"/>
      <c r="Y315" s="18"/>
      <c r="Z315" s="18"/>
      <c r="AA315" s="19">
        <f t="shared" si="1"/>
        <v>6</v>
      </c>
      <c r="AB315" s="19" t="str">
        <f t="shared" si="2"/>
        <v/>
      </c>
      <c r="AC315" s="19"/>
    </row>
    <row r="316" ht="15.75" customHeight="1">
      <c r="A316" s="26">
        <v>45105.0</v>
      </c>
      <c r="B316" s="27" t="s">
        <v>84</v>
      </c>
      <c r="C316" s="27" t="s">
        <v>4316</v>
      </c>
      <c r="D316" s="27" t="s">
        <v>1547</v>
      </c>
      <c r="E316" s="27"/>
      <c r="F316" s="32">
        <v>40834.0</v>
      </c>
      <c r="G316" s="27" t="s">
        <v>1548</v>
      </c>
      <c r="H316" s="27"/>
      <c r="I316" s="34" t="s">
        <v>1549</v>
      </c>
      <c r="J316" s="27"/>
      <c r="K316" s="27" t="s">
        <v>1550</v>
      </c>
      <c r="L316" s="27" t="s">
        <v>1551</v>
      </c>
      <c r="M316" s="27" t="s">
        <v>48</v>
      </c>
      <c r="N316" s="27" t="s">
        <v>67</v>
      </c>
      <c r="O316" s="14" t="b">
        <v>1</v>
      </c>
      <c r="P316" s="27" t="s">
        <v>1552</v>
      </c>
      <c r="Q316" s="27"/>
      <c r="R316" s="27"/>
      <c r="S316" s="27" t="s">
        <v>1553</v>
      </c>
      <c r="T316" s="27"/>
      <c r="U316" s="26"/>
      <c r="V316" s="32">
        <v>45107.0</v>
      </c>
      <c r="W316" s="281" t="s">
        <v>4317</v>
      </c>
      <c r="X316" s="25">
        <v>6124000.0</v>
      </c>
      <c r="Y316" s="25">
        <f>X316-Z316</f>
        <v>918600</v>
      </c>
      <c r="Z316" s="25">
        <v>5205400.0</v>
      </c>
      <c r="AA316" s="19">
        <f t="shared" si="1"/>
        <v>6</v>
      </c>
      <c r="AB316" s="19">
        <f t="shared" si="2"/>
        <v>6</v>
      </c>
      <c r="AC316" s="19"/>
    </row>
    <row r="317" ht="15.75" customHeight="1">
      <c r="A317" s="12">
        <v>45105.0</v>
      </c>
      <c r="B317" s="14" t="s">
        <v>60</v>
      </c>
      <c r="C317" s="290" t="s">
        <v>4318</v>
      </c>
      <c r="D317" s="14" t="s">
        <v>1554</v>
      </c>
      <c r="E317" s="14"/>
      <c r="F317" s="14"/>
      <c r="G317" s="14"/>
      <c r="H317" s="14"/>
      <c r="I317" s="292">
        <v>9.05123029E8</v>
      </c>
      <c r="J317" s="14"/>
      <c r="K317" s="14"/>
      <c r="L317" s="14"/>
      <c r="M317" s="27" t="s">
        <v>111</v>
      </c>
      <c r="N317" s="14" t="s">
        <v>34</v>
      </c>
      <c r="O317" s="14" t="b">
        <v>0</v>
      </c>
      <c r="P317" s="14"/>
      <c r="Q317" s="14"/>
      <c r="R317" s="14"/>
      <c r="S317" s="14" t="s">
        <v>1555</v>
      </c>
      <c r="T317" s="14" t="s">
        <v>4096</v>
      </c>
      <c r="U317" s="17"/>
      <c r="V317" s="14"/>
      <c r="W317" s="14"/>
      <c r="X317" s="18"/>
      <c r="Y317" s="18"/>
      <c r="Z317" s="18"/>
      <c r="AA317" s="19">
        <f t="shared" si="1"/>
        <v>6</v>
      </c>
      <c r="AB317" s="19" t="str">
        <f t="shared" si="2"/>
        <v/>
      </c>
      <c r="AC317" s="19"/>
    </row>
    <row r="318" ht="15.75" customHeight="1">
      <c r="A318" s="12">
        <v>45105.0</v>
      </c>
      <c r="B318" s="14" t="s">
        <v>60</v>
      </c>
      <c r="C318" s="290" t="s">
        <v>4318</v>
      </c>
      <c r="D318" s="14" t="s">
        <v>1556</v>
      </c>
      <c r="E318" s="14"/>
      <c r="F318" s="14"/>
      <c r="G318" s="14"/>
      <c r="H318" s="14"/>
      <c r="I318" s="292">
        <v>9.05123029E8</v>
      </c>
      <c r="J318" s="14"/>
      <c r="K318" s="14"/>
      <c r="L318" s="14"/>
      <c r="M318" s="27" t="s">
        <v>111</v>
      </c>
      <c r="N318" s="14" t="s">
        <v>34</v>
      </c>
      <c r="O318" s="14" t="b">
        <v>0</v>
      </c>
      <c r="P318" s="14"/>
      <c r="Q318" s="14"/>
      <c r="R318" s="14"/>
      <c r="S318" s="14" t="s">
        <v>1557</v>
      </c>
      <c r="T318" s="14" t="s">
        <v>4096</v>
      </c>
      <c r="U318" s="17"/>
      <c r="V318" s="14"/>
      <c r="W318" s="14"/>
      <c r="X318" s="18"/>
      <c r="Y318" s="18"/>
      <c r="Z318" s="18"/>
      <c r="AA318" s="19">
        <f t="shared" si="1"/>
        <v>6</v>
      </c>
      <c r="AB318" s="19" t="str">
        <f t="shared" si="2"/>
        <v/>
      </c>
      <c r="AC318" s="19"/>
    </row>
    <row r="319" ht="15.75" customHeight="1">
      <c r="A319" s="12">
        <v>45105.0</v>
      </c>
      <c r="B319" s="14" t="s">
        <v>703</v>
      </c>
      <c r="C319" s="293" t="s">
        <v>1558</v>
      </c>
      <c r="D319" s="14"/>
      <c r="E319" s="14"/>
      <c r="F319" s="14"/>
      <c r="G319" s="14"/>
      <c r="H319" s="14"/>
      <c r="I319" s="286" t="s">
        <v>1559</v>
      </c>
      <c r="J319" s="14"/>
      <c r="K319" s="14"/>
      <c r="L319" s="14" t="s">
        <v>4319</v>
      </c>
      <c r="M319" s="27" t="s">
        <v>111</v>
      </c>
      <c r="N319" s="14" t="s">
        <v>34</v>
      </c>
      <c r="O319" s="14" t="b">
        <v>0</v>
      </c>
      <c r="P319" s="14"/>
      <c r="Q319" s="14"/>
      <c r="R319" s="14"/>
      <c r="S319" s="14" t="s">
        <v>1561</v>
      </c>
      <c r="T319" s="14" t="s">
        <v>4069</v>
      </c>
      <c r="U319" s="17"/>
      <c r="V319" s="14"/>
      <c r="W319" s="14"/>
      <c r="X319" s="18"/>
      <c r="Y319" s="18"/>
      <c r="Z319" s="18"/>
      <c r="AA319" s="19">
        <f t="shared" si="1"/>
        <v>6</v>
      </c>
      <c r="AB319" s="19" t="str">
        <f t="shared" si="2"/>
        <v/>
      </c>
      <c r="AC319" s="19"/>
    </row>
    <row r="320" ht="15.75" customHeight="1">
      <c r="A320" s="12">
        <v>45105.0</v>
      </c>
      <c r="B320" s="14" t="s">
        <v>703</v>
      </c>
      <c r="C320" s="293" t="s">
        <v>1562</v>
      </c>
      <c r="D320" s="14" t="s">
        <v>1563</v>
      </c>
      <c r="E320" s="14"/>
      <c r="F320" s="14" t="s">
        <v>4320</v>
      </c>
      <c r="G320" s="14"/>
      <c r="H320" s="14"/>
      <c r="I320" s="286" t="s">
        <v>1564</v>
      </c>
      <c r="J320" s="14"/>
      <c r="K320" s="14"/>
      <c r="L320" s="14" t="s">
        <v>4319</v>
      </c>
      <c r="M320" s="27" t="s">
        <v>111</v>
      </c>
      <c r="N320" s="14" t="s">
        <v>34</v>
      </c>
      <c r="O320" s="14" t="b">
        <v>1</v>
      </c>
      <c r="P320" s="14" t="s">
        <v>1565</v>
      </c>
      <c r="Q320" s="14"/>
      <c r="R320" s="14"/>
      <c r="S320" s="14" t="s">
        <v>1566</v>
      </c>
      <c r="T320" s="14" t="s">
        <v>4069</v>
      </c>
      <c r="U320" s="17"/>
      <c r="V320" s="14"/>
      <c r="W320" s="14"/>
      <c r="X320" s="18"/>
      <c r="Y320" s="18"/>
      <c r="Z320" s="18"/>
      <c r="AA320" s="19">
        <f t="shared" si="1"/>
        <v>6</v>
      </c>
      <c r="AB320" s="19" t="str">
        <f t="shared" si="2"/>
        <v/>
      </c>
      <c r="AC320" s="19"/>
    </row>
    <row r="321" ht="15.75" customHeight="1">
      <c r="A321" s="12">
        <v>45105.0</v>
      </c>
      <c r="B321" s="14" t="s">
        <v>703</v>
      </c>
      <c r="C321" s="294" t="s">
        <v>1567</v>
      </c>
      <c r="D321" s="14"/>
      <c r="E321" s="14"/>
      <c r="F321" s="14"/>
      <c r="G321" s="14"/>
      <c r="H321" s="14"/>
      <c r="I321" s="15" t="s">
        <v>1568</v>
      </c>
      <c r="J321" s="14"/>
      <c r="K321" s="14"/>
      <c r="L321" s="14" t="s">
        <v>4319</v>
      </c>
      <c r="M321" s="27" t="s">
        <v>111</v>
      </c>
      <c r="N321" s="14" t="s">
        <v>216</v>
      </c>
      <c r="O321" s="14" t="b">
        <v>0</v>
      </c>
      <c r="P321" s="14"/>
      <c r="Q321" s="14"/>
      <c r="R321" s="14"/>
      <c r="S321" s="14" t="s">
        <v>1569</v>
      </c>
      <c r="T321" s="14" t="s">
        <v>4096</v>
      </c>
      <c r="U321" s="17">
        <v>45114.0</v>
      </c>
      <c r="V321" s="14"/>
      <c r="W321" s="14"/>
      <c r="X321" s="18"/>
      <c r="Y321" s="18"/>
      <c r="Z321" s="18"/>
      <c r="AA321" s="19">
        <f t="shared" si="1"/>
        <v>6</v>
      </c>
      <c r="AB321" s="19" t="str">
        <f t="shared" si="2"/>
        <v/>
      </c>
      <c r="AC321" s="19"/>
    </row>
    <row r="322" ht="15.75" customHeight="1">
      <c r="A322" s="12">
        <v>45105.0</v>
      </c>
      <c r="B322" s="14" t="s">
        <v>703</v>
      </c>
      <c r="C322" s="294" t="s">
        <v>4321</v>
      </c>
      <c r="D322" s="14"/>
      <c r="E322" s="14"/>
      <c r="F322" s="14"/>
      <c r="G322" s="14"/>
      <c r="H322" s="14"/>
      <c r="I322" s="15" t="s">
        <v>1571</v>
      </c>
      <c r="J322" s="14"/>
      <c r="K322" s="14"/>
      <c r="L322" s="14" t="s">
        <v>4319</v>
      </c>
      <c r="M322" s="27" t="s">
        <v>111</v>
      </c>
      <c r="N322" s="14" t="s">
        <v>34</v>
      </c>
      <c r="O322" s="14" t="b">
        <v>0</v>
      </c>
      <c r="P322" s="14"/>
      <c r="Q322" s="14"/>
      <c r="R322" s="14"/>
      <c r="S322" s="14" t="s">
        <v>1572</v>
      </c>
      <c r="T322" s="14" t="s">
        <v>4069</v>
      </c>
      <c r="U322" s="17"/>
      <c r="V322" s="14"/>
      <c r="W322" s="14"/>
      <c r="X322" s="18"/>
      <c r="Y322" s="18"/>
      <c r="Z322" s="18"/>
      <c r="AA322" s="19">
        <f t="shared" si="1"/>
        <v>6</v>
      </c>
      <c r="AB322" s="19" t="str">
        <f t="shared" si="2"/>
        <v/>
      </c>
      <c r="AC322" s="19"/>
    </row>
    <row r="323" ht="15.75" customHeight="1">
      <c r="A323" s="12">
        <v>45105.0</v>
      </c>
      <c r="B323" s="14" t="s">
        <v>703</v>
      </c>
      <c r="C323" s="294" t="s">
        <v>1573</v>
      </c>
      <c r="D323" s="14"/>
      <c r="E323" s="14"/>
      <c r="F323" s="14"/>
      <c r="G323" s="14"/>
      <c r="H323" s="14"/>
      <c r="I323" s="15" t="s">
        <v>1574</v>
      </c>
      <c r="J323" s="14"/>
      <c r="K323" s="14"/>
      <c r="L323" s="14" t="s">
        <v>4319</v>
      </c>
      <c r="M323" s="27" t="s">
        <v>48</v>
      </c>
      <c r="N323" s="14" t="s">
        <v>34</v>
      </c>
      <c r="O323" s="14" t="b">
        <v>0</v>
      </c>
      <c r="P323" s="14"/>
      <c r="Q323" s="14"/>
      <c r="R323" s="14"/>
      <c r="S323" s="14" t="s">
        <v>1575</v>
      </c>
      <c r="T323" s="14"/>
      <c r="U323" s="17">
        <v>45110.0</v>
      </c>
      <c r="V323" s="14"/>
      <c r="W323" s="14"/>
      <c r="X323" s="18"/>
      <c r="Y323" s="18"/>
      <c r="Z323" s="18"/>
      <c r="AA323" s="19">
        <f t="shared" si="1"/>
        <v>6</v>
      </c>
      <c r="AB323" s="19" t="str">
        <f t="shared" si="2"/>
        <v/>
      </c>
      <c r="AC323" s="19"/>
    </row>
    <row r="324" ht="15.75" customHeight="1">
      <c r="A324" s="12">
        <v>45105.0</v>
      </c>
      <c r="B324" s="14" t="s">
        <v>703</v>
      </c>
      <c r="C324" s="294" t="s">
        <v>1576</v>
      </c>
      <c r="D324" s="14"/>
      <c r="E324" s="14"/>
      <c r="F324" s="14"/>
      <c r="G324" s="14"/>
      <c r="H324" s="14"/>
      <c r="I324" s="15" t="s">
        <v>1577</v>
      </c>
      <c r="J324" s="14"/>
      <c r="K324" s="14"/>
      <c r="L324" s="14" t="s">
        <v>4319</v>
      </c>
      <c r="M324" s="27" t="s">
        <v>48</v>
      </c>
      <c r="N324" s="14" t="s">
        <v>34</v>
      </c>
      <c r="O324" s="14" t="b">
        <v>0</v>
      </c>
      <c r="P324" s="14"/>
      <c r="Q324" s="14"/>
      <c r="R324" s="14"/>
      <c r="S324" s="14" t="s">
        <v>1578</v>
      </c>
      <c r="T324" s="14" t="s">
        <v>4127</v>
      </c>
      <c r="U324" s="17"/>
      <c r="V324" s="14"/>
      <c r="W324" s="14"/>
      <c r="X324" s="18"/>
      <c r="Y324" s="18"/>
      <c r="Z324" s="18"/>
      <c r="AA324" s="19">
        <f t="shared" si="1"/>
        <v>6</v>
      </c>
      <c r="AB324" s="19" t="str">
        <f t="shared" si="2"/>
        <v/>
      </c>
      <c r="AC324" s="19"/>
    </row>
    <row r="325" ht="15.75" customHeight="1">
      <c r="A325" s="12">
        <v>45105.0</v>
      </c>
      <c r="B325" s="14" t="s">
        <v>703</v>
      </c>
      <c r="C325" s="294" t="s">
        <v>1579</v>
      </c>
      <c r="D325" s="14"/>
      <c r="E325" s="14"/>
      <c r="F325" s="14"/>
      <c r="G325" s="14"/>
      <c r="H325" s="14"/>
      <c r="I325" s="15" t="s">
        <v>1580</v>
      </c>
      <c r="J325" s="14"/>
      <c r="K325" s="14"/>
      <c r="L325" s="14" t="s">
        <v>4319</v>
      </c>
      <c r="M325" s="27" t="s">
        <v>48</v>
      </c>
      <c r="N325" s="14" t="s">
        <v>34</v>
      </c>
      <c r="O325" s="14" t="b">
        <v>0</v>
      </c>
      <c r="P325" s="14"/>
      <c r="Q325" s="14"/>
      <c r="R325" s="14"/>
      <c r="S325" s="14" t="s">
        <v>1581</v>
      </c>
      <c r="T325" s="14" t="s">
        <v>4127</v>
      </c>
      <c r="U325" s="17"/>
      <c r="V325" s="14"/>
      <c r="W325" s="14"/>
      <c r="X325" s="18"/>
      <c r="Y325" s="18"/>
      <c r="Z325" s="18"/>
      <c r="AA325" s="19">
        <f t="shared" si="1"/>
        <v>6</v>
      </c>
      <c r="AB325" s="19" t="str">
        <f t="shared" si="2"/>
        <v/>
      </c>
      <c r="AC325" s="19"/>
    </row>
    <row r="326" ht="15.75" customHeight="1">
      <c r="A326" s="12">
        <v>45105.0</v>
      </c>
      <c r="B326" s="14" t="s">
        <v>703</v>
      </c>
      <c r="C326" s="294" t="s">
        <v>1582</v>
      </c>
      <c r="D326" s="14"/>
      <c r="E326" s="14"/>
      <c r="F326" s="14"/>
      <c r="G326" s="14"/>
      <c r="H326" s="14"/>
      <c r="I326" s="286" t="s">
        <v>1583</v>
      </c>
      <c r="J326" s="14"/>
      <c r="K326" s="14"/>
      <c r="L326" s="14" t="s">
        <v>4319</v>
      </c>
      <c r="M326" s="27" t="s">
        <v>48</v>
      </c>
      <c r="N326" s="14" t="s">
        <v>216</v>
      </c>
      <c r="O326" s="14" t="b">
        <v>0</v>
      </c>
      <c r="P326" s="14"/>
      <c r="Q326" s="14"/>
      <c r="R326" s="14"/>
      <c r="S326" s="14" t="s">
        <v>1584</v>
      </c>
      <c r="T326" s="14" t="s">
        <v>4127</v>
      </c>
      <c r="U326" s="17"/>
      <c r="V326" s="14"/>
      <c r="W326" s="14"/>
      <c r="X326" s="18"/>
      <c r="Y326" s="18"/>
      <c r="Z326" s="18"/>
      <c r="AA326" s="19">
        <f t="shared" si="1"/>
        <v>6</v>
      </c>
      <c r="AB326" s="19" t="str">
        <f t="shared" si="2"/>
        <v/>
      </c>
      <c r="AC326" s="19"/>
    </row>
    <row r="327" ht="15.75" customHeight="1">
      <c r="A327" s="26">
        <v>45105.0</v>
      </c>
      <c r="B327" s="27" t="s">
        <v>84</v>
      </c>
      <c r="C327" s="27" t="s">
        <v>1585</v>
      </c>
      <c r="D327" s="27" t="s">
        <v>1586</v>
      </c>
      <c r="E327" s="27"/>
      <c r="F327" s="27">
        <v>2012.0</v>
      </c>
      <c r="G327" s="27" t="s">
        <v>1443</v>
      </c>
      <c r="H327" s="27"/>
      <c r="I327" s="34" t="s">
        <v>1587</v>
      </c>
      <c r="J327" s="27"/>
      <c r="K327" s="27"/>
      <c r="L327" s="27"/>
      <c r="M327" s="27" t="s">
        <v>48</v>
      </c>
      <c r="N327" s="27" t="s">
        <v>67</v>
      </c>
      <c r="O327" s="14" t="b">
        <v>1</v>
      </c>
      <c r="P327" s="27" t="s">
        <v>1588</v>
      </c>
      <c r="Q327" s="27"/>
      <c r="R327" s="27"/>
      <c r="S327" s="27" t="s">
        <v>1589</v>
      </c>
      <c r="T327" s="27"/>
      <c r="U327" s="26"/>
      <c r="V327" s="32">
        <v>45108.0</v>
      </c>
      <c r="W327" s="281" t="s">
        <v>4322</v>
      </c>
      <c r="X327" s="25">
        <v>3062000.0</v>
      </c>
      <c r="Y327" s="25">
        <f>X327-Z327</f>
        <v>153100</v>
      </c>
      <c r="Z327" s="25">
        <v>2908900.0</v>
      </c>
      <c r="AA327" s="19">
        <f t="shared" si="1"/>
        <v>6</v>
      </c>
      <c r="AB327" s="19">
        <f t="shared" si="2"/>
        <v>7</v>
      </c>
      <c r="AC327" s="19"/>
    </row>
    <row r="328" ht="15.75" customHeight="1">
      <c r="A328" s="12">
        <v>45105.0</v>
      </c>
      <c r="B328" s="13" t="s">
        <v>28</v>
      </c>
      <c r="C328" s="14" t="s">
        <v>1590</v>
      </c>
      <c r="D328" s="14" t="s">
        <v>1591</v>
      </c>
      <c r="E328" s="14"/>
      <c r="F328" s="14"/>
      <c r="G328" s="14" t="s">
        <v>176</v>
      </c>
      <c r="H328" s="14"/>
      <c r="I328" s="15" t="s">
        <v>1592</v>
      </c>
      <c r="J328" s="14"/>
      <c r="K328" s="14"/>
      <c r="L328" s="139" t="s">
        <v>1593</v>
      </c>
      <c r="M328" s="27" t="s">
        <v>48</v>
      </c>
      <c r="N328" s="14" t="s">
        <v>34</v>
      </c>
      <c r="O328" s="14" t="b">
        <v>1</v>
      </c>
      <c r="P328" s="14" t="s">
        <v>1594</v>
      </c>
      <c r="Q328" s="14"/>
      <c r="R328" s="14"/>
      <c r="S328" s="14" t="s">
        <v>1595</v>
      </c>
      <c r="T328" s="14" t="s">
        <v>4127</v>
      </c>
      <c r="U328" s="17"/>
      <c r="V328" s="14"/>
      <c r="W328" s="14"/>
      <c r="X328" s="18"/>
      <c r="Y328" s="18"/>
      <c r="Z328" s="18"/>
      <c r="AA328" s="19">
        <f t="shared" si="1"/>
        <v>6</v>
      </c>
      <c r="AB328" s="19" t="str">
        <f t="shared" si="2"/>
        <v/>
      </c>
      <c r="AC328" s="19"/>
    </row>
    <row r="329" ht="15.75" customHeight="1">
      <c r="A329" s="12">
        <v>45105.0</v>
      </c>
      <c r="B329" s="14" t="s">
        <v>703</v>
      </c>
      <c r="C329" s="14" t="s">
        <v>1596</v>
      </c>
      <c r="D329" s="14"/>
      <c r="E329" s="14"/>
      <c r="F329" s="14"/>
      <c r="G329" s="14"/>
      <c r="H329" s="14"/>
      <c r="I329" s="15" t="s">
        <v>1597</v>
      </c>
      <c r="J329" s="14"/>
      <c r="K329" s="14"/>
      <c r="L329" s="14"/>
      <c r="M329" s="27" t="s">
        <v>48</v>
      </c>
      <c r="N329" s="14" t="s">
        <v>216</v>
      </c>
      <c r="O329" s="14" t="b">
        <v>0</v>
      </c>
      <c r="P329" s="14"/>
      <c r="Q329" s="14"/>
      <c r="R329" s="14"/>
      <c r="S329" s="14" t="s">
        <v>1598</v>
      </c>
      <c r="T329" s="14" t="s">
        <v>36</v>
      </c>
      <c r="U329" s="17"/>
      <c r="V329" s="14"/>
      <c r="W329" s="14"/>
      <c r="X329" s="18"/>
      <c r="Y329" s="18"/>
      <c r="Z329" s="18"/>
      <c r="AA329" s="19">
        <f t="shared" si="1"/>
        <v>6</v>
      </c>
      <c r="AB329" s="19" t="str">
        <f t="shared" si="2"/>
        <v/>
      </c>
      <c r="AC329" s="19"/>
    </row>
    <row r="330" ht="15.75" customHeight="1">
      <c r="A330" s="12">
        <v>45105.0</v>
      </c>
      <c r="B330" s="13" t="s">
        <v>28</v>
      </c>
      <c r="C330" s="14" t="s">
        <v>4323</v>
      </c>
      <c r="D330" s="14"/>
      <c r="E330" s="14"/>
      <c r="F330" s="14"/>
      <c r="G330" s="14"/>
      <c r="H330" s="14"/>
      <c r="I330" s="15" t="s">
        <v>1600</v>
      </c>
      <c r="J330" s="14"/>
      <c r="K330" s="14"/>
      <c r="L330" s="14"/>
      <c r="M330" s="27" t="s">
        <v>48</v>
      </c>
      <c r="N330" s="14" t="s">
        <v>216</v>
      </c>
      <c r="O330" s="14" t="b">
        <v>0</v>
      </c>
      <c r="P330" s="14"/>
      <c r="Q330" s="14"/>
      <c r="R330" s="14"/>
      <c r="S330" s="14" t="s">
        <v>1601</v>
      </c>
      <c r="T330" s="14"/>
      <c r="U330" s="17"/>
      <c r="V330" s="14"/>
      <c r="W330" s="14"/>
      <c r="X330" s="18"/>
      <c r="Y330" s="18"/>
      <c r="Z330" s="18"/>
      <c r="AA330" s="19">
        <f t="shared" si="1"/>
        <v>6</v>
      </c>
      <c r="AB330" s="19" t="str">
        <f t="shared" si="2"/>
        <v/>
      </c>
      <c r="AC330" s="19"/>
    </row>
    <row r="331" ht="15.75" customHeight="1">
      <c r="A331" s="12">
        <v>45105.0</v>
      </c>
      <c r="B331" s="14" t="s">
        <v>84</v>
      </c>
      <c r="C331" s="14" t="s">
        <v>1602</v>
      </c>
      <c r="D331" s="60" t="s">
        <v>4324</v>
      </c>
      <c r="E331" s="14"/>
      <c r="F331" s="14" t="s">
        <v>505</v>
      </c>
      <c r="G331" s="14"/>
      <c r="H331" s="14"/>
      <c r="I331" s="15" t="s">
        <v>1604</v>
      </c>
      <c r="J331" s="14"/>
      <c r="K331" s="14"/>
      <c r="L331" s="14"/>
      <c r="M331" s="27" t="s">
        <v>111</v>
      </c>
      <c r="N331" s="14" t="s">
        <v>158</v>
      </c>
      <c r="O331" s="14" t="b">
        <v>0</v>
      </c>
      <c r="P331" s="14"/>
      <c r="Q331" s="14"/>
      <c r="R331" s="14"/>
      <c r="S331" s="285" t="s">
        <v>1605</v>
      </c>
      <c r="T331" s="14" t="s">
        <v>4325</v>
      </c>
      <c r="U331" s="17">
        <v>45114.0</v>
      </c>
      <c r="V331" s="14"/>
      <c r="W331" s="14"/>
      <c r="X331" s="18"/>
      <c r="Y331" s="18"/>
      <c r="Z331" s="18"/>
      <c r="AA331" s="19">
        <f t="shared" si="1"/>
        <v>6</v>
      </c>
      <c r="AB331" s="19" t="str">
        <f t="shared" si="2"/>
        <v/>
      </c>
      <c r="AC331" s="19"/>
    </row>
    <row r="332" ht="15.75" customHeight="1">
      <c r="A332" s="12">
        <v>45106.0</v>
      </c>
      <c r="B332" s="13" t="s">
        <v>28</v>
      </c>
      <c r="C332" s="14" t="s">
        <v>1606</v>
      </c>
      <c r="D332" s="14"/>
      <c r="E332" s="14"/>
      <c r="F332" s="14"/>
      <c r="G332" s="14"/>
      <c r="H332" s="14"/>
      <c r="I332" s="15" t="s">
        <v>1600</v>
      </c>
      <c r="J332" s="14"/>
      <c r="K332" s="14"/>
      <c r="L332" s="14"/>
      <c r="M332" s="27" t="s">
        <v>48</v>
      </c>
      <c r="N332" s="14" t="s">
        <v>216</v>
      </c>
      <c r="O332" s="14" t="b">
        <v>0</v>
      </c>
      <c r="P332" s="14"/>
      <c r="Q332" s="14"/>
      <c r="R332" s="14"/>
      <c r="S332" s="14" t="s">
        <v>1601</v>
      </c>
      <c r="T332" s="14"/>
      <c r="U332" s="17"/>
      <c r="V332" s="14"/>
      <c r="W332" s="14"/>
      <c r="X332" s="18"/>
      <c r="Y332" s="18"/>
      <c r="Z332" s="18"/>
      <c r="AA332" s="19">
        <f t="shared" si="1"/>
        <v>6</v>
      </c>
      <c r="AB332" s="19" t="str">
        <f t="shared" si="2"/>
        <v/>
      </c>
      <c r="AC332" s="19"/>
    </row>
    <row r="333" ht="15.75" customHeight="1">
      <c r="A333" s="12">
        <v>45106.0</v>
      </c>
      <c r="B333" s="14" t="s">
        <v>60</v>
      </c>
      <c r="C333" s="14" t="s">
        <v>1607</v>
      </c>
      <c r="D333" s="14" t="s">
        <v>1608</v>
      </c>
      <c r="E333" s="14"/>
      <c r="F333" s="14" t="s">
        <v>87</v>
      </c>
      <c r="G333" s="14"/>
      <c r="H333" s="14"/>
      <c r="I333" s="289" t="s">
        <v>1609</v>
      </c>
      <c r="J333" s="14"/>
      <c r="K333" s="14"/>
      <c r="L333" s="14"/>
      <c r="M333" s="27" t="s">
        <v>111</v>
      </c>
      <c r="N333" s="14" t="s">
        <v>565</v>
      </c>
      <c r="O333" s="14" t="b">
        <v>0</v>
      </c>
      <c r="P333" s="14"/>
      <c r="Q333" s="14"/>
      <c r="R333" s="14"/>
      <c r="S333" s="285" t="s">
        <v>1610</v>
      </c>
      <c r="T333" s="14" t="s">
        <v>4326</v>
      </c>
      <c r="U333" s="17">
        <v>45114.0</v>
      </c>
      <c r="V333" s="14"/>
      <c r="W333" s="14"/>
      <c r="X333" s="18"/>
      <c r="Y333" s="18"/>
      <c r="Z333" s="18"/>
      <c r="AA333" s="19">
        <f t="shared" si="1"/>
        <v>6</v>
      </c>
      <c r="AB333" s="19" t="str">
        <f t="shared" si="2"/>
        <v/>
      </c>
      <c r="AC333" s="19"/>
    </row>
    <row r="334" ht="15.75" customHeight="1">
      <c r="A334" s="12">
        <v>45106.0</v>
      </c>
      <c r="B334" s="14" t="s">
        <v>60</v>
      </c>
      <c r="C334" s="14" t="s">
        <v>1607</v>
      </c>
      <c r="D334" s="14" t="s">
        <v>4327</v>
      </c>
      <c r="E334" s="14"/>
      <c r="F334" s="14" t="s">
        <v>4328</v>
      </c>
      <c r="G334" s="14"/>
      <c r="H334" s="14"/>
      <c r="I334" s="289" t="s">
        <v>1609</v>
      </c>
      <c r="J334" s="14"/>
      <c r="K334" s="14"/>
      <c r="L334" s="14"/>
      <c r="M334" s="27" t="s">
        <v>111</v>
      </c>
      <c r="N334" s="14" t="s">
        <v>565</v>
      </c>
      <c r="O334" s="14" t="b">
        <v>0</v>
      </c>
      <c r="P334" s="14"/>
      <c r="Q334" s="14"/>
      <c r="R334" s="14"/>
      <c r="S334" s="285" t="s">
        <v>1610</v>
      </c>
      <c r="T334" s="14" t="s">
        <v>4326</v>
      </c>
      <c r="U334" s="17">
        <v>45114.0</v>
      </c>
      <c r="V334" s="14"/>
      <c r="W334" s="14"/>
      <c r="X334" s="18"/>
      <c r="Y334" s="18"/>
      <c r="Z334" s="18"/>
      <c r="AA334" s="19">
        <f t="shared" si="1"/>
        <v>6</v>
      </c>
      <c r="AB334" s="19" t="str">
        <f t="shared" si="2"/>
        <v/>
      </c>
      <c r="AC334" s="19"/>
    </row>
    <row r="335" ht="15.75" customHeight="1">
      <c r="A335" s="12">
        <v>45106.0</v>
      </c>
      <c r="B335" s="14" t="s">
        <v>73</v>
      </c>
      <c r="C335" s="14" t="s">
        <v>1612</v>
      </c>
      <c r="D335" s="14" t="s">
        <v>1613</v>
      </c>
      <c r="E335" s="14"/>
      <c r="F335" s="14" t="s">
        <v>437</v>
      </c>
      <c r="G335" s="14"/>
      <c r="H335" s="14"/>
      <c r="I335" s="15" t="s">
        <v>1614</v>
      </c>
      <c r="J335" s="14"/>
      <c r="K335" s="14"/>
      <c r="L335" s="14" t="s">
        <v>4329</v>
      </c>
      <c r="M335" s="27" t="s">
        <v>111</v>
      </c>
      <c r="N335" s="14" t="s">
        <v>565</v>
      </c>
      <c r="O335" s="14" t="b">
        <v>0</v>
      </c>
      <c r="P335" s="14"/>
      <c r="Q335" s="14"/>
      <c r="R335" s="14"/>
      <c r="S335" s="14" t="s">
        <v>1616</v>
      </c>
      <c r="T335" s="14" t="s">
        <v>4330</v>
      </c>
      <c r="U335" s="17">
        <v>45119.0</v>
      </c>
      <c r="V335" s="14"/>
      <c r="W335" s="14"/>
      <c r="X335" s="18"/>
      <c r="Y335" s="18"/>
      <c r="Z335" s="18"/>
      <c r="AA335" s="19">
        <f t="shared" si="1"/>
        <v>6</v>
      </c>
      <c r="AB335" s="19" t="str">
        <f t="shared" si="2"/>
        <v/>
      </c>
      <c r="AC335" s="19"/>
    </row>
    <row r="336" ht="15.75" customHeight="1">
      <c r="A336" s="12">
        <v>45106.0</v>
      </c>
      <c r="B336" s="14" t="s">
        <v>60</v>
      </c>
      <c r="C336" s="14"/>
      <c r="D336" s="14" t="s">
        <v>1617</v>
      </c>
      <c r="E336" s="14"/>
      <c r="F336" s="14"/>
      <c r="G336" s="14" t="s">
        <v>1443</v>
      </c>
      <c r="H336" s="14"/>
      <c r="I336" s="289" t="s">
        <v>1618</v>
      </c>
      <c r="J336" s="14"/>
      <c r="K336" s="14"/>
      <c r="L336" s="14"/>
      <c r="M336" s="27" t="s">
        <v>48</v>
      </c>
      <c r="N336" s="14" t="s">
        <v>565</v>
      </c>
      <c r="O336" s="14" t="b">
        <v>0</v>
      </c>
      <c r="P336" s="14"/>
      <c r="Q336" s="14"/>
      <c r="R336" s="14"/>
      <c r="S336" s="14" t="s">
        <v>1619</v>
      </c>
      <c r="T336" s="14" t="s">
        <v>4331</v>
      </c>
      <c r="U336" s="17">
        <v>45110.0</v>
      </c>
      <c r="V336" s="14"/>
      <c r="W336" s="14"/>
      <c r="X336" s="18"/>
      <c r="Y336" s="18"/>
      <c r="Z336" s="18"/>
      <c r="AA336" s="19">
        <f t="shared" si="1"/>
        <v>6</v>
      </c>
      <c r="AB336" s="19" t="str">
        <f t="shared" si="2"/>
        <v/>
      </c>
      <c r="AC336" s="19"/>
    </row>
    <row r="337" ht="15.75" customHeight="1">
      <c r="A337" s="26">
        <v>45106.0</v>
      </c>
      <c r="B337" s="27" t="s">
        <v>73</v>
      </c>
      <c r="C337" s="27" t="s">
        <v>4332</v>
      </c>
      <c r="D337" s="27" t="s">
        <v>4333</v>
      </c>
      <c r="E337" s="27"/>
      <c r="F337" s="27">
        <v>2015.0</v>
      </c>
      <c r="G337" s="27"/>
      <c r="H337" s="27"/>
      <c r="I337" s="82" t="s">
        <v>1622</v>
      </c>
      <c r="J337" s="27"/>
      <c r="K337" s="27"/>
      <c r="L337" s="27"/>
      <c r="M337" s="27" t="s">
        <v>111</v>
      </c>
      <c r="N337" s="27" t="s">
        <v>67</v>
      </c>
      <c r="O337" s="14" t="b">
        <v>1</v>
      </c>
      <c r="P337" s="243" t="s">
        <v>4334</v>
      </c>
      <c r="Q337" s="27" t="s">
        <v>91</v>
      </c>
      <c r="R337" s="27"/>
      <c r="S337" s="27" t="s">
        <v>4335</v>
      </c>
      <c r="T337" s="27" t="s">
        <v>4336</v>
      </c>
      <c r="U337" s="26"/>
      <c r="V337" s="32">
        <v>45111.0</v>
      </c>
      <c r="W337" s="27" t="s">
        <v>91</v>
      </c>
      <c r="X337" s="25">
        <v>6124000.0</v>
      </c>
      <c r="Y337" s="25">
        <v>1102000.0</v>
      </c>
      <c r="Z337" s="25">
        <v>5022000.0</v>
      </c>
      <c r="AA337" s="19">
        <f t="shared" si="1"/>
        <v>6</v>
      </c>
      <c r="AB337" s="19">
        <f t="shared" si="2"/>
        <v>7</v>
      </c>
      <c r="AC337" s="19"/>
    </row>
    <row r="338" ht="15.75" customHeight="1">
      <c r="A338" s="12">
        <v>45107.0</v>
      </c>
      <c r="B338" s="13" t="s">
        <v>28</v>
      </c>
      <c r="C338" s="14" t="s">
        <v>1625</v>
      </c>
      <c r="D338" s="14"/>
      <c r="E338" s="14"/>
      <c r="F338" s="14"/>
      <c r="G338" s="14"/>
      <c r="H338" s="14"/>
      <c r="I338" s="15" t="s">
        <v>1626</v>
      </c>
      <c r="J338" s="14"/>
      <c r="K338" s="14"/>
      <c r="L338" s="14"/>
      <c r="M338" s="27" t="s">
        <v>48</v>
      </c>
      <c r="N338" s="14" t="s">
        <v>565</v>
      </c>
      <c r="O338" s="14" t="b">
        <v>0</v>
      </c>
      <c r="P338" s="14"/>
      <c r="Q338" s="14"/>
      <c r="R338" s="14"/>
      <c r="S338" s="14" t="s">
        <v>1627</v>
      </c>
      <c r="T338" s="14" t="s">
        <v>36</v>
      </c>
      <c r="U338" s="17"/>
      <c r="V338" s="14"/>
      <c r="W338" s="14"/>
      <c r="X338" s="18"/>
      <c r="Y338" s="18"/>
      <c r="Z338" s="18"/>
      <c r="AA338" s="19">
        <f t="shared" si="1"/>
        <v>6</v>
      </c>
      <c r="AB338" s="19" t="str">
        <f t="shared" si="2"/>
        <v/>
      </c>
      <c r="AC338" s="19"/>
    </row>
    <row r="339" ht="15.75" customHeight="1">
      <c r="A339" s="12">
        <v>45107.0</v>
      </c>
      <c r="B339" s="14" t="s">
        <v>703</v>
      </c>
      <c r="C339" s="120" t="s">
        <v>739</v>
      </c>
      <c r="D339" s="14" t="s">
        <v>1628</v>
      </c>
      <c r="E339" s="14"/>
      <c r="F339" s="14">
        <v>2012.0</v>
      </c>
      <c r="G339" s="14"/>
      <c r="H339" s="14"/>
      <c r="I339" s="15" t="s">
        <v>1629</v>
      </c>
      <c r="J339" s="14"/>
      <c r="K339" s="14"/>
      <c r="L339" s="14"/>
      <c r="M339" s="27" t="s">
        <v>111</v>
      </c>
      <c r="N339" s="14" t="s">
        <v>34</v>
      </c>
      <c r="O339" s="14" t="b">
        <v>0</v>
      </c>
      <c r="P339" s="14"/>
      <c r="Q339" s="14"/>
      <c r="R339" s="14"/>
      <c r="S339" s="14" t="s">
        <v>1630</v>
      </c>
      <c r="T339" s="14" t="s">
        <v>4069</v>
      </c>
      <c r="U339" s="17"/>
      <c r="V339" s="14"/>
      <c r="W339" s="14"/>
      <c r="X339" s="18"/>
      <c r="Y339" s="18"/>
      <c r="Z339" s="18"/>
      <c r="AA339" s="19">
        <f t="shared" si="1"/>
        <v>6</v>
      </c>
      <c r="AB339" s="19" t="str">
        <f t="shared" si="2"/>
        <v/>
      </c>
      <c r="AC339" s="19"/>
    </row>
    <row r="340" ht="15.75" customHeight="1">
      <c r="A340" s="12">
        <v>45107.0</v>
      </c>
      <c r="B340" s="14" t="s">
        <v>703</v>
      </c>
      <c r="C340" s="120" t="s">
        <v>739</v>
      </c>
      <c r="D340" s="14" t="s">
        <v>1631</v>
      </c>
      <c r="E340" s="14"/>
      <c r="F340" s="14">
        <v>2015.0</v>
      </c>
      <c r="G340" s="14"/>
      <c r="H340" s="14"/>
      <c r="I340" s="15" t="s">
        <v>1629</v>
      </c>
      <c r="J340" s="14"/>
      <c r="K340" s="14"/>
      <c r="L340" s="14"/>
      <c r="M340" s="27" t="s">
        <v>111</v>
      </c>
      <c r="N340" s="14" t="s">
        <v>34</v>
      </c>
      <c r="O340" s="14" t="b">
        <v>0</v>
      </c>
      <c r="P340" s="14"/>
      <c r="Q340" s="14"/>
      <c r="R340" s="14"/>
      <c r="S340" s="14" t="s">
        <v>1630</v>
      </c>
      <c r="T340" s="14" t="s">
        <v>4069</v>
      </c>
      <c r="U340" s="17"/>
      <c r="V340" s="14"/>
      <c r="W340" s="14"/>
      <c r="X340" s="18"/>
      <c r="Y340" s="18"/>
      <c r="Z340" s="18"/>
      <c r="AA340" s="19">
        <f t="shared" si="1"/>
        <v>6</v>
      </c>
      <c r="AB340" s="19" t="str">
        <f t="shared" si="2"/>
        <v/>
      </c>
      <c r="AC340" s="19"/>
    </row>
    <row r="341" ht="15.75" customHeight="1">
      <c r="A341" s="12">
        <v>45107.0</v>
      </c>
      <c r="B341" s="14" t="s">
        <v>703</v>
      </c>
      <c r="C341" s="295" t="s">
        <v>1632</v>
      </c>
      <c r="D341" s="14"/>
      <c r="E341" s="14"/>
      <c r="F341" s="14"/>
      <c r="G341" s="14"/>
      <c r="H341" s="14"/>
      <c r="I341" s="15" t="s">
        <v>1633</v>
      </c>
      <c r="J341" s="14"/>
      <c r="K341" s="14"/>
      <c r="L341" s="14"/>
      <c r="M341" s="27" t="s">
        <v>48</v>
      </c>
      <c r="N341" s="14" t="s">
        <v>34</v>
      </c>
      <c r="O341" s="14" t="b">
        <v>0</v>
      </c>
      <c r="P341" s="14"/>
      <c r="Q341" s="14"/>
      <c r="R341" s="14"/>
      <c r="S341" s="14" t="s">
        <v>1634</v>
      </c>
      <c r="T341" s="14" t="s">
        <v>36</v>
      </c>
      <c r="U341" s="17"/>
      <c r="V341" s="14"/>
      <c r="W341" s="14"/>
      <c r="X341" s="18"/>
      <c r="Y341" s="18"/>
      <c r="Z341" s="18"/>
      <c r="AA341" s="19">
        <f t="shared" si="1"/>
        <v>6</v>
      </c>
      <c r="AB341" s="19" t="str">
        <f t="shared" si="2"/>
        <v/>
      </c>
      <c r="AC341" s="19"/>
    </row>
    <row r="342" ht="15.75" customHeight="1">
      <c r="A342" s="12">
        <v>45107.0</v>
      </c>
      <c r="B342" s="14" t="s">
        <v>703</v>
      </c>
      <c r="C342" s="14" t="s">
        <v>1635</v>
      </c>
      <c r="D342" s="14"/>
      <c r="E342" s="14"/>
      <c r="F342" s="14"/>
      <c r="G342" s="14" t="s">
        <v>297</v>
      </c>
      <c r="H342" s="14"/>
      <c r="I342" s="15" t="s">
        <v>1636</v>
      </c>
      <c r="J342" s="16" t="s">
        <v>1637</v>
      </c>
      <c r="K342" s="14" t="s">
        <v>1638</v>
      </c>
      <c r="L342" s="14"/>
      <c r="M342" s="27" t="s">
        <v>111</v>
      </c>
      <c r="N342" s="14" t="s">
        <v>34</v>
      </c>
      <c r="O342" s="14" t="b">
        <v>0</v>
      </c>
      <c r="P342" s="14"/>
      <c r="Q342" s="14"/>
      <c r="R342" s="14"/>
      <c r="S342" s="14" t="s">
        <v>1639</v>
      </c>
      <c r="T342" s="14" t="s">
        <v>4069</v>
      </c>
      <c r="U342" s="17"/>
      <c r="V342" s="14"/>
      <c r="W342" s="14"/>
      <c r="X342" s="18"/>
      <c r="Y342" s="18"/>
      <c r="Z342" s="18"/>
      <c r="AA342" s="19">
        <f t="shared" si="1"/>
        <v>6</v>
      </c>
      <c r="AB342" s="19" t="str">
        <f t="shared" si="2"/>
        <v/>
      </c>
      <c r="AC342" s="19"/>
    </row>
    <row r="343" ht="15.75" customHeight="1">
      <c r="A343" s="12">
        <v>45107.0</v>
      </c>
      <c r="B343" s="14" t="s">
        <v>703</v>
      </c>
      <c r="C343" s="14" t="s">
        <v>1640</v>
      </c>
      <c r="D343" s="14"/>
      <c r="E343" s="14"/>
      <c r="F343" s="14"/>
      <c r="G343" s="14" t="s">
        <v>234</v>
      </c>
      <c r="H343" s="14"/>
      <c r="I343" s="15" t="s">
        <v>1641</v>
      </c>
      <c r="J343" s="14"/>
      <c r="K343" s="14"/>
      <c r="L343" s="14"/>
      <c r="M343" s="27" t="s">
        <v>48</v>
      </c>
      <c r="N343" s="14" t="s">
        <v>565</v>
      </c>
      <c r="O343" s="14" t="b">
        <v>0</v>
      </c>
      <c r="P343" s="14"/>
      <c r="Q343" s="14"/>
      <c r="R343" s="14"/>
      <c r="S343" s="14" t="s">
        <v>1642</v>
      </c>
      <c r="T343" s="14" t="s">
        <v>36</v>
      </c>
      <c r="U343" s="17"/>
      <c r="V343" s="14"/>
      <c r="W343" s="14"/>
      <c r="X343" s="18"/>
      <c r="Y343" s="18"/>
      <c r="Z343" s="18"/>
      <c r="AA343" s="19">
        <f t="shared" si="1"/>
        <v>6</v>
      </c>
      <c r="AB343" s="19" t="str">
        <f t="shared" si="2"/>
        <v/>
      </c>
      <c r="AC343" s="19"/>
    </row>
    <row r="344" ht="15.75" customHeight="1">
      <c r="A344" s="12">
        <v>45107.0</v>
      </c>
      <c r="B344" s="14" t="s">
        <v>703</v>
      </c>
      <c r="C344" s="14" t="s">
        <v>1643</v>
      </c>
      <c r="D344" s="14"/>
      <c r="E344" s="14"/>
      <c r="F344" s="14"/>
      <c r="G344" s="14"/>
      <c r="H344" s="14"/>
      <c r="I344" s="15" t="s">
        <v>1644</v>
      </c>
      <c r="J344" s="14"/>
      <c r="K344" s="14"/>
      <c r="L344" s="14"/>
      <c r="M344" s="27" t="s">
        <v>111</v>
      </c>
      <c r="N344" s="14" t="s">
        <v>34</v>
      </c>
      <c r="O344" s="14" t="b">
        <v>0</v>
      </c>
      <c r="P344" s="14"/>
      <c r="Q344" s="14"/>
      <c r="R344" s="14"/>
      <c r="S344" s="14" t="s">
        <v>1645</v>
      </c>
      <c r="T344" s="14" t="s">
        <v>4337</v>
      </c>
      <c r="U344" s="17"/>
      <c r="V344" s="14"/>
      <c r="W344" s="14"/>
      <c r="X344" s="18"/>
      <c r="Y344" s="18"/>
      <c r="Z344" s="18"/>
      <c r="AA344" s="19">
        <f t="shared" si="1"/>
        <v>6</v>
      </c>
      <c r="AB344" s="19" t="str">
        <f t="shared" si="2"/>
        <v/>
      </c>
      <c r="AC344" s="19"/>
    </row>
    <row r="345" ht="15.75" customHeight="1">
      <c r="A345" s="12">
        <v>45107.0</v>
      </c>
      <c r="B345" s="14" t="s">
        <v>703</v>
      </c>
      <c r="C345" s="14" t="s">
        <v>1646</v>
      </c>
      <c r="D345" s="14"/>
      <c r="E345" s="14"/>
      <c r="F345" s="14"/>
      <c r="G345" s="14"/>
      <c r="H345" s="14"/>
      <c r="I345" s="15" t="s">
        <v>1647</v>
      </c>
      <c r="J345" s="14"/>
      <c r="K345" s="14"/>
      <c r="L345" s="14"/>
      <c r="M345" s="27" t="s">
        <v>48</v>
      </c>
      <c r="N345" s="14" t="s">
        <v>565</v>
      </c>
      <c r="O345" s="14" t="b">
        <v>0</v>
      </c>
      <c r="P345" s="14"/>
      <c r="Q345" s="14"/>
      <c r="R345" s="14"/>
      <c r="S345" s="14" t="s">
        <v>1648</v>
      </c>
      <c r="T345" s="14" t="s">
        <v>36</v>
      </c>
      <c r="U345" s="17"/>
      <c r="V345" s="14"/>
      <c r="W345" s="14"/>
      <c r="X345" s="18"/>
      <c r="Y345" s="18"/>
      <c r="Z345" s="18"/>
      <c r="AA345" s="19">
        <f t="shared" si="1"/>
        <v>6</v>
      </c>
      <c r="AB345" s="19" t="str">
        <f t="shared" si="2"/>
        <v/>
      </c>
      <c r="AC345" s="19"/>
    </row>
    <row r="346" ht="15.75" customHeight="1">
      <c r="A346" s="12">
        <v>45107.0</v>
      </c>
      <c r="B346" s="14" t="s">
        <v>703</v>
      </c>
      <c r="C346" s="14" t="s">
        <v>1649</v>
      </c>
      <c r="D346" s="14"/>
      <c r="E346" s="14"/>
      <c r="F346" s="14"/>
      <c r="G346" s="14"/>
      <c r="H346" s="14"/>
      <c r="I346" s="15" t="s">
        <v>1650</v>
      </c>
      <c r="J346" s="14"/>
      <c r="K346" s="14"/>
      <c r="L346" s="14"/>
      <c r="M346" s="27" t="s">
        <v>48</v>
      </c>
      <c r="N346" s="14" t="s">
        <v>216</v>
      </c>
      <c r="O346" s="14" t="b">
        <v>0</v>
      </c>
      <c r="P346" s="14"/>
      <c r="Q346" s="14"/>
      <c r="R346" s="14"/>
      <c r="S346" s="14" t="s">
        <v>1651</v>
      </c>
      <c r="T346" s="14" t="s">
        <v>36</v>
      </c>
      <c r="U346" s="17"/>
      <c r="V346" s="14"/>
      <c r="W346" s="14"/>
      <c r="X346" s="18"/>
      <c r="Y346" s="18"/>
      <c r="Z346" s="18"/>
      <c r="AA346" s="19">
        <f t="shared" si="1"/>
        <v>6</v>
      </c>
      <c r="AB346" s="19" t="str">
        <f t="shared" si="2"/>
        <v/>
      </c>
      <c r="AC346" s="19"/>
    </row>
    <row r="347" ht="15.75" customHeight="1">
      <c r="A347" s="12">
        <v>45107.0</v>
      </c>
      <c r="B347" s="14" t="s">
        <v>84</v>
      </c>
      <c r="C347" s="14" t="s">
        <v>4338</v>
      </c>
      <c r="D347" s="14" t="s">
        <v>1653</v>
      </c>
      <c r="E347" s="14"/>
      <c r="F347" s="14" t="s">
        <v>4339</v>
      </c>
      <c r="G347" s="14"/>
      <c r="H347" s="14"/>
      <c r="I347" s="15" t="s">
        <v>1654</v>
      </c>
      <c r="J347" s="14"/>
      <c r="K347" s="14"/>
      <c r="L347" s="14"/>
      <c r="M347" s="27" t="s">
        <v>111</v>
      </c>
      <c r="N347" s="14" t="s">
        <v>34</v>
      </c>
      <c r="O347" s="14" t="b">
        <v>1</v>
      </c>
      <c r="P347" s="14" t="s">
        <v>1655</v>
      </c>
      <c r="Q347" s="14"/>
      <c r="R347" s="14"/>
      <c r="S347" s="14" t="s">
        <v>1656</v>
      </c>
      <c r="T347" s="14" t="s">
        <v>4069</v>
      </c>
      <c r="U347" s="17"/>
      <c r="V347" s="14"/>
      <c r="W347" s="14"/>
      <c r="X347" s="18"/>
      <c r="Y347" s="18"/>
      <c r="Z347" s="18"/>
      <c r="AA347" s="19">
        <f t="shared" si="1"/>
        <v>6</v>
      </c>
      <c r="AB347" s="19" t="str">
        <f t="shared" si="2"/>
        <v/>
      </c>
      <c r="AC347" s="19"/>
    </row>
    <row r="348" ht="15.75" customHeight="1">
      <c r="A348" s="12">
        <v>45107.0</v>
      </c>
      <c r="B348" s="14" t="s">
        <v>201</v>
      </c>
      <c r="C348" s="14" t="s">
        <v>4340</v>
      </c>
      <c r="D348" s="14"/>
      <c r="E348" s="14"/>
      <c r="F348" s="14"/>
      <c r="G348" s="14"/>
      <c r="H348" s="14"/>
      <c r="I348" s="15"/>
      <c r="J348" s="16" t="s">
        <v>1658</v>
      </c>
      <c r="K348" s="14"/>
      <c r="L348" s="14"/>
      <c r="M348" s="27" t="s">
        <v>111</v>
      </c>
      <c r="N348" s="14" t="s">
        <v>216</v>
      </c>
      <c r="O348" s="14" t="b">
        <v>0</v>
      </c>
      <c r="P348" s="14"/>
      <c r="Q348" s="14"/>
      <c r="R348" s="14"/>
      <c r="S348" s="14" t="s">
        <v>1659</v>
      </c>
      <c r="T348" s="14"/>
      <c r="U348" s="17"/>
      <c r="V348" s="14"/>
      <c r="W348" s="14"/>
      <c r="X348" s="18"/>
      <c r="Y348" s="18"/>
      <c r="Z348" s="18"/>
      <c r="AA348" s="19">
        <f t="shared" si="1"/>
        <v>6</v>
      </c>
      <c r="AB348" s="19" t="str">
        <f t="shared" si="2"/>
        <v/>
      </c>
      <c r="AC348" s="19"/>
    </row>
    <row r="349" ht="15.75" customHeight="1">
      <c r="A349" s="12">
        <v>45107.0</v>
      </c>
      <c r="B349" s="14" t="s">
        <v>703</v>
      </c>
      <c r="C349" s="14" t="s">
        <v>161</v>
      </c>
      <c r="D349" s="14"/>
      <c r="E349" s="14"/>
      <c r="F349" s="14"/>
      <c r="G349" s="14"/>
      <c r="H349" s="14"/>
      <c r="I349" s="15" t="s">
        <v>1660</v>
      </c>
      <c r="J349" s="16" t="s">
        <v>1658</v>
      </c>
      <c r="K349" s="14"/>
      <c r="L349" s="14"/>
      <c r="M349" s="27" t="s">
        <v>48</v>
      </c>
      <c r="N349" s="14" t="s">
        <v>34</v>
      </c>
      <c r="O349" s="14" t="b">
        <v>0</v>
      </c>
      <c r="P349" s="14"/>
      <c r="Q349" s="14"/>
      <c r="R349" s="14"/>
      <c r="S349" s="14" t="s">
        <v>1661</v>
      </c>
      <c r="T349" s="14" t="s">
        <v>36</v>
      </c>
      <c r="U349" s="17"/>
      <c r="V349" s="14"/>
      <c r="W349" s="14"/>
      <c r="X349" s="18"/>
      <c r="Y349" s="18"/>
      <c r="Z349" s="18"/>
      <c r="AA349" s="19">
        <f t="shared" si="1"/>
        <v>6</v>
      </c>
      <c r="AB349" s="19" t="str">
        <f t="shared" si="2"/>
        <v/>
      </c>
      <c r="AC349" s="19"/>
    </row>
    <row r="350" ht="15.75" customHeight="1">
      <c r="A350" s="12">
        <v>45107.0</v>
      </c>
      <c r="B350" s="14" t="s">
        <v>703</v>
      </c>
      <c r="C350" s="14" t="s">
        <v>4341</v>
      </c>
      <c r="D350" s="14"/>
      <c r="E350" s="14"/>
      <c r="F350" s="14"/>
      <c r="G350" s="14"/>
      <c r="H350" s="14"/>
      <c r="I350" s="15" t="s">
        <v>1663</v>
      </c>
      <c r="J350" s="16" t="s">
        <v>1658</v>
      </c>
      <c r="K350" s="14"/>
      <c r="L350" s="14"/>
      <c r="M350" s="27" t="s">
        <v>48</v>
      </c>
      <c r="N350" s="14" t="s">
        <v>34</v>
      </c>
      <c r="O350" s="14" t="b">
        <v>0</v>
      </c>
      <c r="P350" s="14"/>
      <c r="Q350" s="14"/>
      <c r="R350" s="14"/>
      <c r="S350" s="14" t="s">
        <v>1664</v>
      </c>
      <c r="T350" s="14" t="s">
        <v>36</v>
      </c>
      <c r="U350" s="17"/>
      <c r="V350" s="14"/>
      <c r="W350" s="14"/>
      <c r="X350" s="18"/>
      <c r="Y350" s="18"/>
      <c r="Z350" s="18"/>
      <c r="AA350" s="19">
        <f t="shared" si="1"/>
        <v>6</v>
      </c>
      <c r="AB350" s="19" t="str">
        <f t="shared" si="2"/>
        <v/>
      </c>
      <c r="AC350" s="19"/>
    </row>
    <row r="351" ht="15.75" customHeight="1">
      <c r="A351" s="12">
        <v>45108.0</v>
      </c>
      <c r="B351" s="13" t="s">
        <v>28</v>
      </c>
      <c r="C351" s="14" t="s">
        <v>1665</v>
      </c>
      <c r="D351" s="14" t="s">
        <v>1666</v>
      </c>
      <c r="E351" s="14"/>
      <c r="F351" s="14" t="s">
        <v>4180</v>
      </c>
      <c r="G351" s="14"/>
      <c r="H351" s="14"/>
      <c r="I351" s="15" t="s">
        <v>1667</v>
      </c>
      <c r="J351" s="14"/>
      <c r="K351" s="14"/>
      <c r="L351" s="14"/>
      <c r="M351" s="27" t="s">
        <v>111</v>
      </c>
      <c r="N351" s="14" t="s">
        <v>565</v>
      </c>
      <c r="O351" s="14" t="b">
        <v>0</v>
      </c>
      <c r="P351" s="14"/>
      <c r="Q351" s="14"/>
      <c r="R351" s="14"/>
      <c r="S351" s="14" t="s">
        <v>1668</v>
      </c>
      <c r="T351" s="14" t="s">
        <v>4096</v>
      </c>
      <c r="U351" s="17">
        <v>45124.0</v>
      </c>
      <c r="V351" s="14"/>
      <c r="W351" s="14"/>
      <c r="X351" s="18"/>
      <c r="Y351" s="18"/>
      <c r="Z351" s="18"/>
      <c r="AA351" s="19">
        <f t="shared" si="1"/>
        <v>7</v>
      </c>
      <c r="AB351" s="19" t="str">
        <f t="shared" si="2"/>
        <v/>
      </c>
      <c r="AC351" s="19"/>
    </row>
    <row r="352" ht="15.75" customHeight="1">
      <c r="A352" s="12">
        <v>45108.0</v>
      </c>
      <c r="B352" s="13" t="s">
        <v>28</v>
      </c>
      <c r="C352" s="14" t="s">
        <v>1669</v>
      </c>
      <c r="D352" s="14" t="s">
        <v>1670</v>
      </c>
      <c r="E352" s="14"/>
      <c r="F352" s="14"/>
      <c r="G352" s="14" t="s">
        <v>234</v>
      </c>
      <c r="H352" s="14"/>
      <c r="I352" s="15" t="s">
        <v>1671</v>
      </c>
      <c r="J352" s="14"/>
      <c r="K352" s="14"/>
      <c r="L352" s="14" t="s">
        <v>1672</v>
      </c>
      <c r="M352" s="27" t="s">
        <v>48</v>
      </c>
      <c r="N352" s="14" t="s">
        <v>67</v>
      </c>
      <c r="O352" s="14" t="b">
        <v>1</v>
      </c>
      <c r="P352" s="14" t="s">
        <v>4342</v>
      </c>
      <c r="Q352" s="14"/>
      <c r="R352" s="14"/>
      <c r="S352" s="14" t="s">
        <v>1674</v>
      </c>
      <c r="T352" s="37"/>
      <c r="U352" s="17"/>
      <c r="V352" s="142">
        <v>45149.0</v>
      </c>
      <c r="W352" s="14" t="s">
        <v>4343</v>
      </c>
      <c r="X352" s="18">
        <v>4375000.0</v>
      </c>
      <c r="Y352" s="18">
        <f t="shared" ref="Y352:Y353" si="5">X352-Z352</f>
        <v>218750</v>
      </c>
      <c r="Z352" s="18">
        <v>4156250.0</v>
      </c>
      <c r="AA352" s="19">
        <f t="shared" si="1"/>
        <v>7</v>
      </c>
      <c r="AB352" s="19">
        <f t="shared" si="2"/>
        <v>8</v>
      </c>
      <c r="AC352" s="19"/>
    </row>
    <row r="353" ht="15.75" customHeight="1">
      <c r="A353" s="12">
        <v>45108.0</v>
      </c>
      <c r="B353" s="13" t="s">
        <v>28</v>
      </c>
      <c r="C353" s="14" t="s">
        <v>1669</v>
      </c>
      <c r="D353" s="14" t="s">
        <v>1675</v>
      </c>
      <c r="E353" s="14"/>
      <c r="F353" s="14"/>
      <c r="G353" s="14" t="s">
        <v>155</v>
      </c>
      <c r="H353" s="14"/>
      <c r="I353" s="15" t="s">
        <v>1671</v>
      </c>
      <c r="J353" s="14"/>
      <c r="K353" s="14"/>
      <c r="L353" s="278" t="s">
        <v>1676</v>
      </c>
      <c r="M353" s="27" t="s">
        <v>48</v>
      </c>
      <c r="N353" s="14" t="s">
        <v>67</v>
      </c>
      <c r="O353" s="14" t="b">
        <v>1</v>
      </c>
      <c r="P353" s="14" t="s">
        <v>1677</v>
      </c>
      <c r="Q353" s="14"/>
      <c r="R353" s="14"/>
      <c r="S353" s="14" t="s">
        <v>1678</v>
      </c>
      <c r="T353" s="37"/>
      <c r="U353" s="17"/>
      <c r="V353" s="142">
        <v>45149.0</v>
      </c>
      <c r="W353" s="14" t="s">
        <v>4344</v>
      </c>
      <c r="X353" s="18">
        <v>4375000.0</v>
      </c>
      <c r="Y353" s="18">
        <f t="shared" si="5"/>
        <v>131250</v>
      </c>
      <c r="Z353" s="18">
        <v>4243750.0</v>
      </c>
      <c r="AA353" s="19">
        <f t="shared" si="1"/>
        <v>7</v>
      </c>
      <c r="AB353" s="19">
        <f t="shared" si="2"/>
        <v>8</v>
      </c>
      <c r="AC353" s="19"/>
    </row>
    <row r="354" ht="15.75" customHeight="1">
      <c r="A354" s="12">
        <v>45108.0</v>
      </c>
      <c r="B354" s="13" t="s">
        <v>28</v>
      </c>
      <c r="C354" s="14" t="s">
        <v>1679</v>
      </c>
      <c r="D354" s="14"/>
      <c r="E354" s="14"/>
      <c r="F354" s="14"/>
      <c r="G354" s="14"/>
      <c r="H354" s="14"/>
      <c r="I354" s="15" t="s">
        <v>1680</v>
      </c>
      <c r="J354" s="14"/>
      <c r="K354" s="14"/>
      <c r="L354" s="14"/>
      <c r="M354" s="27" t="s">
        <v>48</v>
      </c>
      <c r="N354" s="14" t="s">
        <v>565</v>
      </c>
      <c r="O354" s="14" t="b">
        <v>0</v>
      </c>
      <c r="P354" s="14"/>
      <c r="Q354" s="14"/>
      <c r="R354" s="14"/>
      <c r="S354" s="14" t="s">
        <v>1681</v>
      </c>
      <c r="T354" s="14" t="s">
        <v>4345</v>
      </c>
      <c r="U354" s="17">
        <v>45125.0</v>
      </c>
      <c r="V354" s="14"/>
      <c r="W354" s="14"/>
      <c r="X354" s="18"/>
      <c r="Y354" s="18"/>
      <c r="Z354" s="18"/>
      <c r="AA354" s="19">
        <f t="shared" si="1"/>
        <v>7</v>
      </c>
      <c r="AB354" s="19" t="str">
        <f t="shared" si="2"/>
        <v/>
      </c>
      <c r="AC354" s="19"/>
    </row>
    <row r="355" ht="15.75" customHeight="1">
      <c r="A355" s="26">
        <v>45108.0</v>
      </c>
      <c r="B355" s="27" t="s">
        <v>201</v>
      </c>
      <c r="C355" s="27" t="s">
        <v>4346</v>
      </c>
      <c r="D355" s="27" t="s">
        <v>1683</v>
      </c>
      <c r="E355" s="27"/>
      <c r="F355" s="32">
        <v>40191.0</v>
      </c>
      <c r="G355" s="27" t="s">
        <v>1684</v>
      </c>
      <c r="H355" s="27"/>
      <c r="I355" s="34" t="s">
        <v>1685</v>
      </c>
      <c r="J355" s="27"/>
      <c r="K355" s="27"/>
      <c r="L355" s="27" t="s">
        <v>1686</v>
      </c>
      <c r="M355" s="27" t="s">
        <v>48</v>
      </c>
      <c r="N355" s="27" t="s">
        <v>67</v>
      </c>
      <c r="O355" s="14" t="b">
        <v>1</v>
      </c>
      <c r="P355" s="27" t="s">
        <v>1687</v>
      </c>
      <c r="Q355" s="27"/>
      <c r="R355" s="27"/>
      <c r="S355" s="27" t="s">
        <v>1688</v>
      </c>
      <c r="T355" s="33"/>
      <c r="U355" s="26"/>
      <c r="V355" s="32">
        <v>45110.0</v>
      </c>
      <c r="W355" s="27" t="s">
        <v>4347</v>
      </c>
      <c r="X355" s="25">
        <v>4375000.0</v>
      </c>
      <c r="Y355" s="25">
        <f>X355-Z355</f>
        <v>218000</v>
      </c>
      <c r="Z355" s="25">
        <v>4157000.0</v>
      </c>
      <c r="AA355" s="19">
        <f t="shared" si="1"/>
        <v>7</v>
      </c>
      <c r="AB355" s="19">
        <f t="shared" si="2"/>
        <v>7</v>
      </c>
      <c r="AC355" s="19"/>
    </row>
    <row r="356" ht="15.75" customHeight="1">
      <c r="A356" s="12">
        <v>45108.0</v>
      </c>
      <c r="B356" s="14" t="s">
        <v>201</v>
      </c>
      <c r="C356" s="14" t="s">
        <v>4348</v>
      </c>
      <c r="D356" s="14"/>
      <c r="E356" s="14"/>
      <c r="F356" s="14"/>
      <c r="G356" s="14" t="s">
        <v>1443</v>
      </c>
      <c r="H356" s="14"/>
      <c r="I356" s="15" t="s">
        <v>1690</v>
      </c>
      <c r="J356" s="14"/>
      <c r="K356" s="14"/>
      <c r="L356" s="14"/>
      <c r="M356" s="27" t="s">
        <v>48</v>
      </c>
      <c r="N356" s="14" t="s">
        <v>34</v>
      </c>
      <c r="O356" s="14" t="b">
        <v>0</v>
      </c>
      <c r="P356" s="14"/>
      <c r="Q356" s="14"/>
      <c r="R356" s="14"/>
      <c r="S356" s="14" t="s">
        <v>1691</v>
      </c>
      <c r="T356" s="14" t="s">
        <v>36</v>
      </c>
      <c r="U356" s="41"/>
      <c r="V356" s="14"/>
      <c r="W356" s="14"/>
      <c r="X356" s="18"/>
      <c r="Y356" s="18"/>
      <c r="Z356" s="18"/>
      <c r="AA356" s="19">
        <f t="shared" si="1"/>
        <v>7</v>
      </c>
      <c r="AB356" s="19" t="str">
        <f t="shared" si="2"/>
        <v/>
      </c>
      <c r="AC356" s="19"/>
    </row>
    <row r="357" ht="15.75" customHeight="1">
      <c r="A357" s="12">
        <v>45108.0</v>
      </c>
      <c r="B357" s="14" t="s">
        <v>703</v>
      </c>
      <c r="C357" s="14" t="s">
        <v>1692</v>
      </c>
      <c r="D357" s="14"/>
      <c r="E357" s="14"/>
      <c r="F357" s="14" t="s">
        <v>4349</v>
      </c>
      <c r="G357" s="14"/>
      <c r="H357" s="14"/>
      <c r="I357" s="15" t="s">
        <v>1693</v>
      </c>
      <c r="J357" s="14"/>
      <c r="K357" s="14"/>
      <c r="L357" s="14" t="s">
        <v>1694</v>
      </c>
      <c r="M357" s="27" t="s">
        <v>48</v>
      </c>
      <c r="N357" s="14" t="s">
        <v>565</v>
      </c>
      <c r="O357" s="14" t="b">
        <v>0</v>
      </c>
      <c r="P357" s="14"/>
      <c r="Q357" s="14"/>
      <c r="R357" s="14"/>
      <c r="S357" s="14" t="s">
        <v>1695</v>
      </c>
      <c r="T357" s="14" t="s">
        <v>4350</v>
      </c>
      <c r="U357" s="17">
        <v>45114.0</v>
      </c>
      <c r="V357" s="14"/>
      <c r="W357" s="14"/>
      <c r="X357" s="18"/>
      <c r="Y357" s="18"/>
      <c r="Z357" s="18"/>
      <c r="AA357" s="19">
        <f t="shared" si="1"/>
        <v>7</v>
      </c>
      <c r="AB357" s="19" t="str">
        <f t="shared" si="2"/>
        <v/>
      </c>
      <c r="AC357" s="19"/>
    </row>
    <row r="358" ht="15.75" customHeight="1">
      <c r="A358" s="12">
        <v>45108.0</v>
      </c>
      <c r="B358" s="14" t="s">
        <v>201</v>
      </c>
      <c r="C358" s="14" t="s">
        <v>4351</v>
      </c>
      <c r="D358" s="14"/>
      <c r="E358" s="14"/>
      <c r="F358" s="14" t="s">
        <v>4352</v>
      </c>
      <c r="G358" s="14"/>
      <c r="H358" s="14"/>
      <c r="I358" s="15" t="s">
        <v>1697</v>
      </c>
      <c r="J358" s="14"/>
      <c r="K358" s="14"/>
      <c r="L358" s="14" t="s">
        <v>1698</v>
      </c>
      <c r="M358" s="27" t="s">
        <v>89</v>
      </c>
      <c r="N358" s="14" t="s">
        <v>565</v>
      </c>
      <c r="O358" s="14" t="b">
        <v>0</v>
      </c>
      <c r="P358" s="14"/>
      <c r="Q358" s="14"/>
      <c r="R358" s="14"/>
      <c r="S358" s="14" t="s">
        <v>1699</v>
      </c>
      <c r="T358" s="14"/>
      <c r="U358" s="17"/>
      <c r="V358" s="14"/>
      <c r="W358" s="14"/>
      <c r="X358" s="18"/>
      <c r="Y358" s="18"/>
      <c r="Z358" s="18"/>
      <c r="AA358" s="19">
        <f t="shared" si="1"/>
        <v>7</v>
      </c>
      <c r="AB358" s="19" t="str">
        <f t="shared" si="2"/>
        <v/>
      </c>
      <c r="AC358" s="19"/>
    </row>
    <row r="359" ht="15.75" customHeight="1">
      <c r="A359" s="12">
        <v>45109.0</v>
      </c>
      <c r="B359" s="13" t="s">
        <v>28</v>
      </c>
      <c r="C359" s="14" t="s">
        <v>1700</v>
      </c>
      <c r="D359" s="14"/>
      <c r="E359" s="14"/>
      <c r="F359" s="14"/>
      <c r="G359" s="14" t="s">
        <v>419</v>
      </c>
      <c r="H359" s="14"/>
      <c r="I359" s="15" t="s">
        <v>1701</v>
      </c>
      <c r="J359" s="14"/>
      <c r="K359" s="14"/>
      <c r="L359" s="143" t="s">
        <v>1702</v>
      </c>
      <c r="M359" s="27" t="s">
        <v>48</v>
      </c>
      <c r="N359" s="14" t="s">
        <v>34</v>
      </c>
      <c r="O359" s="14" t="b">
        <v>0</v>
      </c>
      <c r="P359" s="14"/>
      <c r="Q359" s="14"/>
      <c r="R359" s="14"/>
      <c r="S359" s="14" t="s">
        <v>1703</v>
      </c>
      <c r="T359" s="14" t="s">
        <v>36</v>
      </c>
      <c r="U359" s="17"/>
      <c r="V359" s="14"/>
      <c r="W359" s="14"/>
      <c r="X359" s="18"/>
      <c r="Y359" s="18"/>
      <c r="Z359" s="18"/>
      <c r="AA359" s="19">
        <f t="shared" si="1"/>
        <v>7</v>
      </c>
      <c r="AB359" s="19" t="str">
        <f t="shared" si="2"/>
        <v/>
      </c>
      <c r="AC359" s="19"/>
    </row>
    <row r="360" ht="15.75" customHeight="1">
      <c r="A360" s="12">
        <v>45109.0</v>
      </c>
      <c r="B360" s="13" t="s">
        <v>28</v>
      </c>
      <c r="C360" s="14" t="s">
        <v>1704</v>
      </c>
      <c r="D360" s="14" t="s">
        <v>1705</v>
      </c>
      <c r="E360" s="14"/>
      <c r="F360" s="14" t="s">
        <v>4353</v>
      </c>
      <c r="G360" s="14"/>
      <c r="H360" s="14"/>
      <c r="I360" s="15" t="s">
        <v>1706</v>
      </c>
      <c r="J360" s="14"/>
      <c r="K360" s="14"/>
      <c r="L360" s="14"/>
      <c r="M360" s="27" t="s">
        <v>111</v>
      </c>
      <c r="N360" s="14" t="s">
        <v>13</v>
      </c>
      <c r="O360" s="14" t="b">
        <v>1</v>
      </c>
      <c r="P360" s="14" t="s">
        <v>1707</v>
      </c>
      <c r="Q360" s="14"/>
      <c r="R360" s="14"/>
      <c r="S360" s="14" t="s">
        <v>1708</v>
      </c>
      <c r="T360" s="14" t="s">
        <v>4197</v>
      </c>
      <c r="U360" s="17">
        <v>45159.0</v>
      </c>
      <c r="V360" s="14"/>
      <c r="W360" s="14"/>
      <c r="X360" s="18"/>
      <c r="Y360" s="18"/>
      <c r="Z360" s="18"/>
      <c r="AA360" s="19">
        <f t="shared" si="1"/>
        <v>7</v>
      </c>
      <c r="AB360" s="19" t="str">
        <f t="shared" si="2"/>
        <v/>
      </c>
      <c r="AC360" s="19"/>
    </row>
    <row r="361" ht="15.75" customHeight="1">
      <c r="A361" s="12">
        <v>45109.0</v>
      </c>
      <c r="B361" s="13" t="s">
        <v>28</v>
      </c>
      <c r="C361" s="14" t="s">
        <v>1709</v>
      </c>
      <c r="D361" s="14"/>
      <c r="E361" s="14"/>
      <c r="F361" s="14"/>
      <c r="G361" s="14"/>
      <c r="H361" s="14"/>
      <c r="I361" s="15" t="s">
        <v>1710</v>
      </c>
      <c r="J361" s="14"/>
      <c r="K361" s="14"/>
      <c r="L361" s="14"/>
      <c r="M361" s="27" t="s">
        <v>48</v>
      </c>
      <c r="N361" s="14" t="s">
        <v>216</v>
      </c>
      <c r="O361" s="14" t="b">
        <v>0</v>
      </c>
      <c r="P361" s="14"/>
      <c r="Q361" s="14"/>
      <c r="R361" s="14"/>
      <c r="S361" s="14" t="s">
        <v>1711</v>
      </c>
      <c r="T361" s="14"/>
      <c r="U361" s="17"/>
      <c r="V361" s="14"/>
      <c r="W361" s="14"/>
      <c r="X361" s="18"/>
      <c r="Y361" s="18"/>
      <c r="Z361" s="18"/>
      <c r="AA361" s="19">
        <f t="shared" si="1"/>
        <v>7</v>
      </c>
      <c r="AB361" s="19" t="str">
        <f t="shared" si="2"/>
        <v/>
      </c>
      <c r="AC361" s="19"/>
    </row>
    <row r="362" ht="15.75" customHeight="1">
      <c r="A362" s="12">
        <v>45100.0</v>
      </c>
      <c r="B362" s="24" t="s">
        <v>28</v>
      </c>
      <c r="C362" s="14"/>
      <c r="D362" s="14" t="s">
        <v>1712</v>
      </c>
      <c r="E362" s="14"/>
      <c r="F362" s="14"/>
      <c r="G362" s="14"/>
      <c r="H362" s="14"/>
      <c r="I362" s="15" t="s">
        <v>1713</v>
      </c>
      <c r="J362" s="14"/>
      <c r="K362" s="14"/>
      <c r="L362" s="14" t="s">
        <v>1714</v>
      </c>
      <c r="M362" s="14" t="s">
        <v>48</v>
      </c>
      <c r="N362" s="14" t="s">
        <v>34</v>
      </c>
      <c r="O362" s="14" t="b">
        <v>0</v>
      </c>
      <c r="P362" s="14"/>
      <c r="Q362" s="14"/>
      <c r="R362" s="14"/>
      <c r="S362" s="14" t="s">
        <v>1715</v>
      </c>
      <c r="T362" s="14" t="s">
        <v>36</v>
      </c>
      <c r="U362" s="17"/>
      <c r="V362" s="14"/>
      <c r="W362" s="14"/>
      <c r="X362" s="18"/>
      <c r="Y362" s="18"/>
      <c r="Z362" s="18"/>
      <c r="AA362" s="19">
        <f t="shared" si="1"/>
        <v>6</v>
      </c>
      <c r="AB362" s="19" t="str">
        <f t="shared" si="2"/>
        <v/>
      </c>
      <c r="AC362" s="19"/>
    </row>
    <row r="363" ht="15.75" customHeight="1">
      <c r="A363" s="12">
        <v>45109.0</v>
      </c>
      <c r="B363" s="24" t="s">
        <v>28</v>
      </c>
      <c r="C363" s="14"/>
      <c r="D363" s="14" t="s">
        <v>1716</v>
      </c>
      <c r="E363" s="14"/>
      <c r="F363" s="14"/>
      <c r="G363" s="14"/>
      <c r="H363" s="14"/>
      <c r="I363" s="15" t="s">
        <v>1717</v>
      </c>
      <c r="J363" s="14"/>
      <c r="K363" s="14"/>
      <c r="L363" s="14" t="s">
        <v>4354</v>
      </c>
      <c r="M363" s="27" t="s">
        <v>111</v>
      </c>
      <c r="N363" s="14" t="s">
        <v>216</v>
      </c>
      <c r="O363" s="14" t="b">
        <v>0</v>
      </c>
      <c r="P363" s="14"/>
      <c r="Q363" s="14"/>
      <c r="R363" s="14"/>
      <c r="S363" s="14"/>
      <c r="T363" s="14"/>
      <c r="U363" s="17"/>
      <c r="V363" s="14"/>
      <c r="W363" s="14"/>
      <c r="X363" s="18"/>
      <c r="Y363" s="18"/>
      <c r="Z363" s="18"/>
      <c r="AA363" s="19">
        <f t="shared" si="1"/>
        <v>7</v>
      </c>
      <c r="AB363" s="19" t="str">
        <f t="shared" si="2"/>
        <v/>
      </c>
      <c r="AC363" s="19"/>
    </row>
    <row r="364" ht="15.75" customHeight="1">
      <c r="A364" s="12">
        <v>45109.0</v>
      </c>
      <c r="B364" s="24" t="s">
        <v>28</v>
      </c>
      <c r="C364" s="14"/>
      <c r="D364" s="14" t="s">
        <v>1719</v>
      </c>
      <c r="E364" s="14"/>
      <c r="F364" s="14"/>
      <c r="G364" s="14"/>
      <c r="H364" s="14"/>
      <c r="I364" s="15" t="s">
        <v>1720</v>
      </c>
      <c r="J364" s="14"/>
      <c r="K364" s="14"/>
      <c r="L364" s="14" t="s">
        <v>4355</v>
      </c>
      <c r="M364" s="27" t="s">
        <v>48</v>
      </c>
      <c r="N364" s="14" t="s">
        <v>1484</v>
      </c>
      <c r="O364" s="14" t="b">
        <v>0</v>
      </c>
      <c r="P364" s="14"/>
      <c r="Q364" s="14"/>
      <c r="R364" s="14"/>
      <c r="S364" s="14" t="s">
        <v>1722</v>
      </c>
      <c r="T364" s="14" t="s">
        <v>4356</v>
      </c>
      <c r="U364" s="17">
        <v>45117.0</v>
      </c>
      <c r="V364" s="14"/>
      <c r="W364" s="14"/>
      <c r="X364" s="18"/>
      <c r="Y364" s="18"/>
      <c r="Z364" s="18"/>
      <c r="AA364" s="19">
        <f t="shared" si="1"/>
        <v>7</v>
      </c>
      <c r="AB364" s="19" t="str">
        <f t="shared" si="2"/>
        <v/>
      </c>
      <c r="AC364" s="19"/>
    </row>
    <row r="365" ht="15.75" customHeight="1">
      <c r="A365" s="12">
        <v>45109.0</v>
      </c>
      <c r="B365" s="13" t="s">
        <v>28</v>
      </c>
      <c r="C365" s="14" t="s">
        <v>1723</v>
      </c>
      <c r="D365" s="14" t="s">
        <v>4357</v>
      </c>
      <c r="E365" s="142"/>
      <c r="F365" s="142">
        <v>40596.0</v>
      </c>
      <c r="G365" s="14"/>
      <c r="H365" s="14"/>
      <c r="I365" s="15" t="s">
        <v>1725</v>
      </c>
      <c r="J365" s="14"/>
      <c r="K365" s="14"/>
      <c r="L365" s="14" t="s">
        <v>1726</v>
      </c>
      <c r="M365" s="27" t="s">
        <v>111</v>
      </c>
      <c r="N365" s="14" t="s">
        <v>34</v>
      </c>
      <c r="O365" s="14" t="b">
        <v>0</v>
      </c>
      <c r="P365" s="14"/>
      <c r="Q365" s="14"/>
      <c r="R365" s="14"/>
      <c r="S365" s="14" t="s">
        <v>1727</v>
      </c>
      <c r="T365" s="14" t="s">
        <v>4069</v>
      </c>
      <c r="U365" s="17"/>
      <c r="V365" s="14"/>
      <c r="W365" s="14"/>
      <c r="X365" s="18"/>
      <c r="Y365" s="18"/>
      <c r="Z365" s="18"/>
      <c r="AA365" s="19">
        <f t="shared" si="1"/>
        <v>7</v>
      </c>
      <c r="AB365" s="19" t="str">
        <f t="shared" si="2"/>
        <v/>
      </c>
      <c r="AC365" s="19"/>
    </row>
    <row r="366" ht="15.75" customHeight="1">
      <c r="A366" s="12">
        <v>45109.0</v>
      </c>
      <c r="B366" s="14" t="s">
        <v>703</v>
      </c>
      <c r="C366" s="14" t="s">
        <v>1728</v>
      </c>
      <c r="D366" s="14"/>
      <c r="E366" s="14"/>
      <c r="F366" s="14"/>
      <c r="G366" s="14"/>
      <c r="H366" s="14"/>
      <c r="I366" s="15" t="s">
        <v>1729</v>
      </c>
      <c r="J366" s="14"/>
      <c r="K366" s="14"/>
      <c r="L366" s="14"/>
      <c r="M366" s="27" t="s">
        <v>48</v>
      </c>
      <c r="N366" s="14" t="s">
        <v>34</v>
      </c>
      <c r="O366" s="14" t="b">
        <v>0</v>
      </c>
      <c r="P366" s="14"/>
      <c r="Q366" s="14"/>
      <c r="R366" s="14"/>
      <c r="S366" s="14" t="s">
        <v>1730</v>
      </c>
      <c r="T366" s="14" t="s">
        <v>36</v>
      </c>
      <c r="U366" s="17"/>
      <c r="V366" s="14"/>
      <c r="W366" s="14"/>
      <c r="X366" s="18"/>
      <c r="Y366" s="18"/>
      <c r="Z366" s="18"/>
      <c r="AA366" s="19">
        <f t="shared" si="1"/>
        <v>7</v>
      </c>
      <c r="AB366" s="19" t="str">
        <f t="shared" si="2"/>
        <v/>
      </c>
      <c r="AC366" s="19"/>
    </row>
    <row r="367" ht="15.75" customHeight="1">
      <c r="A367" s="12">
        <v>45109.0</v>
      </c>
      <c r="B367" s="14" t="s">
        <v>703</v>
      </c>
      <c r="C367" s="14" t="s">
        <v>1731</v>
      </c>
      <c r="D367" s="14"/>
      <c r="E367" s="14"/>
      <c r="F367" s="14"/>
      <c r="G367" s="14"/>
      <c r="H367" s="14"/>
      <c r="I367" s="15" t="s">
        <v>1732</v>
      </c>
      <c r="J367" s="14"/>
      <c r="K367" s="14"/>
      <c r="L367" s="14"/>
      <c r="M367" s="27" t="s">
        <v>111</v>
      </c>
      <c r="N367" s="14" t="s">
        <v>216</v>
      </c>
      <c r="O367" s="14" t="b">
        <v>0</v>
      </c>
      <c r="P367" s="14"/>
      <c r="Q367" s="14"/>
      <c r="R367" s="14"/>
      <c r="S367" s="14" t="s">
        <v>1733</v>
      </c>
      <c r="T367" s="14" t="s">
        <v>4096</v>
      </c>
      <c r="U367" s="17"/>
      <c r="V367" s="14"/>
      <c r="W367" s="14"/>
      <c r="X367" s="18"/>
      <c r="Y367" s="18"/>
      <c r="Z367" s="18"/>
      <c r="AA367" s="19">
        <f t="shared" si="1"/>
        <v>7</v>
      </c>
      <c r="AB367" s="19" t="str">
        <f t="shared" si="2"/>
        <v/>
      </c>
      <c r="AC367" s="19"/>
    </row>
    <row r="368" ht="15.75" customHeight="1">
      <c r="A368" s="12">
        <v>45110.0</v>
      </c>
      <c r="B368" s="13" t="s">
        <v>28</v>
      </c>
      <c r="C368" s="37" t="s">
        <v>1734</v>
      </c>
      <c r="D368" s="14" t="s">
        <v>1735</v>
      </c>
      <c r="E368" s="14"/>
      <c r="F368" s="14"/>
      <c r="G368" s="14" t="s">
        <v>169</v>
      </c>
      <c r="H368" s="14"/>
      <c r="I368" s="15" t="s">
        <v>1736</v>
      </c>
      <c r="J368" s="14"/>
      <c r="K368" s="14" t="s">
        <v>289</v>
      </c>
      <c r="L368" s="14"/>
      <c r="M368" s="27" t="s">
        <v>48</v>
      </c>
      <c r="N368" s="14" t="s">
        <v>34</v>
      </c>
      <c r="O368" s="14" t="b">
        <v>1</v>
      </c>
      <c r="P368" s="61" t="s">
        <v>1737</v>
      </c>
      <c r="Q368" s="14"/>
      <c r="R368" s="14"/>
      <c r="S368" s="14" t="s">
        <v>1738</v>
      </c>
      <c r="T368" s="14" t="s">
        <v>36</v>
      </c>
      <c r="U368" s="17"/>
      <c r="V368" s="14"/>
      <c r="W368" s="14"/>
      <c r="X368" s="18"/>
      <c r="Y368" s="18"/>
      <c r="Z368" s="18"/>
      <c r="AA368" s="19">
        <f t="shared" si="1"/>
        <v>7</v>
      </c>
      <c r="AB368" s="19" t="str">
        <f t="shared" si="2"/>
        <v/>
      </c>
      <c r="AC368" s="19"/>
    </row>
    <row r="369" ht="15.75" customHeight="1">
      <c r="A369" s="12">
        <v>45110.0</v>
      </c>
      <c r="B369" s="13" t="s">
        <v>28</v>
      </c>
      <c r="C369" s="37" t="s">
        <v>1734</v>
      </c>
      <c r="D369" s="14" t="s">
        <v>1739</v>
      </c>
      <c r="E369" s="14"/>
      <c r="F369" s="14"/>
      <c r="G369" s="14" t="s">
        <v>115</v>
      </c>
      <c r="H369" s="14"/>
      <c r="I369" s="15" t="s">
        <v>1736</v>
      </c>
      <c r="J369" s="14"/>
      <c r="K369" s="14"/>
      <c r="L369" s="14" t="s">
        <v>1740</v>
      </c>
      <c r="M369" s="27" t="s">
        <v>48</v>
      </c>
      <c r="N369" s="14" t="s">
        <v>13</v>
      </c>
      <c r="O369" s="14" t="b">
        <v>1</v>
      </c>
      <c r="P369" s="14" t="s">
        <v>1741</v>
      </c>
      <c r="Q369" s="14"/>
      <c r="R369" s="14"/>
      <c r="S369" s="14" t="s">
        <v>1742</v>
      </c>
      <c r="T369" s="14"/>
      <c r="U369" s="17">
        <v>45122.0</v>
      </c>
      <c r="V369" s="14"/>
      <c r="W369" s="14"/>
      <c r="X369" s="18"/>
      <c r="Y369" s="18"/>
      <c r="Z369" s="18"/>
      <c r="AA369" s="19">
        <f t="shared" si="1"/>
        <v>7</v>
      </c>
      <c r="AB369" s="19" t="str">
        <f t="shared" si="2"/>
        <v/>
      </c>
      <c r="AC369" s="19"/>
    </row>
    <row r="370" ht="15.75" customHeight="1">
      <c r="A370" s="12">
        <v>45110.0</v>
      </c>
      <c r="B370" s="13" t="s">
        <v>28</v>
      </c>
      <c r="C370" s="37" t="s">
        <v>1734</v>
      </c>
      <c r="D370" s="14" t="s">
        <v>1743</v>
      </c>
      <c r="E370" s="14"/>
      <c r="F370" s="14"/>
      <c r="G370" s="14" t="s">
        <v>1744</v>
      </c>
      <c r="H370" s="14"/>
      <c r="I370" s="15" t="s">
        <v>1736</v>
      </c>
      <c r="J370" s="14"/>
      <c r="K370" s="14"/>
      <c r="L370" s="14" t="s">
        <v>1745</v>
      </c>
      <c r="M370" s="27" t="s">
        <v>48</v>
      </c>
      <c r="N370" s="14" t="s">
        <v>13</v>
      </c>
      <c r="O370" s="14" t="b">
        <v>1</v>
      </c>
      <c r="P370" s="14" t="s">
        <v>1746</v>
      </c>
      <c r="Q370" s="14"/>
      <c r="R370" s="14"/>
      <c r="S370" s="14" t="s">
        <v>1747</v>
      </c>
      <c r="T370" s="14" t="s">
        <v>4358</v>
      </c>
      <c r="U370" s="17">
        <v>45139.0</v>
      </c>
      <c r="V370" s="14"/>
      <c r="W370" s="14"/>
      <c r="X370" s="18"/>
      <c r="Y370" s="18"/>
      <c r="Z370" s="18"/>
      <c r="AA370" s="19">
        <f t="shared" si="1"/>
        <v>7</v>
      </c>
      <c r="AB370" s="19" t="str">
        <f t="shared" si="2"/>
        <v/>
      </c>
      <c r="AC370" s="19"/>
    </row>
    <row r="371" ht="15.75" customHeight="1">
      <c r="A371" s="12">
        <v>45101.0</v>
      </c>
      <c r="B371" s="14" t="s">
        <v>84</v>
      </c>
      <c r="C371" s="14" t="s">
        <v>1748</v>
      </c>
      <c r="D371" s="14" t="s">
        <v>1749</v>
      </c>
      <c r="E371" s="14"/>
      <c r="F371" s="14" t="s">
        <v>4125</v>
      </c>
      <c r="G371" s="14"/>
      <c r="H371" s="14"/>
      <c r="I371" s="15" t="s">
        <v>1750</v>
      </c>
      <c r="J371" s="14"/>
      <c r="K371" s="14"/>
      <c r="L371" s="14"/>
      <c r="M371" s="14" t="s">
        <v>48</v>
      </c>
      <c r="N371" s="14" t="s">
        <v>565</v>
      </c>
      <c r="O371" s="14" t="b">
        <v>0</v>
      </c>
      <c r="P371" s="14"/>
      <c r="Q371" s="14"/>
      <c r="R371" s="14"/>
      <c r="S371" s="14"/>
      <c r="T371" s="14" t="s">
        <v>4359</v>
      </c>
      <c r="U371" s="17"/>
      <c r="V371" s="14"/>
      <c r="W371" s="14"/>
      <c r="X371" s="18"/>
      <c r="Y371" s="18"/>
      <c r="Z371" s="18"/>
      <c r="AA371" s="19">
        <f t="shared" si="1"/>
        <v>6</v>
      </c>
      <c r="AB371" s="19" t="str">
        <f t="shared" si="2"/>
        <v/>
      </c>
      <c r="AC371" s="19"/>
    </row>
    <row r="372" ht="15.75" customHeight="1">
      <c r="A372" s="12">
        <v>45110.0</v>
      </c>
      <c r="B372" s="13" t="s">
        <v>28</v>
      </c>
      <c r="C372" s="14" t="s">
        <v>4360</v>
      </c>
      <c r="D372" s="14"/>
      <c r="E372" s="14"/>
      <c r="F372" s="14"/>
      <c r="G372" s="14"/>
      <c r="H372" s="14"/>
      <c r="I372" s="15" t="s">
        <v>1752</v>
      </c>
      <c r="J372" s="14"/>
      <c r="K372" s="14"/>
      <c r="L372" s="14"/>
      <c r="M372" s="27" t="s">
        <v>111</v>
      </c>
      <c r="N372" s="14" t="s">
        <v>565</v>
      </c>
      <c r="O372" s="14" t="b">
        <v>0</v>
      </c>
      <c r="P372" s="14"/>
      <c r="Q372" s="14"/>
      <c r="R372" s="14"/>
      <c r="S372" s="14" t="s">
        <v>1753</v>
      </c>
      <c r="T372" s="14" t="s">
        <v>4096</v>
      </c>
      <c r="U372" s="17"/>
      <c r="V372" s="14"/>
      <c r="W372" s="14"/>
      <c r="X372" s="18"/>
      <c r="Y372" s="18"/>
      <c r="Z372" s="18"/>
      <c r="AA372" s="19">
        <f t="shared" si="1"/>
        <v>7</v>
      </c>
      <c r="AB372" s="19" t="str">
        <f t="shared" si="2"/>
        <v/>
      </c>
      <c r="AC372" s="19"/>
    </row>
    <row r="373" ht="15.75" customHeight="1">
      <c r="A373" s="12">
        <v>45110.0</v>
      </c>
      <c r="B373" s="13" t="s">
        <v>28</v>
      </c>
      <c r="C373" s="14" t="s">
        <v>1754</v>
      </c>
      <c r="D373" s="14"/>
      <c r="E373" s="14"/>
      <c r="F373" s="14"/>
      <c r="G373" s="14"/>
      <c r="H373" s="14"/>
      <c r="I373" s="15" t="s">
        <v>1755</v>
      </c>
      <c r="J373" s="14"/>
      <c r="K373" s="14"/>
      <c r="L373" s="14"/>
      <c r="M373" s="27" t="s">
        <v>111</v>
      </c>
      <c r="N373" s="14" t="s">
        <v>216</v>
      </c>
      <c r="O373" s="14" t="b">
        <v>0</v>
      </c>
      <c r="P373" s="14"/>
      <c r="Q373" s="14"/>
      <c r="R373" s="14"/>
      <c r="S373" s="14" t="s">
        <v>1756</v>
      </c>
      <c r="T373" s="14" t="s">
        <v>4096</v>
      </c>
      <c r="U373" s="17"/>
      <c r="V373" s="14"/>
      <c r="W373" s="14"/>
      <c r="X373" s="18"/>
      <c r="Y373" s="18"/>
      <c r="Z373" s="18"/>
      <c r="AA373" s="19">
        <f t="shared" si="1"/>
        <v>7</v>
      </c>
      <c r="AB373" s="19" t="str">
        <f t="shared" si="2"/>
        <v/>
      </c>
      <c r="AC373" s="19"/>
    </row>
    <row r="374" ht="15.75" customHeight="1">
      <c r="A374" s="26">
        <v>45110.0</v>
      </c>
      <c r="B374" s="27" t="s">
        <v>201</v>
      </c>
      <c r="C374" s="27" t="s">
        <v>4361</v>
      </c>
      <c r="D374" s="27" t="s">
        <v>1758</v>
      </c>
      <c r="E374" s="27"/>
      <c r="F374" s="32">
        <v>43068.0</v>
      </c>
      <c r="G374" s="27"/>
      <c r="H374" s="27"/>
      <c r="I374" s="275" t="s">
        <v>1759</v>
      </c>
      <c r="J374" s="27"/>
      <c r="K374" s="27"/>
      <c r="L374" s="27"/>
      <c r="M374" s="27" t="s">
        <v>48</v>
      </c>
      <c r="N374" s="27" t="s">
        <v>67</v>
      </c>
      <c r="O374" s="14" t="b">
        <v>1</v>
      </c>
      <c r="P374" s="27" t="s">
        <v>1760</v>
      </c>
      <c r="Q374" s="27"/>
      <c r="R374" s="27"/>
      <c r="S374" s="27" t="s">
        <v>1761</v>
      </c>
      <c r="T374" s="27"/>
      <c r="U374" s="26"/>
      <c r="V374" s="32">
        <v>45111.0</v>
      </c>
      <c r="W374" s="27" t="s">
        <v>4362</v>
      </c>
      <c r="X374" s="25">
        <v>3062000.0</v>
      </c>
      <c r="Y374" s="25">
        <f>X374-Z374</f>
        <v>153100</v>
      </c>
      <c r="Z374" s="25">
        <v>2908900.0</v>
      </c>
      <c r="AA374" s="19">
        <f t="shared" si="1"/>
        <v>7</v>
      </c>
      <c r="AB374" s="19">
        <f t="shared" si="2"/>
        <v>7</v>
      </c>
      <c r="AC374" s="19"/>
    </row>
    <row r="375" ht="15.75" customHeight="1">
      <c r="A375" s="12">
        <v>45111.0</v>
      </c>
      <c r="B375" s="14" t="s">
        <v>201</v>
      </c>
      <c r="C375" s="14" t="s">
        <v>4363</v>
      </c>
      <c r="D375" s="14" t="s">
        <v>1763</v>
      </c>
      <c r="E375" s="14"/>
      <c r="F375" s="14">
        <v>2014.0</v>
      </c>
      <c r="G375" s="14" t="s">
        <v>839</v>
      </c>
      <c r="H375" s="14"/>
      <c r="I375" s="15" t="s">
        <v>1764</v>
      </c>
      <c r="J375" s="14"/>
      <c r="K375" s="14"/>
      <c r="L375" s="14"/>
      <c r="M375" s="27" t="s">
        <v>111</v>
      </c>
      <c r="N375" s="14" t="s">
        <v>34</v>
      </c>
      <c r="O375" s="14" t="b">
        <v>0</v>
      </c>
      <c r="P375" s="14"/>
      <c r="Q375" s="14"/>
      <c r="R375" s="14"/>
      <c r="S375" s="14" t="s">
        <v>1765</v>
      </c>
      <c r="T375" s="14" t="s">
        <v>4069</v>
      </c>
      <c r="U375" s="17"/>
      <c r="V375" s="14"/>
      <c r="W375" s="14"/>
      <c r="X375" s="18"/>
      <c r="Y375" s="18"/>
      <c r="Z375" s="18"/>
      <c r="AA375" s="19">
        <f t="shared" si="1"/>
        <v>7</v>
      </c>
      <c r="AB375" s="19" t="str">
        <f t="shared" si="2"/>
        <v/>
      </c>
      <c r="AC375" s="19"/>
    </row>
    <row r="376" ht="15.75" customHeight="1">
      <c r="A376" s="12">
        <v>45111.0</v>
      </c>
      <c r="B376" s="14" t="s">
        <v>84</v>
      </c>
      <c r="C376" s="14" t="s">
        <v>4364</v>
      </c>
      <c r="D376" s="14" t="s">
        <v>1766</v>
      </c>
      <c r="E376" s="14"/>
      <c r="F376" s="14"/>
      <c r="G376" s="14" t="s">
        <v>1767</v>
      </c>
      <c r="H376" s="14"/>
      <c r="I376" s="15" t="s">
        <v>1768</v>
      </c>
      <c r="J376" s="14"/>
      <c r="K376" s="14"/>
      <c r="L376" s="14" t="s">
        <v>1769</v>
      </c>
      <c r="M376" s="27" t="s">
        <v>48</v>
      </c>
      <c r="N376" s="14" t="s">
        <v>565</v>
      </c>
      <c r="O376" s="14" t="b">
        <v>0</v>
      </c>
      <c r="P376" s="14"/>
      <c r="Q376" s="14"/>
      <c r="R376" s="14"/>
      <c r="S376" s="14" t="s">
        <v>1770</v>
      </c>
      <c r="T376" s="14" t="s">
        <v>4365</v>
      </c>
      <c r="U376" s="17">
        <v>45112.0</v>
      </c>
      <c r="V376" s="14"/>
      <c r="W376" s="14"/>
      <c r="X376" s="18"/>
      <c r="Y376" s="18"/>
      <c r="Z376" s="18"/>
      <c r="AA376" s="19">
        <f t="shared" si="1"/>
        <v>7</v>
      </c>
      <c r="AB376" s="19" t="str">
        <f t="shared" si="2"/>
        <v/>
      </c>
      <c r="AC376" s="19"/>
    </row>
    <row r="377" ht="15.75" customHeight="1">
      <c r="A377" s="12">
        <v>45111.0</v>
      </c>
      <c r="B377" s="14" t="s">
        <v>703</v>
      </c>
      <c r="C377" s="14" t="s">
        <v>1771</v>
      </c>
      <c r="D377" s="232"/>
      <c r="E377" s="14"/>
      <c r="F377" s="14"/>
      <c r="G377" s="14">
        <v>6.0</v>
      </c>
      <c r="H377" s="14"/>
      <c r="I377" s="15" t="s">
        <v>1772</v>
      </c>
      <c r="J377" s="14"/>
      <c r="K377" s="14"/>
      <c r="L377" s="14" t="s">
        <v>1773</v>
      </c>
      <c r="M377" s="27" t="s">
        <v>111</v>
      </c>
      <c r="N377" s="14" t="s">
        <v>34</v>
      </c>
      <c r="O377" s="14" t="b">
        <v>0</v>
      </c>
      <c r="P377" s="14"/>
      <c r="Q377" s="14"/>
      <c r="R377" s="14"/>
      <c r="S377" s="14" t="s">
        <v>1774</v>
      </c>
      <c r="T377" s="14" t="s">
        <v>4069</v>
      </c>
      <c r="U377" s="17"/>
      <c r="V377" s="14"/>
      <c r="W377" s="14"/>
      <c r="X377" s="18"/>
      <c r="Y377" s="18"/>
      <c r="Z377" s="18"/>
      <c r="AA377" s="19">
        <f t="shared" si="1"/>
        <v>7</v>
      </c>
      <c r="AB377" s="19" t="str">
        <f t="shared" si="2"/>
        <v/>
      </c>
      <c r="AC377" s="19"/>
    </row>
    <row r="378" ht="15.75" customHeight="1">
      <c r="A378" s="26">
        <v>45111.0</v>
      </c>
      <c r="B378" s="27" t="s">
        <v>84</v>
      </c>
      <c r="C378" s="27" t="s">
        <v>4366</v>
      </c>
      <c r="D378" s="27" t="s">
        <v>1776</v>
      </c>
      <c r="E378" s="27"/>
      <c r="F378" s="32">
        <v>39686.0</v>
      </c>
      <c r="G378" s="27"/>
      <c r="H378" s="27"/>
      <c r="I378" s="296" t="s">
        <v>1777</v>
      </c>
      <c r="J378" s="27"/>
      <c r="K378" s="27"/>
      <c r="L378" s="27" t="s">
        <v>1778</v>
      </c>
      <c r="M378" s="27" t="s">
        <v>48</v>
      </c>
      <c r="N378" s="27" t="s">
        <v>67</v>
      </c>
      <c r="O378" s="14" t="b">
        <v>1</v>
      </c>
      <c r="P378" s="27" t="s">
        <v>1779</v>
      </c>
      <c r="Q378" s="27"/>
      <c r="R378" s="27"/>
      <c r="S378" s="27" t="s">
        <v>1780</v>
      </c>
      <c r="T378" s="27"/>
      <c r="U378" s="26"/>
      <c r="V378" s="32">
        <v>45111.0</v>
      </c>
      <c r="W378" s="27" t="s">
        <v>4367</v>
      </c>
      <c r="X378" s="25">
        <v>8750000.0</v>
      </c>
      <c r="Y378" s="25">
        <f>X378-Z378</f>
        <v>1312500</v>
      </c>
      <c r="Z378" s="25">
        <v>7437500.0</v>
      </c>
      <c r="AA378" s="19">
        <f t="shared" si="1"/>
        <v>7</v>
      </c>
      <c r="AB378" s="19">
        <f t="shared" si="2"/>
        <v>7</v>
      </c>
      <c r="AC378" s="19"/>
    </row>
    <row r="379" ht="15.75" customHeight="1">
      <c r="A379" s="26">
        <v>45111.0</v>
      </c>
      <c r="B379" s="27" t="s">
        <v>201</v>
      </c>
      <c r="C379" s="27" t="s">
        <v>4368</v>
      </c>
      <c r="D379" s="27" t="s">
        <v>4369</v>
      </c>
      <c r="E379" s="27"/>
      <c r="F379" s="27" t="s">
        <v>4178</v>
      </c>
      <c r="G379" s="27"/>
      <c r="H379" s="27"/>
      <c r="I379" s="34" t="s">
        <v>1783</v>
      </c>
      <c r="J379" s="27"/>
      <c r="K379" s="27"/>
      <c r="L379" s="27"/>
      <c r="M379" s="27" t="s">
        <v>111</v>
      </c>
      <c r="N379" s="27" t="s">
        <v>67</v>
      </c>
      <c r="O379" s="14" t="b">
        <v>1</v>
      </c>
      <c r="P379" s="244" t="s">
        <v>1784</v>
      </c>
      <c r="Q379" s="27" t="s">
        <v>4207</v>
      </c>
      <c r="R379" s="27" t="s">
        <v>1785</v>
      </c>
      <c r="S379" s="27" t="s">
        <v>1786</v>
      </c>
      <c r="T379" s="27" t="s">
        <v>4197</v>
      </c>
      <c r="U379" s="26"/>
      <c r="V379" s="32">
        <v>45134.0</v>
      </c>
      <c r="W379" s="27" t="s">
        <v>4370</v>
      </c>
      <c r="X379" s="25">
        <v>6124000.0</v>
      </c>
      <c r="Y379" s="25">
        <v>600000.0</v>
      </c>
      <c r="Z379" s="25">
        <v>5524000.0</v>
      </c>
      <c r="AA379" s="19">
        <f t="shared" si="1"/>
        <v>7</v>
      </c>
      <c r="AB379" s="19">
        <f t="shared" si="2"/>
        <v>7</v>
      </c>
      <c r="AC379" s="19"/>
    </row>
    <row r="380" ht="15.75" customHeight="1">
      <c r="A380" s="12">
        <v>45112.0</v>
      </c>
      <c r="B380" s="14" t="s">
        <v>539</v>
      </c>
      <c r="C380" s="14" t="s">
        <v>4371</v>
      </c>
      <c r="D380" s="14" t="s">
        <v>1788</v>
      </c>
      <c r="E380" s="14"/>
      <c r="F380" s="14" t="s">
        <v>4178</v>
      </c>
      <c r="G380" s="14"/>
      <c r="H380" s="14"/>
      <c r="I380" s="14">
        <v>3.47056168E8</v>
      </c>
      <c r="J380" s="14"/>
      <c r="K380" s="14"/>
      <c r="L380" s="14" t="s">
        <v>1789</v>
      </c>
      <c r="M380" s="27" t="s">
        <v>111</v>
      </c>
      <c r="N380" s="14" t="s">
        <v>13</v>
      </c>
      <c r="O380" s="14" t="b">
        <v>1</v>
      </c>
      <c r="P380" s="14" t="s">
        <v>1790</v>
      </c>
      <c r="Q380" s="14"/>
      <c r="R380" s="14"/>
      <c r="S380" s="14" t="s">
        <v>1791</v>
      </c>
      <c r="T380" s="14" t="s">
        <v>4197</v>
      </c>
      <c r="U380" s="17">
        <v>45120.0</v>
      </c>
      <c r="V380" s="14"/>
      <c r="W380" s="14"/>
      <c r="X380" s="18"/>
      <c r="Y380" s="18"/>
      <c r="Z380" s="18"/>
      <c r="AA380" s="19">
        <f t="shared" si="1"/>
        <v>7</v>
      </c>
      <c r="AB380" s="19" t="str">
        <f t="shared" si="2"/>
        <v/>
      </c>
      <c r="AC380" s="19"/>
    </row>
    <row r="381" ht="15.75" customHeight="1">
      <c r="A381" s="12">
        <v>45112.0</v>
      </c>
      <c r="B381" s="14" t="s">
        <v>539</v>
      </c>
      <c r="C381" s="14" t="s">
        <v>1792</v>
      </c>
      <c r="D381" s="14" t="s">
        <v>1792</v>
      </c>
      <c r="E381" s="14"/>
      <c r="F381" s="14" t="s">
        <v>4372</v>
      </c>
      <c r="G381" s="14"/>
      <c r="H381" s="14"/>
      <c r="I381" s="14">
        <v>8.66266979E8</v>
      </c>
      <c r="J381" s="14"/>
      <c r="K381" s="14"/>
      <c r="L381" s="14" t="s">
        <v>1793</v>
      </c>
      <c r="M381" s="27" t="s">
        <v>111</v>
      </c>
      <c r="N381" s="14" t="s">
        <v>565</v>
      </c>
      <c r="O381" s="14" t="b">
        <v>0</v>
      </c>
      <c r="P381" s="14"/>
      <c r="Q381" s="14"/>
      <c r="R381" s="14"/>
      <c r="S381" s="14" t="s">
        <v>1794</v>
      </c>
      <c r="T381" s="14" t="s">
        <v>4373</v>
      </c>
      <c r="U381" s="17">
        <v>45139.0</v>
      </c>
      <c r="V381" s="14"/>
      <c r="W381" s="14"/>
      <c r="X381" s="18"/>
      <c r="Y381" s="18"/>
      <c r="Z381" s="18"/>
      <c r="AA381" s="19">
        <f t="shared" si="1"/>
        <v>7</v>
      </c>
      <c r="AB381" s="19" t="str">
        <f t="shared" si="2"/>
        <v/>
      </c>
      <c r="AC381" s="19"/>
    </row>
    <row r="382" ht="15.75" customHeight="1">
      <c r="A382" s="12">
        <v>45112.0</v>
      </c>
      <c r="B382" s="14" t="s">
        <v>539</v>
      </c>
      <c r="C382" s="14" t="s">
        <v>1795</v>
      </c>
      <c r="D382" s="14"/>
      <c r="E382" s="14"/>
      <c r="F382" s="14"/>
      <c r="G382" s="14"/>
      <c r="H382" s="14"/>
      <c r="I382" s="14">
        <v>9.72466204E8</v>
      </c>
      <c r="J382" s="14"/>
      <c r="K382" s="14"/>
      <c r="L382" s="14" t="s">
        <v>1796</v>
      </c>
      <c r="M382" s="27" t="s">
        <v>111</v>
      </c>
      <c r="N382" s="14" t="s">
        <v>216</v>
      </c>
      <c r="O382" s="14" t="b">
        <v>0</v>
      </c>
      <c r="P382" s="14"/>
      <c r="Q382" s="14"/>
      <c r="R382" s="14"/>
      <c r="S382" s="14" t="s">
        <v>1797</v>
      </c>
      <c r="T382" s="14"/>
      <c r="U382" s="17"/>
      <c r="V382" s="14"/>
      <c r="W382" s="14"/>
      <c r="X382" s="18"/>
      <c r="Y382" s="18"/>
      <c r="Z382" s="18"/>
      <c r="AA382" s="19">
        <f t="shared" si="1"/>
        <v>7</v>
      </c>
      <c r="AB382" s="19" t="str">
        <f t="shared" si="2"/>
        <v/>
      </c>
      <c r="AC382" s="19"/>
    </row>
    <row r="383" ht="15.75" customHeight="1">
      <c r="A383" s="12">
        <v>45112.0</v>
      </c>
      <c r="B383" s="14" t="s">
        <v>539</v>
      </c>
      <c r="C383" s="14" t="s">
        <v>1798</v>
      </c>
      <c r="D383" s="14" t="s">
        <v>1798</v>
      </c>
      <c r="E383" s="14"/>
      <c r="F383" s="14">
        <v>2000.0</v>
      </c>
      <c r="G383" s="14"/>
      <c r="H383" s="14"/>
      <c r="I383" s="14">
        <v>3.59639964E8</v>
      </c>
      <c r="J383" s="14"/>
      <c r="K383" s="14"/>
      <c r="L383" s="14" t="s">
        <v>358</v>
      </c>
      <c r="M383" s="27" t="s">
        <v>111</v>
      </c>
      <c r="N383" s="14" t="s">
        <v>565</v>
      </c>
      <c r="O383" s="14" t="b">
        <v>0</v>
      </c>
      <c r="P383" s="14"/>
      <c r="Q383" s="14"/>
      <c r="R383" s="14"/>
      <c r="S383" s="14" t="s">
        <v>1799</v>
      </c>
      <c r="T383" s="14"/>
      <c r="U383" s="17"/>
      <c r="V383" s="14"/>
      <c r="W383" s="14"/>
      <c r="X383" s="18"/>
      <c r="Y383" s="18"/>
      <c r="Z383" s="18"/>
      <c r="AA383" s="19">
        <f t="shared" si="1"/>
        <v>7</v>
      </c>
      <c r="AB383" s="19" t="str">
        <f t="shared" si="2"/>
        <v/>
      </c>
      <c r="AC383" s="19"/>
    </row>
    <row r="384" ht="15.75" customHeight="1">
      <c r="A384" s="12">
        <v>45112.0</v>
      </c>
      <c r="B384" s="14" t="s">
        <v>539</v>
      </c>
      <c r="C384" s="14" t="s">
        <v>1800</v>
      </c>
      <c r="D384" s="14"/>
      <c r="E384" s="14"/>
      <c r="F384" s="14"/>
      <c r="G384" s="14"/>
      <c r="H384" s="14"/>
      <c r="I384" s="14">
        <v>7.89724991E8</v>
      </c>
      <c r="J384" s="14"/>
      <c r="K384" s="14"/>
      <c r="L384" s="14" t="s">
        <v>1796</v>
      </c>
      <c r="M384" s="27" t="s">
        <v>111</v>
      </c>
      <c r="N384" s="14" t="s">
        <v>216</v>
      </c>
      <c r="O384" s="14" t="b">
        <v>0</v>
      </c>
      <c r="P384" s="14"/>
      <c r="Q384" s="14"/>
      <c r="R384" s="14"/>
      <c r="S384" s="14" t="s">
        <v>1797</v>
      </c>
      <c r="T384" s="14"/>
      <c r="U384" s="17"/>
      <c r="V384" s="14"/>
      <c r="W384" s="14"/>
      <c r="X384" s="18"/>
      <c r="Y384" s="18"/>
      <c r="Z384" s="18"/>
      <c r="AA384" s="19">
        <f t="shared" si="1"/>
        <v>7</v>
      </c>
      <c r="AB384" s="19" t="str">
        <f t="shared" si="2"/>
        <v/>
      </c>
      <c r="AC384" s="19"/>
    </row>
    <row r="385" ht="15.75" customHeight="1">
      <c r="A385" s="12">
        <v>45112.0</v>
      </c>
      <c r="B385" s="14" t="s">
        <v>539</v>
      </c>
      <c r="C385" s="14"/>
      <c r="D385" s="14"/>
      <c r="E385" s="14"/>
      <c r="F385" s="14"/>
      <c r="G385" s="14"/>
      <c r="H385" s="14"/>
      <c r="I385" s="14">
        <v>9.83712446E8</v>
      </c>
      <c r="J385" s="14"/>
      <c r="K385" s="14"/>
      <c r="L385" s="14" t="s">
        <v>1796</v>
      </c>
      <c r="M385" s="27" t="s">
        <v>111</v>
      </c>
      <c r="N385" s="14" t="s">
        <v>216</v>
      </c>
      <c r="O385" s="14" t="b">
        <v>0</v>
      </c>
      <c r="P385" s="14"/>
      <c r="Q385" s="14"/>
      <c r="R385" s="14"/>
      <c r="S385" s="14" t="s">
        <v>1797</v>
      </c>
      <c r="T385" s="14"/>
      <c r="U385" s="17"/>
      <c r="V385" s="14"/>
      <c r="W385" s="14"/>
      <c r="X385" s="18"/>
      <c r="Y385" s="18"/>
      <c r="Z385" s="18"/>
      <c r="AA385" s="19">
        <f t="shared" si="1"/>
        <v>7</v>
      </c>
      <c r="AB385" s="19" t="str">
        <f t="shared" si="2"/>
        <v/>
      </c>
      <c r="AC385" s="19"/>
    </row>
    <row r="386" ht="15.75" customHeight="1">
      <c r="A386" s="12">
        <v>45112.0</v>
      </c>
      <c r="B386" s="14" t="s">
        <v>539</v>
      </c>
      <c r="C386" s="14" t="s">
        <v>1802</v>
      </c>
      <c r="D386" s="14" t="s">
        <v>1803</v>
      </c>
      <c r="E386" s="14"/>
      <c r="F386" s="14" t="s">
        <v>437</v>
      </c>
      <c r="G386" s="14"/>
      <c r="H386" s="14"/>
      <c r="I386" s="14">
        <v>9.84395356E8</v>
      </c>
      <c r="J386" s="14"/>
      <c r="K386" s="14"/>
      <c r="L386" s="14" t="s">
        <v>1804</v>
      </c>
      <c r="M386" s="27" t="s">
        <v>111</v>
      </c>
      <c r="N386" s="14" t="s">
        <v>34</v>
      </c>
      <c r="O386" s="14" t="b">
        <v>1</v>
      </c>
      <c r="P386" s="14" t="s">
        <v>1805</v>
      </c>
      <c r="Q386" s="14"/>
      <c r="R386" s="14"/>
      <c r="S386" s="14" t="s">
        <v>1806</v>
      </c>
      <c r="T386" s="14" t="s">
        <v>4069</v>
      </c>
      <c r="U386" s="17"/>
      <c r="V386" s="14"/>
      <c r="W386" s="14"/>
      <c r="X386" s="18"/>
      <c r="Y386" s="18"/>
      <c r="Z386" s="18"/>
      <c r="AA386" s="19">
        <f t="shared" si="1"/>
        <v>7</v>
      </c>
      <c r="AB386" s="19" t="str">
        <f t="shared" si="2"/>
        <v/>
      </c>
      <c r="AC386" s="19"/>
    </row>
    <row r="387" ht="15.75" customHeight="1">
      <c r="A387" s="12">
        <v>45112.0</v>
      </c>
      <c r="B387" s="14" t="s">
        <v>539</v>
      </c>
      <c r="C387" s="14" t="s">
        <v>4374</v>
      </c>
      <c r="D387" s="14" t="s">
        <v>1808</v>
      </c>
      <c r="E387" s="14"/>
      <c r="F387" s="14">
        <v>2017.0</v>
      </c>
      <c r="G387" s="14"/>
      <c r="H387" s="14"/>
      <c r="I387" s="14">
        <v>9.02274008E8</v>
      </c>
      <c r="J387" s="14"/>
      <c r="K387" s="14"/>
      <c r="L387" s="14" t="s">
        <v>1796</v>
      </c>
      <c r="M387" s="27" t="s">
        <v>111</v>
      </c>
      <c r="N387" s="14" t="s">
        <v>565</v>
      </c>
      <c r="O387" s="14" t="b">
        <v>0</v>
      </c>
      <c r="P387" s="14"/>
      <c r="Q387" s="14"/>
      <c r="R387" s="14"/>
      <c r="S387" s="14" t="s">
        <v>1809</v>
      </c>
      <c r="T387" s="14" t="s">
        <v>4197</v>
      </c>
      <c r="U387" s="17">
        <v>45120.0</v>
      </c>
      <c r="V387" s="14"/>
      <c r="W387" s="14"/>
      <c r="X387" s="18"/>
      <c r="Y387" s="18"/>
      <c r="Z387" s="18"/>
      <c r="AA387" s="19">
        <f t="shared" si="1"/>
        <v>7</v>
      </c>
      <c r="AB387" s="19" t="str">
        <f t="shared" si="2"/>
        <v/>
      </c>
      <c r="AC387" s="19"/>
    </row>
    <row r="388" ht="15.75" customHeight="1">
      <c r="A388" s="26">
        <v>45112.0</v>
      </c>
      <c r="B388" s="27" t="s">
        <v>539</v>
      </c>
      <c r="C388" s="131" t="s">
        <v>1810</v>
      </c>
      <c r="D388" s="131" t="s">
        <v>1811</v>
      </c>
      <c r="E388" s="27"/>
      <c r="F388" s="27" t="s">
        <v>4375</v>
      </c>
      <c r="G388" s="27"/>
      <c r="H388" s="27"/>
      <c r="I388" s="131">
        <v>9.71062099E8</v>
      </c>
      <c r="J388" s="27"/>
      <c r="K388" s="27"/>
      <c r="L388" s="27" t="s">
        <v>1812</v>
      </c>
      <c r="M388" s="27" t="s">
        <v>111</v>
      </c>
      <c r="N388" s="27" t="s">
        <v>67</v>
      </c>
      <c r="O388" s="14" t="b">
        <v>1</v>
      </c>
      <c r="P388" s="27" t="s">
        <v>1813</v>
      </c>
      <c r="Q388" s="27" t="s">
        <v>4207</v>
      </c>
      <c r="R388" s="27"/>
      <c r="S388" s="27" t="s">
        <v>1814</v>
      </c>
      <c r="T388" s="27" t="s">
        <v>4227</v>
      </c>
      <c r="U388" s="26"/>
      <c r="V388" s="32">
        <v>45114.0</v>
      </c>
      <c r="W388" s="27" t="s">
        <v>4207</v>
      </c>
      <c r="X388" s="25">
        <v>6124000.0</v>
      </c>
      <c r="Y388" s="25">
        <v>918600.0</v>
      </c>
      <c r="Z388" s="25">
        <v>5205400.0</v>
      </c>
      <c r="AA388" s="19">
        <f t="shared" si="1"/>
        <v>7</v>
      </c>
      <c r="AB388" s="19">
        <f t="shared" si="2"/>
        <v>7</v>
      </c>
      <c r="AC388" s="19"/>
    </row>
    <row r="389" ht="15.75" customHeight="1">
      <c r="A389" s="26">
        <v>45112.0</v>
      </c>
      <c r="B389" s="27" t="s">
        <v>539</v>
      </c>
      <c r="C389" s="131" t="s">
        <v>1815</v>
      </c>
      <c r="D389" s="131" t="s">
        <v>4376</v>
      </c>
      <c r="E389" s="27"/>
      <c r="F389" s="27" t="s">
        <v>4377</v>
      </c>
      <c r="G389" s="27"/>
      <c r="H389" s="27"/>
      <c r="I389" s="131">
        <v>9.71062099E8</v>
      </c>
      <c r="J389" s="27"/>
      <c r="K389" s="27"/>
      <c r="L389" s="27"/>
      <c r="M389" s="27" t="s">
        <v>111</v>
      </c>
      <c r="N389" s="27" t="s">
        <v>67</v>
      </c>
      <c r="O389" s="14" t="b">
        <v>0</v>
      </c>
      <c r="P389" s="27" t="s">
        <v>1817</v>
      </c>
      <c r="Q389" s="27"/>
      <c r="R389" s="27"/>
      <c r="S389" s="27" t="s">
        <v>1814</v>
      </c>
      <c r="T389" s="27" t="s">
        <v>4195</v>
      </c>
      <c r="U389" s="26"/>
      <c r="V389" s="32">
        <v>45114.0</v>
      </c>
      <c r="W389" s="27" t="s">
        <v>4207</v>
      </c>
      <c r="X389" s="25">
        <v>6124000.0</v>
      </c>
      <c r="Y389" s="25">
        <v>1102320.0</v>
      </c>
      <c r="Z389" s="25">
        <v>5021680.0</v>
      </c>
      <c r="AA389" s="19">
        <f t="shared" si="1"/>
        <v>7</v>
      </c>
      <c r="AB389" s="19">
        <f t="shared" si="2"/>
        <v>7</v>
      </c>
      <c r="AC389" s="19"/>
    </row>
    <row r="390" ht="15.75" customHeight="1">
      <c r="A390" s="12">
        <v>45112.0</v>
      </c>
      <c r="B390" s="14" t="s">
        <v>539</v>
      </c>
      <c r="C390" s="14" t="s">
        <v>1818</v>
      </c>
      <c r="D390" s="14"/>
      <c r="E390" s="14"/>
      <c r="F390" s="14"/>
      <c r="G390" s="14"/>
      <c r="H390" s="14"/>
      <c r="I390" s="14">
        <v>3.39583533E8</v>
      </c>
      <c r="J390" s="14"/>
      <c r="K390" s="14"/>
      <c r="L390" s="14" t="s">
        <v>1796</v>
      </c>
      <c r="M390" s="27" t="s">
        <v>48</v>
      </c>
      <c r="N390" s="14" t="s">
        <v>565</v>
      </c>
      <c r="O390" s="14" t="b">
        <v>0</v>
      </c>
      <c r="P390" s="14"/>
      <c r="Q390" s="14"/>
      <c r="R390" s="14"/>
      <c r="S390" s="14" t="s">
        <v>1819</v>
      </c>
      <c r="T390" s="14" t="s">
        <v>4378</v>
      </c>
      <c r="U390" s="17">
        <v>45114.0</v>
      </c>
      <c r="V390" s="14"/>
      <c r="W390" s="14"/>
      <c r="X390" s="18"/>
      <c r="Y390" s="18"/>
      <c r="Z390" s="18"/>
      <c r="AA390" s="19">
        <f t="shared" si="1"/>
        <v>7</v>
      </c>
      <c r="AB390" s="19" t="str">
        <f t="shared" si="2"/>
        <v/>
      </c>
      <c r="AC390" s="19"/>
    </row>
    <row r="391" ht="15.75" customHeight="1">
      <c r="A391" s="12">
        <v>45112.0</v>
      </c>
      <c r="B391" s="14" t="s">
        <v>539</v>
      </c>
      <c r="C391" s="14" t="s">
        <v>1820</v>
      </c>
      <c r="D391" s="14"/>
      <c r="E391" s="14"/>
      <c r="F391" s="14"/>
      <c r="G391" s="14"/>
      <c r="H391" s="14"/>
      <c r="I391" s="14">
        <v>9.76875678E8</v>
      </c>
      <c r="J391" s="14"/>
      <c r="K391" s="14"/>
      <c r="L391" s="14" t="s">
        <v>1821</v>
      </c>
      <c r="M391" s="27" t="s">
        <v>48</v>
      </c>
      <c r="N391" s="14" t="s">
        <v>34</v>
      </c>
      <c r="O391" s="14" t="b">
        <v>0</v>
      </c>
      <c r="P391" s="14"/>
      <c r="Q391" s="14"/>
      <c r="R391" s="14"/>
      <c r="S391" s="14" t="s">
        <v>1822</v>
      </c>
      <c r="T391" s="14" t="s">
        <v>36</v>
      </c>
      <c r="U391" s="17"/>
      <c r="V391" s="14"/>
      <c r="W391" s="14"/>
      <c r="X391" s="18"/>
      <c r="Y391" s="18"/>
      <c r="Z391" s="18"/>
      <c r="AA391" s="19">
        <f t="shared" si="1"/>
        <v>7</v>
      </c>
      <c r="AB391" s="19" t="str">
        <f t="shared" si="2"/>
        <v/>
      </c>
      <c r="AC391" s="19"/>
    </row>
    <row r="392" ht="15.75" customHeight="1">
      <c r="A392" s="12">
        <v>45112.0</v>
      </c>
      <c r="B392" s="14" t="s">
        <v>539</v>
      </c>
      <c r="C392" s="14" t="s">
        <v>1823</v>
      </c>
      <c r="D392" s="14"/>
      <c r="E392" s="14"/>
      <c r="F392" s="14"/>
      <c r="G392" s="14">
        <v>7.0</v>
      </c>
      <c r="H392" s="14"/>
      <c r="I392" s="14">
        <v>9.82999979E8</v>
      </c>
      <c r="J392" s="14"/>
      <c r="K392" s="14"/>
      <c r="L392" s="232" t="s">
        <v>1824</v>
      </c>
      <c r="M392" s="27" t="s">
        <v>48</v>
      </c>
      <c r="N392" s="14" t="s">
        <v>565</v>
      </c>
      <c r="O392" s="14" t="b">
        <v>0</v>
      </c>
      <c r="P392" s="14"/>
      <c r="Q392" s="14"/>
      <c r="R392" s="14"/>
      <c r="S392" s="14" t="s">
        <v>1825</v>
      </c>
      <c r="T392" s="14" t="s">
        <v>4379</v>
      </c>
      <c r="U392" s="17">
        <v>45113.0</v>
      </c>
      <c r="V392" s="14"/>
      <c r="W392" s="14"/>
      <c r="X392" s="18"/>
      <c r="Y392" s="18"/>
      <c r="Z392" s="18"/>
      <c r="AA392" s="19">
        <f t="shared" si="1"/>
        <v>7</v>
      </c>
      <c r="AB392" s="19" t="str">
        <f t="shared" si="2"/>
        <v/>
      </c>
      <c r="AC392" s="19"/>
    </row>
    <row r="393" ht="15.75" customHeight="1">
      <c r="A393" s="12">
        <v>45112.0</v>
      </c>
      <c r="B393" s="14" t="s">
        <v>539</v>
      </c>
      <c r="C393" s="14" t="s">
        <v>1826</v>
      </c>
      <c r="D393" s="14"/>
      <c r="E393" s="14"/>
      <c r="F393" s="14" t="s">
        <v>1244</v>
      </c>
      <c r="G393" s="14">
        <v>5.0</v>
      </c>
      <c r="H393" s="14"/>
      <c r="I393" s="14">
        <v>9.75143942E8</v>
      </c>
      <c r="J393" s="14"/>
      <c r="K393" s="14"/>
      <c r="L393" s="14" t="s">
        <v>1827</v>
      </c>
      <c r="M393" s="27" t="s">
        <v>48</v>
      </c>
      <c r="N393" s="14" t="s">
        <v>565</v>
      </c>
      <c r="O393" s="14" t="b">
        <v>0</v>
      </c>
      <c r="P393" s="14"/>
      <c r="Q393" s="14"/>
      <c r="R393" s="14"/>
      <c r="S393" s="14" t="s">
        <v>1828</v>
      </c>
      <c r="T393" s="14" t="s">
        <v>4379</v>
      </c>
      <c r="U393" s="17">
        <v>45113.0</v>
      </c>
      <c r="V393" s="14"/>
      <c r="W393" s="14"/>
      <c r="X393" s="18"/>
      <c r="Y393" s="18"/>
      <c r="Z393" s="18"/>
      <c r="AA393" s="19">
        <f t="shared" si="1"/>
        <v>7</v>
      </c>
      <c r="AB393" s="19" t="str">
        <f t="shared" si="2"/>
        <v/>
      </c>
      <c r="AC393" s="19"/>
    </row>
    <row r="394" ht="15.75" customHeight="1">
      <c r="A394" s="12">
        <v>45112.0</v>
      </c>
      <c r="B394" s="14" t="s">
        <v>539</v>
      </c>
      <c r="C394" s="14" t="s">
        <v>1829</v>
      </c>
      <c r="D394" s="14"/>
      <c r="E394" s="14"/>
      <c r="F394" s="14"/>
      <c r="G394" s="14">
        <v>6.0</v>
      </c>
      <c r="H394" s="14"/>
      <c r="I394" s="14">
        <v>9.78155995E8</v>
      </c>
      <c r="J394" s="14"/>
      <c r="K394" s="14"/>
      <c r="L394" s="14" t="s">
        <v>1796</v>
      </c>
      <c r="M394" s="27" t="s">
        <v>48</v>
      </c>
      <c r="N394" s="14" t="s">
        <v>565</v>
      </c>
      <c r="O394" s="14" t="b">
        <v>0</v>
      </c>
      <c r="P394" s="14"/>
      <c r="Q394" s="14"/>
      <c r="R394" s="14"/>
      <c r="S394" s="14" t="s">
        <v>1830</v>
      </c>
      <c r="T394" s="14" t="s">
        <v>4380</v>
      </c>
      <c r="U394" s="17">
        <v>45113.0</v>
      </c>
      <c r="V394" s="14"/>
      <c r="W394" s="14"/>
      <c r="X394" s="18"/>
      <c r="Y394" s="18"/>
      <c r="Z394" s="18"/>
      <c r="AA394" s="19">
        <f t="shared" si="1"/>
        <v>7</v>
      </c>
      <c r="AB394" s="19" t="str">
        <f t="shared" si="2"/>
        <v/>
      </c>
      <c r="AC394" s="19"/>
    </row>
    <row r="395" ht="15.75" customHeight="1">
      <c r="A395" s="12">
        <v>45112.0</v>
      </c>
      <c r="B395" s="14" t="s">
        <v>539</v>
      </c>
      <c r="C395" s="14" t="s">
        <v>1831</v>
      </c>
      <c r="D395" s="14"/>
      <c r="E395" s="14"/>
      <c r="F395" s="14"/>
      <c r="G395" s="14">
        <v>16.0</v>
      </c>
      <c r="H395" s="14"/>
      <c r="I395" s="14">
        <v>3.88595525E8</v>
      </c>
      <c r="J395" s="14"/>
      <c r="K395" s="14"/>
      <c r="L395" s="14" t="s">
        <v>1832</v>
      </c>
      <c r="M395" s="27" t="s">
        <v>48</v>
      </c>
      <c r="N395" s="14" t="s">
        <v>216</v>
      </c>
      <c r="O395" s="14" t="b">
        <v>0</v>
      </c>
      <c r="P395" s="14"/>
      <c r="Q395" s="14"/>
      <c r="R395" s="14"/>
      <c r="S395" s="14" t="s">
        <v>1833</v>
      </c>
      <c r="T395" s="14" t="s">
        <v>36</v>
      </c>
      <c r="U395" s="17"/>
      <c r="V395" s="14"/>
      <c r="W395" s="14"/>
      <c r="X395" s="18"/>
      <c r="Y395" s="18"/>
      <c r="Z395" s="18"/>
      <c r="AA395" s="19">
        <f t="shared" si="1"/>
        <v>7</v>
      </c>
      <c r="AB395" s="19" t="str">
        <f t="shared" si="2"/>
        <v/>
      </c>
      <c r="AC395" s="19"/>
    </row>
    <row r="396" ht="15.75" customHeight="1">
      <c r="A396" s="12">
        <v>45112.0</v>
      </c>
      <c r="B396" s="14" t="s">
        <v>539</v>
      </c>
      <c r="C396" s="14" t="s">
        <v>1834</v>
      </c>
      <c r="D396" s="14"/>
      <c r="E396" s="14"/>
      <c r="F396" s="14"/>
      <c r="G396" s="14"/>
      <c r="H396" s="14"/>
      <c r="I396" s="14">
        <v>9.82807252E8</v>
      </c>
      <c r="J396" s="14"/>
      <c r="K396" s="14"/>
      <c r="L396" s="14" t="s">
        <v>1835</v>
      </c>
      <c r="M396" s="27" t="s">
        <v>48</v>
      </c>
      <c r="N396" s="14" t="s">
        <v>565</v>
      </c>
      <c r="O396" s="14" t="b">
        <v>0</v>
      </c>
      <c r="P396" s="14"/>
      <c r="Q396" s="14"/>
      <c r="R396" s="14"/>
      <c r="S396" s="14" t="s">
        <v>1836</v>
      </c>
      <c r="T396" s="14" t="s">
        <v>4378</v>
      </c>
      <c r="U396" s="17">
        <v>45113.0</v>
      </c>
      <c r="V396" s="14"/>
      <c r="W396" s="14"/>
      <c r="X396" s="18"/>
      <c r="Y396" s="18"/>
      <c r="Z396" s="18"/>
      <c r="AA396" s="19">
        <f t="shared" si="1"/>
        <v>7</v>
      </c>
      <c r="AB396" s="19" t="str">
        <f t="shared" si="2"/>
        <v/>
      </c>
      <c r="AC396" s="19"/>
    </row>
    <row r="397" ht="15.75" customHeight="1">
      <c r="A397" s="12">
        <v>45112.0</v>
      </c>
      <c r="B397" s="14" t="s">
        <v>539</v>
      </c>
      <c r="C397" s="62" t="s">
        <v>1837</v>
      </c>
      <c r="D397" s="14" t="s">
        <v>1838</v>
      </c>
      <c r="E397" s="14"/>
      <c r="F397" s="14" t="s">
        <v>419</v>
      </c>
      <c r="G397" s="14"/>
      <c r="H397" s="14"/>
      <c r="I397" s="14">
        <v>3.62828124E8</v>
      </c>
      <c r="J397" s="14"/>
      <c r="K397" s="14"/>
      <c r="L397" s="14" t="s">
        <v>1796</v>
      </c>
      <c r="M397" s="27" t="s">
        <v>48</v>
      </c>
      <c r="N397" s="14" t="s">
        <v>158</v>
      </c>
      <c r="O397" s="14" t="b">
        <v>0</v>
      </c>
      <c r="P397" s="14" t="s">
        <v>1839</v>
      </c>
      <c r="Q397" s="14"/>
      <c r="R397" s="14"/>
      <c r="S397" s="14" t="s">
        <v>1840</v>
      </c>
      <c r="T397" s="14" t="s">
        <v>4381</v>
      </c>
      <c r="U397" s="17">
        <v>45148.0</v>
      </c>
      <c r="V397" s="14"/>
      <c r="W397" s="14"/>
      <c r="X397" s="18"/>
      <c r="Y397" s="18"/>
      <c r="Z397" s="18"/>
      <c r="AA397" s="19">
        <f t="shared" si="1"/>
        <v>7</v>
      </c>
      <c r="AB397" s="19" t="str">
        <f t="shared" si="2"/>
        <v/>
      </c>
      <c r="AC397" s="19"/>
    </row>
    <row r="398" ht="15.75" customHeight="1">
      <c r="A398" s="12">
        <v>45112.0</v>
      </c>
      <c r="B398" s="14" t="s">
        <v>539</v>
      </c>
      <c r="C398" s="14" t="s">
        <v>1841</v>
      </c>
      <c r="D398" s="14"/>
      <c r="E398" s="14"/>
      <c r="F398" s="14"/>
      <c r="G398" s="14"/>
      <c r="H398" s="14"/>
      <c r="I398" s="14">
        <v>3.86165612E8</v>
      </c>
      <c r="J398" s="14"/>
      <c r="K398" s="14"/>
      <c r="L398" s="14" t="s">
        <v>1842</v>
      </c>
      <c r="M398" s="27" t="s">
        <v>48</v>
      </c>
      <c r="N398" s="14" t="s">
        <v>565</v>
      </c>
      <c r="O398" s="14" t="b">
        <v>0</v>
      </c>
      <c r="P398" s="14"/>
      <c r="Q398" s="14"/>
      <c r="R398" s="14"/>
      <c r="S398" s="14" t="s">
        <v>1843</v>
      </c>
      <c r="T398" s="14" t="s">
        <v>4378</v>
      </c>
      <c r="U398" s="17">
        <v>45122.0</v>
      </c>
      <c r="V398" s="14"/>
      <c r="W398" s="14"/>
      <c r="X398" s="18"/>
      <c r="Y398" s="18"/>
      <c r="Z398" s="18"/>
      <c r="AA398" s="19">
        <f t="shared" si="1"/>
        <v>7</v>
      </c>
      <c r="AB398" s="19" t="str">
        <f t="shared" si="2"/>
        <v/>
      </c>
      <c r="AC398" s="19"/>
    </row>
    <row r="399" ht="15.75" customHeight="1">
      <c r="A399" s="12">
        <v>45112.0</v>
      </c>
      <c r="B399" s="14" t="s">
        <v>539</v>
      </c>
      <c r="C399" s="14" t="s">
        <v>1844</v>
      </c>
      <c r="D399" s="14" t="s">
        <v>1845</v>
      </c>
      <c r="E399" s="14"/>
      <c r="F399" s="14" t="s">
        <v>4382</v>
      </c>
      <c r="G399" s="14"/>
      <c r="H399" s="14"/>
      <c r="I399" s="15" t="s">
        <v>1846</v>
      </c>
      <c r="J399" s="14"/>
      <c r="K399" s="14"/>
      <c r="L399" s="14"/>
      <c r="M399" s="27" t="s">
        <v>111</v>
      </c>
      <c r="N399" s="14" t="s">
        <v>34</v>
      </c>
      <c r="O399" s="14" t="b">
        <v>0</v>
      </c>
      <c r="P399" s="14"/>
      <c r="Q399" s="14"/>
      <c r="R399" s="14"/>
      <c r="S399" s="14" t="s">
        <v>1847</v>
      </c>
      <c r="T399" s="14" t="s">
        <v>4069</v>
      </c>
      <c r="U399" s="17"/>
      <c r="V399" s="14"/>
      <c r="W399" s="14"/>
      <c r="X399" s="18"/>
      <c r="Y399" s="18"/>
      <c r="Z399" s="18"/>
      <c r="AA399" s="19">
        <f t="shared" si="1"/>
        <v>7</v>
      </c>
      <c r="AB399" s="19" t="str">
        <f t="shared" si="2"/>
        <v/>
      </c>
      <c r="AC399" s="19"/>
    </row>
    <row r="400" ht="15.75" customHeight="1">
      <c r="A400" s="12">
        <v>45112.0</v>
      </c>
      <c r="B400" s="14" t="s">
        <v>539</v>
      </c>
      <c r="C400" s="14" t="s">
        <v>1848</v>
      </c>
      <c r="D400" s="14"/>
      <c r="E400" s="14"/>
      <c r="F400" s="14"/>
      <c r="G400" s="14"/>
      <c r="H400" s="14"/>
      <c r="I400" s="15" t="s">
        <v>1849</v>
      </c>
      <c r="J400" s="14"/>
      <c r="K400" s="14"/>
      <c r="L400" s="14"/>
      <c r="M400" s="27" t="s">
        <v>111</v>
      </c>
      <c r="N400" s="14" t="s">
        <v>34</v>
      </c>
      <c r="O400" s="14" t="b">
        <v>0</v>
      </c>
      <c r="P400" s="14"/>
      <c r="Q400" s="14"/>
      <c r="R400" s="14"/>
      <c r="S400" s="14" t="s">
        <v>1850</v>
      </c>
      <c r="T400" s="14"/>
      <c r="U400" s="17"/>
      <c r="V400" s="14"/>
      <c r="W400" s="14"/>
      <c r="X400" s="18"/>
      <c r="Y400" s="18"/>
      <c r="Z400" s="18"/>
      <c r="AA400" s="19">
        <f t="shared" si="1"/>
        <v>7</v>
      </c>
      <c r="AB400" s="19" t="str">
        <f t="shared" si="2"/>
        <v/>
      </c>
      <c r="AC400" s="19"/>
    </row>
    <row r="401" ht="15.75" customHeight="1">
      <c r="A401" s="12">
        <v>45112.0</v>
      </c>
      <c r="B401" s="14" t="s">
        <v>539</v>
      </c>
      <c r="C401" s="14" t="s">
        <v>1851</v>
      </c>
      <c r="D401" s="14" t="s">
        <v>1852</v>
      </c>
      <c r="E401" s="14"/>
      <c r="F401" s="14" t="s">
        <v>4383</v>
      </c>
      <c r="G401" s="14">
        <v>8.0</v>
      </c>
      <c r="H401" s="14"/>
      <c r="I401" s="15" t="s">
        <v>1853</v>
      </c>
      <c r="J401" s="14"/>
      <c r="K401" s="14"/>
      <c r="L401" s="14"/>
      <c r="M401" s="27" t="s">
        <v>111</v>
      </c>
      <c r="N401" s="14" t="s">
        <v>34</v>
      </c>
      <c r="O401" s="14" t="b">
        <v>0</v>
      </c>
      <c r="P401" s="14"/>
      <c r="Q401" s="14"/>
      <c r="R401" s="14"/>
      <c r="S401" s="14" t="s">
        <v>1854</v>
      </c>
      <c r="T401" s="14" t="s">
        <v>4069</v>
      </c>
      <c r="U401" s="17"/>
      <c r="V401" s="14"/>
      <c r="W401" s="14"/>
      <c r="X401" s="18"/>
      <c r="Y401" s="18"/>
      <c r="Z401" s="18"/>
      <c r="AA401" s="19">
        <f t="shared" si="1"/>
        <v>7</v>
      </c>
      <c r="AB401" s="19" t="str">
        <f t="shared" si="2"/>
        <v/>
      </c>
      <c r="AC401" s="19"/>
    </row>
    <row r="402" ht="15.75" customHeight="1">
      <c r="A402" s="12">
        <v>45112.0</v>
      </c>
      <c r="B402" s="14" t="s">
        <v>539</v>
      </c>
      <c r="C402" s="14" t="s">
        <v>1855</v>
      </c>
      <c r="D402" s="14"/>
      <c r="E402" s="14"/>
      <c r="F402" s="14"/>
      <c r="G402" s="14"/>
      <c r="H402" s="14"/>
      <c r="I402" s="15" t="s">
        <v>1856</v>
      </c>
      <c r="J402" s="14"/>
      <c r="K402" s="14"/>
      <c r="L402" s="14"/>
      <c r="M402" s="27" t="s">
        <v>111</v>
      </c>
      <c r="N402" s="14" t="s">
        <v>216</v>
      </c>
      <c r="O402" s="14" t="b">
        <v>0</v>
      </c>
      <c r="P402" s="14"/>
      <c r="Q402" s="14"/>
      <c r="R402" s="14"/>
      <c r="S402" s="14" t="s">
        <v>1857</v>
      </c>
      <c r="T402" s="14"/>
      <c r="U402" s="17"/>
      <c r="V402" s="14"/>
      <c r="W402" s="14"/>
      <c r="X402" s="18"/>
      <c r="Y402" s="18"/>
      <c r="Z402" s="18"/>
      <c r="AA402" s="19">
        <f t="shared" si="1"/>
        <v>7</v>
      </c>
      <c r="AB402" s="19" t="str">
        <f t="shared" si="2"/>
        <v/>
      </c>
      <c r="AC402" s="19"/>
    </row>
    <row r="403" ht="15.75" customHeight="1">
      <c r="A403" s="12">
        <v>45112.0</v>
      </c>
      <c r="B403" s="14" t="s">
        <v>539</v>
      </c>
      <c r="C403" s="37" t="s">
        <v>1858</v>
      </c>
      <c r="D403" s="14" t="s">
        <v>1859</v>
      </c>
      <c r="E403" s="14"/>
      <c r="F403" s="14"/>
      <c r="G403" s="14">
        <v>3.0</v>
      </c>
      <c r="H403" s="14"/>
      <c r="I403" s="15" t="s">
        <v>1860</v>
      </c>
      <c r="J403" s="14"/>
      <c r="K403" s="14"/>
      <c r="L403" s="14" t="s">
        <v>1861</v>
      </c>
      <c r="M403" s="27" t="s">
        <v>48</v>
      </c>
      <c r="N403" s="14" t="s">
        <v>13</v>
      </c>
      <c r="O403" s="14" t="b">
        <v>1</v>
      </c>
      <c r="P403" s="62" t="s">
        <v>1862</v>
      </c>
      <c r="Q403" s="14"/>
      <c r="R403" s="14"/>
      <c r="S403" s="37" t="s">
        <v>1863</v>
      </c>
      <c r="T403" s="14" t="s">
        <v>4384</v>
      </c>
      <c r="U403" s="17"/>
      <c r="V403" s="14"/>
      <c r="W403" s="14"/>
      <c r="X403" s="18"/>
      <c r="Y403" s="18"/>
      <c r="Z403" s="18"/>
      <c r="AA403" s="19">
        <f t="shared" si="1"/>
        <v>7</v>
      </c>
      <c r="AB403" s="19" t="str">
        <f t="shared" si="2"/>
        <v/>
      </c>
      <c r="AC403" s="19"/>
    </row>
    <row r="404" ht="15.75" customHeight="1">
      <c r="A404" s="12">
        <v>45112.0</v>
      </c>
      <c r="B404" s="14" t="s">
        <v>539</v>
      </c>
      <c r="C404" s="37" t="s">
        <v>1858</v>
      </c>
      <c r="D404" s="14" t="s">
        <v>1864</v>
      </c>
      <c r="E404" s="14"/>
      <c r="F404" s="14"/>
      <c r="G404" s="14">
        <v>6.0</v>
      </c>
      <c r="H404" s="14"/>
      <c r="I404" s="15" t="s">
        <v>1860</v>
      </c>
      <c r="J404" s="14"/>
      <c r="K404" s="14"/>
      <c r="L404" s="14" t="s">
        <v>1865</v>
      </c>
      <c r="M404" s="27" t="s">
        <v>48</v>
      </c>
      <c r="N404" s="14" t="s">
        <v>13</v>
      </c>
      <c r="O404" s="14" t="b">
        <v>1</v>
      </c>
      <c r="P404" s="14" t="s">
        <v>1866</v>
      </c>
      <c r="Q404" s="14"/>
      <c r="R404" s="14"/>
      <c r="S404" s="37" t="s">
        <v>1867</v>
      </c>
      <c r="T404" s="14" t="s">
        <v>4384</v>
      </c>
      <c r="U404" s="17"/>
      <c r="V404" s="14"/>
      <c r="W404" s="14"/>
      <c r="X404" s="18"/>
      <c r="Y404" s="18"/>
      <c r="Z404" s="18"/>
      <c r="AA404" s="19">
        <f t="shared" si="1"/>
        <v>7</v>
      </c>
      <c r="AB404" s="19" t="str">
        <f t="shared" si="2"/>
        <v/>
      </c>
      <c r="AC404" s="19"/>
    </row>
    <row r="405" ht="15.75" customHeight="1">
      <c r="A405" s="12">
        <v>45112.0</v>
      </c>
      <c r="B405" s="14" t="s">
        <v>539</v>
      </c>
      <c r="C405" s="14" t="s">
        <v>167</v>
      </c>
      <c r="D405" s="14"/>
      <c r="E405" s="14"/>
      <c r="F405" s="14"/>
      <c r="G405" s="14"/>
      <c r="H405" s="14"/>
      <c r="I405" s="15" t="s">
        <v>1868</v>
      </c>
      <c r="J405" s="14"/>
      <c r="K405" s="14"/>
      <c r="L405" s="14"/>
      <c r="M405" s="27" t="s">
        <v>48</v>
      </c>
      <c r="N405" s="14" t="s">
        <v>565</v>
      </c>
      <c r="O405" s="14" t="b">
        <v>0</v>
      </c>
      <c r="P405" s="14"/>
      <c r="Q405" s="14"/>
      <c r="R405" s="14"/>
      <c r="S405" s="37" t="s">
        <v>1869</v>
      </c>
      <c r="T405" s="14" t="s">
        <v>4385</v>
      </c>
      <c r="U405" s="17">
        <v>45115.0</v>
      </c>
      <c r="V405" s="14"/>
      <c r="W405" s="14"/>
      <c r="X405" s="18"/>
      <c r="Y405" s="18"/>
      <c r="Z405" s="18"/>
      <c r="AA405" s="19">
        <f t="shared" si="1"/>
        <v>7</v>
      </c>
      <c r="AB405" s="19" t="str">
        <f t="shared" si="2"/>
        <v/>
      </c>
      <c r="AC405" s="19"/>
    </row>
    <row r="406" ht="15.75" customHeight="1">
      <c r="A406" s="12">
        <v>45112.0</v>
      </c>
      <c r="B406" s="14" t="s">
        <v>539</v>
      </c>
      <c r="C406" s="14" t="s">
        <v>1870</v>
      </c>
      <c r="D406" s="14" t="s">
        <v>1871</v>
      </c>
      <c r="E406" s="14"/>
      <c r="F406" s="14" t="s">
        <v>4125</v>
      </c>
      <c r="G406" s="14"/>
      <c r="H406" s="14"/>
      <c r="I406" s="15" t="s">
        <v>1872</v>
      </c>
      <c r="J406" s="14"/>
      <c r="K406" s="14"/>
      <c r="L406" s="14" t="s">
        <v>1873</v>
      </c>
      <c r="M406" s="27" t="s">
        <v>48</v>
      </c>
      <c r="N406" s="14" t="s">
        <v>34</v>
      </c>
      <c r="O406" s="14" t="b">
        <v>0</v>
      </c>
      <c r="P406" s="14"/>
      <c r="Q406" s="14"/>
      <c r="R406" s="14"/>
      <c r="S406" s="14" t="s">
        <v>1874</v>
      </c>
      <c r="T406" s="14" t="s">
        <v>36</v>
      </c>
      <c r="U406" s="17"/>
      <c r="V406" s="14"/>
      <c r="W406" s="14"/>
      <c r="X406" s="18"/>
      <c r="Y406" s="18"/>
      <c r="Z406" s="18"/>
      <c r="AA406" s="19">
        <f t="shared" si="1"/>
        <v>7</v>
      </c>
      <c r="AB406" s="19" t="str">
        <f t="shared" si="2"/>
        <v/>
      </c>
      <c r="AC406" s="19"/>
    </row>
    <row r="407" ht="15.75" customHeight="1">
      <c r="A407" s="12">
        <v>45112.0</v>
      </c>
      <c r="B407" s="14" t="s">
        <v>539</v>
      </c>
      <c r="C407" s="14" t="s">
        <v>1875</v>
      </c>
      <c r="D407" s="14"/>
      <c r="E407" s="14"/>
      <c r="F407" s="14"/>
      <c r="G407" s="14"/>
      <c r="H407" s="14"/>
      <c r="I407" s="15" t="s">
        <v>1876</v>
      </c>
      <c r="J407" s="14"/>
      <c r="K407" s="14"/>
      <c r="L407" s="14"/>
      <c r="M407" s="27" t="s">
        <v>48</v>
      </c>
      <c r="N407" s="14" t="s">
        <v>565</v>
      </c>
      <c r="O407" s="14" t="b">
        <v>0</v>
      </c>
      <c r="P407" s="14"/>
      <c r="Q407" s="14"/>
      <c r="R407" s="14"/>
      <c r="S407" s="14" t="s">
        <v>1877</v>
      </c>
      <c r="T407" s="14" t="s">
        <v>4386</v>
      </c>
      <c r="U407" s="17">
        <v>45116.0</v>
      </c>
      <c r="V407" s="14"/>
      <c r="W407" s="14"/>
      <c r="X407" s="18"/>
      <c r="Y407" s="18"/>
      <c r="Z407" s="18"/>
      <c r="AA407" s="19">
        <f t="shared" si="1"/>
        <v>7</v>
      </c>
      <c r="AB407" s="19" t="str">
        <f t="shared" si="2"/>
        <v/>
      </c>
      <c r="AC407" s="19"/>
    </row>
    <row r="408" ht="15.75" customHeight="1">
      <c r="A408" s="12">
        <v>45112.0</v>
      </c>
      <c r="B408" s="14" t="s">
        <v>201</v>
      </c>
      <c r="C408" s="14" t="s">
        <v>1878</v>
      </c>
      <c r="D408" s="14" t="s">
        <v>1879</v>
      </c>
      <c r="E408" s="14"/>
      <c r="F408" s="14">
        <v>2012.0</v>
      </c>
      <c r="G408" s="14"/>
      <c r="H408" s="14"/>
      <c r="I408" s="15" t="s">
        <v>1880</v>
      </c>
      <c r="J408" s="14"/>
      <c r="K408" s="14"/>
      <c r="L408" s="14"/>
      <c r="M408" s="27" t="s">
        <v>111</v>
      </c>
      <c r="N408" s="14" t="s">
        <v>13</v>
      </c>
      <c r="O408" s="14" t="b">
        <v>1</v>
      </c>
      <c r="P408" s="61" t="s">
        <v>1881</v>
      </c>
      <c r="Q408" s="14"/>
      <c r="R408" s="14"/>
      <c r="S408" s="14" t="s">
        <v>1882</v>
      </c>
      <c r="T408" s="14" t="s">
        <v>4197</v>
      </c>
      <c r="U408" s="17">
        <v>45174.0</v>
      </c>
      <c r="V408" s="14"/>
      <c r="W408" s="14"/>
      <c r="X408" s="18"/>
      <c r="Y408" s="18"/>
      <c r="Z408" s="18"/>
      <c r="AA408" s="19">
        <f t="shared" si="1"/>
        <v>7</v>
      </c>
      <c r="AB408" s="19" t="str">
        <f t="shared" si="2"/>
        <v/>
      </c>
      <c r="AC408" s="19"/>
    </row>
    <row r="409" ht="15.75" customHeight="1">
      <c r="A409" s="12">
        <v>45112.0</v>
      </c>
      <c r="B409" s="14" t="s">
        <v>539</v>
      </c>
      <c r="C409" s="14"/>
      <c r="D409" s="14"/>
      <c r="E409" s="14"/>
      <c r="F409" s="14"/>
      <c r="G409" s="14"/>
      <c r="H409" s="14"/>
      <c r="I409" s="15" t="s">
        <v>1884</v>
      </c>
      <c r="J409" s="14"/>
      <c r="K409" s="14"/>
      <c r="L409" s="14" t="s">
        <v>1885</v>
      </c>
      <c r="M409" s="27" t="s">
        <v>111</v>
      </c>
      <c r="N409" s="14" t="s">
        <v>216</v>
      </c>
      <c r="O409" s="14" t="b">
        <v>0</v>
      </c>
      <c r="P409" s="14"/>
      <c r="Q409" s="14"/>
      <c r="R409" s="14"/>
      <c r="S409" s="14" t="s">
        <v>1886</v>
      </c>
      <c r="T409" s="14"/>
      <c r="U409" s="17"/>
      <c r="V409" s="14"/>
      <c r="W409" s="14"/>
      <c r="X409" s="18"/>
      <c r="Y409" s="18"/>
      <c r="Z409" s="18"/>
      <c r="AA409" s="19">
        <f t="shared" si="1"/>
        <v>7</v>
      </c>
      <c r="AB409" s="19" t="str">
        <f t="shared" si="2"/>
        <v/>
      </c>
      <c r="AC409" s="19"/>
    </row>
    <row r="410" ht="15.75" customHeight="1">
      <c r="A410" s="12">
        <v>45112.0</v>
      </c>
      <c r="B410" s="14" t="s">
        <v>539</v>
      </c>
      <c r="C410" s="14" t="s">
        <v>1887</v>
      </c>
      <c r="D410" s="14"/>
      <c r="E410" s="14"/>
      <c r="F410" s="14"/>
      <c r="G410" s="14"/>
      <c r="H410" s="14"/>
      <c r="I410" s="15" t="s">
        <v>1888</v>
      </c>
      <c r="J410" s="14"/>
      <c r="K410" s="14"/>
      <c r="L410" s="14" t="s">
        <v>1889</v>
      </c>
      <c r="M410" s="27" t="s">
        <v>111</v>
      </c>
      <c r="N410" s="14" t="s">
        <v>34</v>
      </c>
      <c r="O410" s="14" t="b">
        <v>0</v>
      </c>
      <c r="P410" s="14"/>
      <c r="Q410" s="14"/>
      <c r="R410" s="14"/>
      <c r="S410" s="14" t="s">
        <v>1890</v>
      </c>
      <c r="T410" s="14" t="s">
        <v>4069</v>
      </c>
      <c r="U410" s="17"/>
      <c r="V410" s="14"/>
      <c r="W410" s="14"/>
      <c r="X410" s="18"/>
      <c r="Y410" s="18"/>
      <c r="Z410" s="18"/>
      <c r="AA410" s="19">
        <f t="shared" si="1"/>
        <v>7</v>
      </c>
      <c r="AB410" s="19" t="str">
        <f t="shared" si="2"/>
        <v/>
      </c>
      <c r="AC410" s="19"/>
    </row>
    <row r="411" ht="15.75" customHeight="1">
      <c r="A411" s="12">
        <v>45112.0</v>
      </c>
      <c r="B411" s="14" t="s">
        <v>539</v>
      </c>
      <c r="C411" s="14" t="s">
        <v>1891</v>
      </c>
      <c r="D411" s="14" t="s">
        <v>4387</v>
      </c>
      <c r="E411" s="14"/>
      <c r="F411" s="14" t="s">
        <v>4377</v>
      </c>
      <c r="G411" s="14">
        <v>6.0</v>
      </c>
      <c r="H411" s="14"/>
      <c r="I411" s="15" t="s">
        <v>1893</v>
      </c>
      <c r="J411" s="14"/>
      <c r="K411" s="14"/>
      <c r="L411" s="14" t="s">
        <v>1894</v>
      </c>
      <c r="M411" s="27" t="s">
        <v>111</v>
      </c>
      <c r="N411" s="14" t="s">
        <v>13</v>
      </c>
      <c r="O411" s="14" t="b">
        <v>1</v>
      </c>
      <c r="P411" s="14" t="s">
        <v>1895</v>
      </c>
      <c r="Q411" s="14"/>
      <c r="R411" s="14"/>
      <c r="S411" s="14" t="s">
        <v>1896</v>
      </c>
      <c r="T411" s="14" t="s">
        <v>4197</v>
      </c>
      <c r="U411" s="17">
        <v>45119.0</v>
      </c>
      <c r="V411" s="14"/>
      <c r="W411" s="14"/>
      <c r="X411" s="18"/>
      <c r="Y411" s="18"/>
      <c r="Z411" s="18"/>
      <c r="AA411" s="19">
        <f t="shared" si="1"/>
        <v>7</v>
      </c>
      <c r="AB411" s="19" t="str">
        <f t="shared" si="2"/>
        <v/>
      </c>
      <c r="AC411" s="19"/>
    </row>
    <row r="412" ht="15.75" customHeight="1">
      <c r="A412" s="12">
        <v>45112.0</v>
      </c>
      <c r="B412" s="14" t="s">
        <v>539</v>
      </c>
      <c r="C412" s="14"/>
      <c r="D412" s="14"/>
      <c r="E412" s="14"/>
      <c r="F412" s="14"/>
      <c r="G412" s="14"/>
      <c r="H412" s="14"/>
      <c r="I412" s="15" t="s">
        <v>1898</v>
      </c>
      <c r="J412" s="14"/>
      <c r="K412" s="14"/>
      <c r="L412" s="14" t="s">
        <v>1796</v>
      </c>
      <c r="M412" s="27" t="s">
        <v>111</v>
      </c>
      <c r="N412" s="14" t="s">
        <v>216</v>
      </c>
      <c r="O412" s="14" t="b">
        <v>0</v>
      </c>
      <c r="P412" s="14"/>
      <c r="Q412" s="14"/>
      <c r="R412" s="14"/>
      <c r="S412" s="14" t="s">
        <v>1899</v>
      </c>
      <c r="T412" s="14"/>
      <c r="U412" s="17"/>
      <c r="V412" s="14"/>
      <c r="W412" s="14"/>
      <c r="X412" s="18"/>
      <c r="Y412" s="18"/>
      <c r="Z412" s="18"/>
      <c r="AA412" s="19">
        <f t="shared" si="1"/>
        <v>7</v>
      </c>
      <c r="AB412" s="19" t="str">
        <f t="shared" si="2"/>
        <v/>
      </c>
      <c r="AC412" s="19"/>
    </row>
    <row r="413" ht="15.75" customHeight="1">
      <c r="A413" s="12">
        <v>45112.0</v>
      </c>
      <c r="B413" s="14" t="s">
        <v>539</v>
      </c>
      <c r="C413" s="14"/>
      <c r="D413" s="14"/>
      <c r="E413" s="14"/>
      <c r="F413" s="14"/>
      <c r="G413" s="14"/>
      <c r="H413" s="14"/>
      <c r="I413" s="15" t="s">
        <v>1901</v>
      </c>
      <c r="J413" s="14"/>
      <c r="K413" s="14"/>
      <c r="L413" s="14" t="s">
        <v>1902</v>
      </c>
      <c r="M413" s="27" t="s">
        <v>111</v>
      </c>
      <c r="N413" s="14" t="s">
        <v>216</v>
      </c>
      <c r="O413" s="14" t="b">
        <v>0</v>
      </c>
      <c r="P413" s="14"/>
      <c r="Q413" s="14"/>
      <c r="R413" s="14"/>
      <c r="S413" s="14" t="s">
        <v>1903</v>
      </c>
      <c r="T413" s="14"/>
      <c r="U413" s="17"/>
      <c r="V413" s="14"/>
      <c r="W413" s="14"/>
      <c r="X413" s="18"/>
      <c r="Y413" s="18"/>
      <c r="Z413" s="18"/>
      <c r="AA413" s="19">
        <f t="shared" si="1"/>
        <v>7</v>
      </c>
      <c r="AB413" s="19" t="str">
        <f t="shared" si="2"/>
        <v/>
      </c>
      <c r="AC413" s="19"/>
    </row>
    <row r="414" ht="15.75" customHeight="1">
      <c r="A414" s="12">
        <v>45112.0</v>
      </c>
      <c r="B414" s="14" t="s">
        <v>539</v>
      </c>
      <c r="C414" s="14" t="s">
        <v>1904</v>
      </c>
      <c r="D414" s="14"/>
      <c r="E414" s="14"/>
      <c r="F414" s="14"/>
      <c r="G414" s="14"/>
      <c r="H414" s="14"/>
      <c r="I414" s="15" t="s">
        <v>1905</v>
      </c>
      <c r="J414" s="14"/>
      <c r="K414" s="14"/>
      <c r="L414" s="14" t="s">
        <v>1796</v>
      </c>
      <c r="M414" s="27" t="s">
        <v>48</v>
      </c>
      <c r="N414" s="14" t="s">
        <v>34</v>
      </c>
      <c r="O414" s="14" t="b">
        <v>0</v>
      </c>
      <c r="P414" s="14"/>
      <c r="Q414" s="14"/>
      <c r="R414" s="14"/>
      <c r="S414" s="37" t="s">
        <v>1906</v>
      </c>
      <c r="T414" s="14" t="s">
        <v>4388</v>
      </c>
      <c r="U414" s="17"/>
      <c r="V414" s="14"/>
      <c r="W414" s="14"/>
      <c r="X414" s="18"/>
      <c r="Y414" s="18"/>
      <c r="Z414" s="18"/>
      <c r="AA414" s="19">
        <f t="shared" si="1"/>
        <v>7</v>
      </c>
      <c r="AB414" s="19" t="str">
        <f t="shared" si="2"/>
        <v/>
      </c>
      <c r="AC414" s="19"/>
    </row>
    <row r="415" ht="15.75" customHeight="1">
      <c r="A415" s="12">
        <v>45112.0</v>
      </c>
      <c r="B415" s="14" t="s">
        <v>539</v>
      </c>
      <c r="C415" s="14" t="s">
        <v>1907</v>
      </c>
      <c r="D415" s="14" t="s">
        <v>1908</v>
      </c>
      <c r="E415" s="14"/>
      <c r="F415" s="14"/>
      <c r="G415" s="14"/>
      <c r="H415" s="14"/>
      <c r="I415" s="15" t="s">
        <v>1909</v>
      </c>
      <c r="J415" s="14"/>
      <c r="K415" s="14"/>
      <c r="L415" s="14" t="s">
        <v>1910</v>
      </c>
      <c r="M415" s="27" t="s">
        <v>48</v>
      </c>
      <c r="N415" s="14" t="s">
        <v>565</v>
      </c>
      <c r="O415" s="14" t="b">
        <v>0</v>
      </c>
      <c r="P415" s="14"/>
      <c r="Q415" s="14"/>
      <c r="R415" s="14"/>
      <c r="S415" s="14" t="s">
        <v>1911</v>
      </c>
      <c r="T415" s="14" t="s">
        <v>4389</v>
      </c>
      <c r="U415" s="17">
        <v>45127.0</v>
      </c>
      <c r="V415" s="14"/>
      <c r="W415" s="14"/>
      <c r="X415" s="18"/>
      <c r="Y415" s="18"/>
      <c r="Z415" s="18"/>
      <c r="AA415" s="19">
        <f t="shared" si="1"/>
        <v>7</v>
      </c>
      <c r="AB415" s="19" t="str">
        <f t="shared" si="2"/>
        <v/>
      </c>
      <c r="AC415" s="19"/>
    </row>
    <row r="416" ht="15.75" customHeight="1">
      <c r="A416" s="12">
        <v>45112.0</v>
      </c>
      <c r="B416" s="14" t="s">
        <v>539</v>
      </c>
      <c r="C416" s="14" t="s">
        <v>1912</v>
      </c>
      <c r="D416" s="14"/>
      <c r="E416" s="14"/>
      <c r="F416" s="14"/>
      <c r="G416" s="14"/>
      <c r="H416" s="14"/>
      <c r="I416" s="15" t="s">
        <v>1913</v>
      </c>
      <c r="J416" s="14"/>
      <c r="K416" s="14"/>
      <c r="L416" s="14" t="s">
        <v>1914</v>
      </c>
      <c r="M416" s="27" t="s">
        <v>48</v>
      </c>
      <c r="N416" s="14" t="s">
        <v>565</v>
      </c>
      <c r="O416" s="14" t="b">
        <v>0</v>
      </c>
      <c r="P416" s="14"/>
      <c r="Q416" s="14"/>
      <c r="R416" s="14"/>
      <c r="S416" s="14" t="s">
        <v>1915</v>
      </c>
      <c r="T416" s="14" t="s">
        <v>4345</v>
      </c>
      <c r="U416" s="17">
        <v>45115.0</v>
      </c>
      <c r="V416" s="14"/>
      <c r="W416" s="14"/>
      <c r="X416" s="18"/>
      <c r="Y416" s="18"/>
      <c r="Z416" s="18"/>
      <c r="AA416" s="19">
        <f t="shared" si="1"/>
        <v>7</v>
      </c>
      <c r="AB416" s="19" t="str">
        <f t="shared" si="2"/>
        <v/>
      </c>
      <c r="AC416" s="19"/>
    </row>
    <row r="417" ht="15.75" customHeight="1">
      <c r="A417" s="12">
        <v>45112.0</v>
      </c>
      <c r="B417" s="14" t="s">
        <v>539</v>
      </c>
      <c r="C417" s="37" t="s">
        <v>1916</v>
      </c>
      <c r="D417" s="14" t="s">
        <v>1917</v>
      </c>
      <c r="E417" s="14"/>
      <c r="F417" s="14"/>
      <c r="G417" s="14"/>
      <c r="H417" s="14"/>
      <c r="I417" s="15" t="s">
        <v>1918</v>
      </c>
      <c r="J417" s="14"/>
      <c r="K417" s="14"/>
      <c r="L417" s="14" t="s">
        <v>1796</v>
      </c>
      <c r="M417" s="27" t="s">
        <v>48</v>
      </c>
      <c r="N417" s="14" t="s">
        <v>34</v>
      </c>
      <c r="O417" s="14" t="b">
        <v>0</v>
      </c>
      <c r="P417" s="14"/>
      <c r="Q417" s="14"/>
      <c r="R417" s="14"/>
      <c r="S417" s="37" t="s">
        <v>1919</v>
      </c>
      <c r="T417" s="14" t="s">
        <v>36</v>
      </c>
      <c r="U417" s="17"/>
      <c r="V417" s="14"/>
      <c r="W417" s="14"/>
      <c r="X417" s="18"/>
      <c r="Y417" s="18"/>
      <c r="Z417" s="18"/>
      <c r="AA417" s="19">
        <f t="shared" si="1"/>
        <v>7</v>
      </c>
      <c r="AB417" s="19" t="str">
        <f t="shared" si="2"/>
        <v/>
      </c>
      <c r="AC417" s="19"/>
    </row>
    <row r="418" ht="15.75" customHeight="1">
      <c r="A418" s="12">
        <v>45076.0</v>
      </c>
      <c r="B418" s="13" t="s">
        <v>28</v>
      </c>
      <c r="C418" s="14" t="s">
        <v>1920</v>
      </c>
      <c r="D418" s="14" t="s">
        <v>4390</v>
      </c>
      <c r="E418" s="14"/>
      <c r="F418" s="14">
        <v>2017.0</v>
      </c>
      <c r="G418" s="14"/>
      <c r="H418" s="14"/>
      <c r="I418" s="15" t="s">
        <v>1922</v>
      </c>
      <c r="J418" s="14"/>
      <c r="K418" s="14"/>
      <c r="L418" s="14" t="s">
        <v>4130</v>
      </c>
      <c r="M418" s="14" t="s">
        <v>111</v>
      </c>
      <c r="N418" s="14" t="s">
        <v>13</v>
      </c>
      <c r="O418" s="14" t="b">
        <v>0</v>
      </c>
      <c r="P418" s="14" t="s">
        <v>1923</v>
      </c>
      <c r="Q418" s="14"/>
      <c r="R418" s="14"/>
      <c r="S418" s="14" t="s">
        <v>1924</v>
      </c>
      <c r="T418" s="14" t="s">
        <v>4197</v>
      </c>
      <c r="U418" s="17">
        <v>45119.0</v>
      </c>
      <c r="V418" s="14"/>
      <c r="W418" s="14"/>
      <c r="X418" s="18"/>
      <c r="Y418" s="18"/>
      <c r="Z418" s="18"/>
      <c r="AA418" s="19">
        <f t="shared" si="1"/>
        <v>5</v>
      </c>
      <c r="AB418" s="19" t="str">
        <f t="shared" si="2"/>
        <v/>
      </c>
      <c r="AC418" s="19"/>
    </row>
    <row r="419" ht="15.75" customHeight="1">
      <c r="A419" s="12">
        <v>45113.0</v>
      </c>
      <c r="B419" s="14" t="s">
        <v>539</v>
      </c>
      <c r="C419" s="14" t="s">
        <v>1925</v>
      </c>
      <c r="D419" s="14"/>
      <c r="E419" s="14"/>
      <c r="F419" s="14"/>
      <c r="G419" s="14"/>
      <c r="H419" s="14"/>
      <c r="I419" s="15" t="s">
        <v>1926</v>
      </c>
      <c r="J419" s="14"/>
      <c r="K419" s="14"/>
      <c r="L419" s="14" t="s">
        <v>1927</v>
      </c>
      <c r="M419" s="27" t="s">
        <v>111</v>
      </c>
      <c r="N419" s="14" t="s">
        <v>34</v>
      </c>
      <c r="O419" s="14" t="b">
        <v>0</v>
      </c>
      <c r="P419" s="14"/>
      <c r="Q419" s="14"/>
      <c r="R419" s="14"/>
      <c r="S419" s="14" t="s">
        <v>1928</v>
      </c>
      <c r="T419" s="14" t="s">
        <v>4069</v>
      </c>
      <c r="U419" s="17"/>
      <c r="V419" s="14"/>
      <c r="W419" s="14"/>
      <c r="X419" s="18"/>
      <c r="Y419" s="18"/>
      <c r="Z419" s="18"/>
      <c r="AA419" s="19">
        <f t="shared" si="1"/>
        <v>7</v>
      </c>
      <c r="AB419" s="19" t="str">
        <f t="shared" si="2"/>
        <v/>
      </c>
      <c r="AC419" s="19"/>
    </row>
    <row r="420" ht="15.75" customHeight="1">
      <c r="A420" s="12">
        <v>45113.0</v>
      </c>
      <c r="B420" s="14" t="s">
        <v>539</v>
      </c>
      <c r="C420" s="14"/>
      <c r="D420" s="14"/>
      <c r="E420" s="14"/>
      <c r="F420" s="14"/>
      <c r="G420" s="14"/>
      <c r="H420" s="14"/>
      <c r="I420" s="15" t="s">
        <v>1930</v>
      </c>
      <c r="J420" s="14"/>
      <c r="K420" s="14"/>
      <c r="L420" s="14"/>
      <c r="M420" s="27" t="s">
        <v>111</v>
      </c>
      <c r="N420" s="14" t="s">
        <v>34</v>
      </c>
      <c r="O420" s="14" t="b">
        <v>0</v>
      </c>
      <c r="P420" s="14"/>
      <c r="Q420" s="14"/>
      <c r="R420" s="14"/>
      <c r="S420" s="14" t="s">
        <v>1931</v>
      </c>
      <c r="T420" s="14" t="s">
        <v>4069</v>
      </c>
      <c r="U420" s="17"/>
      <c r="V420" s="14"/>
      <c r="W420" s="14"/>
      <c r="X420" s="18"/>
      <c r="Y420" s="18"/>
      <c r="Z420" s="18"/>
      <c r="AA420" s="19">
        <f t="shared" si="1"/>
        <v>7</v>
      </c>
      <c r="AB420" s="19" t="str">
        <f t="shared" si="2"/>
        <v/>
      </c>
      <c r="AC420" s="19"/>
    </row>
    <row r="421" ht="15.75" customHeight="1">
      <c r="A421" s="12">
        <v>45113.0</v>
      </c>
      <c r="B421" s="14" t="s">
        <v>539</v>
      </c>
      <c r="C421" s="14"/>
      <c r="D421" s="14"/>
      <c r="E421" s="14"/>
      <c r="F421" s="14"/>
      <c r="G421" s="14"/>
      <c r="H421" s="14"/>
      <c r="I421" s="15" t="s">
        <v>1933</v>
      </c>
      <c r="J421" s="14"/>
      <c r="K421" s="14"/>
      <c r="L421" s="14" t="s">
        <v>1934</v>
      </c>
      <c r="M421" s="27" t="s">
        <v>111</v>
      </c>
      <c r="N421" s="14" t="s">
        <v>34</v>
      </c>
      <c r="O421" s="14" t="b">
        <v>0</v>
      </c>
      <c r="P421" s="14"/>
      <c r="Q421" s="14"/>
      <c r="R421" s="14"/>
      <c r="S421" s="14" t="s">
        <v>1931</v>
      </c>
      <c r="T421" s="14"/>
      <c r="U421" s="17"/>
      <c r="V421" s="14"/>
      <c r="W421" s="14"/>
      <c r="X421" s="18"/>
      <c r="Y421" s="18"/>
      <c r="Z421" s="18"/>
      <c r="AA421" s="19">
        <f t="shared" si="1"/>
        <v>7</v>
      </c>
      <c r="AB421" s="19" t="str">
        <f t="shared" si="2"/>
        <v/>
      </c>
      <c r="AC421" s="19"/>
    </row>
    <row r="422" ht="15.75" customHeight="1">
      <c r="A422" s="12">
        <v>45113.0</v>
      </c>
      <c r="B422" s="14" t="s">
        <v>539</v>
      </c>
      <c r="C422" s="14" t="s">
        <v>1935</v>
      </c>
      <c r="D422" s="14" t="s">
        <v>1936</v>
      </c>
      <c r="E422" s="14"/>
      <c r="F422" s="14" t="s">
        <v>4382</v>
      </c>
      <c r="G422" s="14"/>
      <c r="H422" s="14"/>
      <c r="I422" s="15" t="s">
        <v>1937</v>
      </c>
      <c r="J422" s="14"/>
      <c r="K422" s="14"/>
      <c r="L422" s="14" t="s">
        <v>1796</v>
      </c>
      <c r="M422" s="27" t="s">
        <v>111</v>
      </c>
      <c r="N422" s="14" t="s">
        <v>34</v>
      </c>
      <c r="O422" s="14" t="b">
        <v>0</v>
      </c>
      <c r="P422" s="14"/>
      <c r="Q422" s="14"/>
      <c r="R422" s="14"/>
      <c r="S422" s="14" t="s">
        <v>1938</v>
      </c>
      <c r="T422" s="14" t="s">
        <v>4069</v>
      </c>
      <c r="U422" s="17"/>
      <c r="V422" s="14"/>
      <c r="W422" s="14"/>
      <c r="X422" s="18"/>
      <c r="Y422" s="18"/>
      <c r="Z422" s="18"/>
      <c r="AA422" s="19">
        <f t="shared" si="1"/>
        <v>7</v>
      </c>
      <c r="AB422" s="19" t="str">
        <f t="shared" si="2"/>
        <v/>
      </c>
      <c r="AC422" s="19"/>
    </row>
    <row r="423" ht="15.75" customHeight="1">
      <c r="A423" s="12">
        <v>45113.0</v>
      </c>
      <c r="B423" s="14" t="s">
        <v>539</v>
      </c>
      <c r="C423" s="14" t="s">
        <v>1939</v>
      </c>
      <c r="D423" s="14" t="s">
        <v>1940</v>
      </c>
      <c r="E423" s="14"/>
      <c r="F423" s="14" t="s">
        <v>4382</v>
      </c>
      <c r="G423" s="14"/>
      <c r="H423" s="14"/>
      <c r="I423" s="15" t="s">
        <v>1941</v>
      </c>
      <c r="J423" s="14"/>
      <c r="K423" s="14"/>
      <c r="L423" s="14" t="s">
        <v>1796</v>
      </c>
      <c r="M423" s="27" t="s">
        <v>111</v>
      </c>
      <c r="N423" s="14" t="s">
        <v>13</v>
      </c>
      <c r="O423" s="14" t="b">
        <v>0</v>
      </c>
      <c r="P423" s="14" t="s">
        <v>1942</v>
      </c>
      <c r="Q423" s="14"/>
      <c r="R423" s="14"/>
      <c r="S423" s="14" t="s">
        <v>1943</v>
      </c>
      <c r="T423" s="14"/>
      <c r="U423" s="17"/>
      <c r="V423" s="14"/>
      <c r="W423" s="14"/>
      <c r="X423" s="18"/>
      <c r="Y423" s="18"/>
      <c r="Z423" s="18"/>
      <c r="AA423" s="19">
        <f t="shared" si="1"/>
        <v>7</v>
      </c>
      <c r="AB423" s="19" t="str">
        <f t="shared" si="2"/>
        <v/>
      </c>
      <c r="AC423" s="19"/>
    </row>
    <row r="424" ht="15.75" customHeight="1">
      <c r="A424" s="12">
        <v>45113.0</v>
      </c>
      <c r="B424" s="14" t="s">
        <v>539</v>
      </c>
      <c r="C424" s="14"/>
      <c r="D424" s="14"/>
      <c r="E424" s="14"/>
      <c r="F424" s="14"/>
      <c r="G424" s="14"/>
      <c r="H424" s="14"/>
      <c r="I424" s="15" t="s">
        <v>1945</v>
      </c>
      <c r="J424" s="14"/>
      <c r="K424" s="14"/>
      <c r="L424" s="14" t="s">
        <v>1796</v>
      </c>
      <c r="M424" s="27" t="s">
        <v>111</v>
      </c>
      <c r="N424" s="14" t="s">
        <v>216</v>
      </c>
      <c r="O424" s="14" t="b">
        <v>0</v>
      </c>
      <c r="P424" s="14"/>
      <c r="Q424" s="14"/>
      <c r="R424" s="14"/>
      <c r="S424" s="14" t="s">
        <v>1946</v>
      </c>
      <c r="T424" s="14" t="s">
        <v>4096</v>
      </c>
      <c r="U424" s="17"/>
      <c r="V424" s="14"/>
      <c r="W424" s="14"/>
      <c r="X424" s="18"/>
      <c r="Y424" s="18"/>
      <c r="Z424" s="18"/>
      <c r="AA424" s="19">
        <f t="shared" si="1"/>
        <v>7</v>
      </c>
      <c r="AB424" s="19" t="str">
        <f t="shared" si="2"/>
        <v/>
      </c>
      <c r="AC424" s="19"/>
    </row>
    <row r="425" ht="15.75" customHeight="1">
      <c r="A425" s="12">
        <v>45113.0</v>
      </c>
      <c r="B425" s="14" t="s">
        <v>539</v>
      </c>
      <c r="C425" s="14"/>
      <c r="D425" s="14"/>
      <c r="E425" s="14"/>
      <c r="F425" s="14"/>
      <c r="G425" s="14"/>
      <c r="H425" s="14"/>
      <c r="I425" s="15" t="s">
        <v>1948</v>
      </c>
      <c r="J425" s="14"/>
      <c r="K425" s="14"/>
      <c r="L425" s="14" t="s">
        <v>1796</v>
      </c>
      <c r="M425" s="27" t="s">
        <v>111</v>
      </c>
      <c r="N425" s="14" t="s">
        <v>216</v>
      </c>
      <c r="O425" s="14" t="b">
        <v>0</v>
      </c>
      <c r="P425" s="14"/>
      <c r="Q425" s="14"/>
      <c r="R425" s="14"/>
      <c r="S425" s="14" t="s">
        <v>1946</v>
      </c>
      <c r="T425" s="14" t="s">
        <v>4096</v>
      </c>
      <c r="U425" s="17"/>
      <c r="V425" s="14"/>
      <c r="W425" s="14"/>
      <c r="X425" s="18"/>
      <c r="Y425" s="18"/>
      <c r="Z425" s="18"/>
      <c r="AA425" s="19">
        <f t="shared" si="1"/>
        <v>7</v>
      </c>
      <c r="AB425" s="19" t="str">
        <f t="shared" si="2"/>
        <v/>
      </c>
      <c r="AC425" s="19"/>
    </row>
    <row r="426" ht="15.75" customHeight="1">
      <c r="A426" s="12">
        <v>45113.0</v>
      </c>
      <c r="B426" s="14" t="s">
        <v>539</v>
      </c>
      <c r="C426" s="14" t="s">
        <v>1949</v>
      </c>
      <c r="D426" s="14"/>
      <c r="E426" s="14"/>
      <c r="F426" s="14"/>
      <c r="G426" s="14"/>
      <c r="H426" s="14"/>
      <c r="I426" s="15" t="s">
        <v>1950</v>
      </c>
      <c r="J426" s="14"/>
      <c r="K426" s="14"/>
      <c r="L426" s="14" t="s">
        <v>1832</v>
      </c>
      <c r="M426" s="27" t="s">
        <v>48</v>
      </c>
      <c r="N426" s="14" t="s">
        <v>1484</v>
      </c>
      <c r="O426" s="14" t="b">
        <v>0</v>
      </c>
      <c r="P426" s="14"/>
      <c r="Q426" s="14"/>
      <c r="R426" s="14"/>
      <c r="S426" s="14" t="s">
        <v>1951</v>
      </c>
      <c r="T426" s="14"/>
      <c r="U426" s="17">
        <v>45115.0</v>
      </c>
      <c r="V426" s="14"/>
      <c r="W426" s="14"/>
      <c r="X426" s="18"/>
      <c r="Y426" s="18"/>
      <c r="Z426" s="18"/>
      <c r="AA426" s="19">
        <f t="shared" si="1"/>
        <v>7</v>
      </c>
      <c r="AB426" s="19" t="str">
        <f t="shared" si="2"/>
        <v/>
      </c>
      <c r="AC426" s="19"/>
    </row>
    <row r="427" ht="15.75" customHeight="1">
      <c r="A427" s="12">
        <v>45113.0</v>
      </c>
      <c r="B427" s="14" t="s">
        <v>539</v>
      </c>
      <c r="C427" s="14" t="s">
        <v>1952</v>
      </c>
      <c r="D427" s="14" t="s">
        <v>1953</v>
      </c>
      <c r="E427" s="14"/>
      <c r="F427" s="14"/>
      <c r="G427" s="14"/>
      <c r="H427" s="14"/>
      <c r="I427" s="15" t="s">
        <v>1954</v>
      </c>
      <c r="J427" s="14"/>
      <c r="K427" s="14"/>
      <c r="L427" s="14"/>
      <c r="M427" s="27" t="s">
        <v>48</v>
      </c>
      <c r="N427" s="14" t="s">
        <v>565</v>
      </c>
      <c r="O427" s="14" t="b">
        <v>0</v>
      </c>
      <c r="P427" s="14"/>
      <c r="Q427" s="14"/>
      <c r="R427" s="14"/>
      <c r="S427" s="14" t="s">
        <v>1955</v>
      </c>
      <c r="T427" s="14" t="s">
        <v>4391</v>
      </c>
      <c r="U427" s="17">
        <v>45117.0</v>
      </c>
      <c r="V427" s="14"/>
      <c r="W427" s="14"/>
      <c r="X427" s="18"/>
      <c r="Y427" s="18"/>
      <c r="Z427" s="18"/>
      <c r="AA427" s="19">
        <f t="shared" si="1"/>
        <v>7</v>
      </c>
      <c r="AB427" s="19" t="str">
        <f t="shared" si="2"/>
        <v/>
      </c>
      <c r="AC427" s="19"/>
    </row>
    <row r="428" ht="15.75" customHeight="1">
      <c r="A428" s="12">
        <v>45113.0</v>
      </c>
      <c r="B428" s="14" t="s">
        <v>539</v>
      </c>
      <c r="C428" s="14" t="s">
        <v>1956</v>
      </c>
      <c r="D428" s="14"/>
      <c r="E428" s="14"/>
      <c r="F428" s="14"/>
      <c r="G428" s="14"/>
      <c r="H428" s="14"/>
      <c r="I428" s="15" t="s">
        <v>1957</v>
      </c>
      <c r="J428" s="14"/>
      <c r="K428" s="14"/>
      <c r="L428" s="14" t="s">
        <v>1796</v>
      </c>
      <c r="M428" s="27" t="s">
        <v>48</v>
      </c>
      <c r="N428" s="14" t="s">
        <v>34</v>
      </c>
      <c r="O428" s="14" t="b">
        <v>0</v>
      </c>
      <c r="P428" s="14"/>
      <c r="Q428" s="14"/>
      <c r="R428" s="14"/>
      <c r="S428" s="14" t="s">
        <v>1958</v>
      </c>
      <c r="T428" s="14" t="s">
        <v>36</v>
      </c>
      <c r="U428" s="17"/>
      <c r="V428" s="14"/>
      <c r="W428" s="14"/>
      <c r="X428" s="18"/>
      <c r="Y428" s="18"/>
      <c r="Z428" s="18"/>
      <c r="AA428" s="19">
        <f t="shared" si="1"/>
        <v>7</v>
      </c>
      <c r="AB428" s="19" t="str">
        <f t="shared" si="2"/>
        <v/>
      </c>
      <c r="AC428" s="19"/>
    </row>
    <row r="429" ht="15.75" customHeight="1">
      <c r="A429" s="12">
        <v>45113.0</v>
      </c>
      <c r="B429" s="14" t="s">
        <v>539</v>
      </c>
      <c r="C429" s="14" t="s">
        <v>1959</v>
      </c>
      <c r="D429" s="14"/>
      <c r="E429" s="14"/>
      <c r="F429" s="14"/>
      <c r="G429" s="14"/>
      <c r="H429" s="14"/>
      <c r="I429" s="15" t="s">
        <v>1960</v>
      </c>
      <c r="J429" s="14"/>
      <c r="K429" s="14"/>
      <c r="L429" s="14" t="s">
        <v>1796</v>
      </c>
      <c r="M429" s="27" t="s">
        <v>48</v>
      </c>
      <c r="N429" s="14" t="s">
        <v>565</v>
      </c>
      <c r="O429" s="14" t="b">
        <v>0</v>
      </c>
      <c r="P429" s="14"/>
      <c r="Q429" s="14"/>
      <c r="R429" s="14"/>
      <c r="S429" s="14" t="s">
        <v>1961</v>
      </c>
      <c r="T429" s="14" t="s">
        <v>36</v>
      </c>
      <c r="U429" s="17"/>
      <c r="V429" s="14"/>
      <c r="W429" s="14"/>
      <c r="X429" s="18"/>
      <c r="Y429" s="18"/>
      <c r="Z429" s="18"/>
      <c r="AA429" s="19">
        <f t="shared" si="1"/>
        <v>7</v>
      </c>
      <c r="AB429" s="19" t="str">
        <f t="shared" si="2"/>
        <v/>
      </c>
      <c r="AC429" s="19"/>
    </row>
    <row r="430" ht="15.75" customHeight="1">
      <c r="A430" s="12">
        <v>45113.0</v>
      </c>
      <c r="B430" s="14" t="s">
        <v>539</v>
      </c>
      <c r="C430" s="14" t="s">
        <v>1962</v>
      </c>
      <c r="D430" s="14" t="s">
        <v>1963</v>
      </c>
      <c r="E430" s="14"/>
      <c r="F430" s="14"/>
      <c r="G430" s="14"/>
      <c r="H430" s="14"/>
      <c r="I430" s="15" t="s">
        <v>1964</v>
      </c>
      <c r="J430" s="14"/>
      <c r="K430" s="14"/>
      <c r="L430" s="14" t="s">
        <v>1796</v>
      </c>
      <c r="M430" s="27" t="s">
        <v>48</v>
      </c>
      <c r="N430" s="14" t="s">
        <v>158</v>
      </c>
      <c r="O430" s="14" t="b">
        <v>0</v>
      </c>
      <c r="P430" s="14"/>
      <c r="Q430" s="14"/>
      <c r="R430" s="14"/>
      <c r="S430" s="14" t="s">
        <v>1965</v>
      </c>
      <c r="T430" s="14" t="s">
        <v>4392</v>
      </c>
      <c r="U430" s="17">
        <v>45127.0</v>
      </c>
      <c r="V430" s="14"/>
      <c r="W430" s="14"/>
      <c r="X430" s="18"/>
      <c r="Y430" s="18"/>
      <c r="Z430" s="18"/>
      <c r="AA430" s="19">
        <f t="shared" si="1"/>
        <v>7</v>
      </c>
      <c r="AB430" s="19" t="str">
        <f t="shared" si="2"/>
        <v/>
      </c>
      <c r="AC430" s="19"/>
    </row>
    <row r="431" ht="15.75" customHeight="1">
      <c r="A431" s="12">
        <v>45113.0</v>
      </c>
      <c r="B431" s="14" t="s">
        <v>539</v>
      </c>
      <c r="C431" s="14"/>
      <c r="D431" s="14" t="s">
        <v>1966</v>
      </c>
      <c r="E431" s="14"/>
      <c r="F431" s="14"/>
      <c r="G431" s="14"/>
      <c r="H431" s="14"/>
      <c r="I431" s="15" t="s">
        <v>1967</v>
      </c>
      <c r="J431" s="14"/>
      <c r="K431" s="14"/>
      <c r="L431" s="14" t="s">
        <v>1968</v>
      </c>
      <c r="M431" s="27" t="s">
        <v>48</v>
      </c>
      <c r="N431" s="14" t="s">
        <v>34</v>
      </c>
      <c r="O431" s="14" t="b">
        <v>0</v>
      </c>
      <c r="P431" s="14"/>
      <c r="Q431" s="14"/>
      <c r="R431" s="14"/>
      <c r="S431" s="14" t="s">
        <v>1969</v>
      </c>
      <c r="T431" s="14" t="s">
        <v>36</v>
      </c>
      <c r="U431" s="17"/>
      <c r="V431" s="14"/>
      <c r="W431" s="14"/>
      <c r="X431" s="18"/>
      <c r="Y431" s="18"/>
      <c r="Z431" s="18"/>
      <c r="AA431" s="19">
        <f t="shared" si="1"/>
        <v>7</v>
      </c>
      <c r="AB431" s="19" t="str">
        <f t="shared" si="2"/>
        <v/>
      </c>
      <c r="AC431" s="19"/>
    </row>
    <row r="432" ht="15.75" customHeight="1">
      <c r="A432" s="12">
        <v>45113.0</v>
      </c>
      <c r="B432" s="14" t="s">
        <v>539</v>
      </c>
      <c r="C432" s="14" t="s">
        <v>1970</v>
      </c>
      <c r="D432" s="14" t="s">
        <v>1971</v>
      </c>
      <c r="E432" s="14"/>
      <c r="F432" s="14"/>
      <c r="G432" s="14"/>
      <c r="H432" s="14"/>
      <c r="I432" s="15" t="s">
        <v>1972</v>
      </c>
      <c r="J432" s="14"/>
      <c r="K432" s="14"/>
      <c r="L432" s="14" t="s">
        <v>1973</v>
      </c>
      <c r="M432" s="27" t="s">
        <v>48</v>
      </c>
      <c r="N432" s="14" t="s">
        <v>216</v>
      </c>
      <c r="O432" s="14" t="b">
        <v>0</v>
      </c>
      <c r="P432" s="14"/>
      <c r="Q432" s="14"/>
      <c r="R432" s="14"/>
      <c r="S432" s="14" t="s">
        <v>1974</v>
      </c>
      <c r="T432" s="14"/>
      <c r="U432" s="17"/>
      <c r="V432" s="14"/>
      <c r="W432" s="14"/>
      <c r="X432" s="18"/>
      <c r="Y432" s="18"/>
      <c r="Z432" s="18"/>
      <c r="AA432" s="19">
        <f t="shared" si="1"/>
        <v>7</v>
      </c>
      <c r="AB432" s="19" t="str">
        <f t="shared" si="2"/>
        <v/>
      </c>
      <c r="AC432" s="19"/>
    </row>
    <row r="433" ht="15.75" customHeight="1">
      <c r="A433" s="12">
        <v>45113.0</v>
      </c>
      <c r="B433" s="13" t="s">
        <v>28</v>
      </c>
      <c r="C433" s="14" t="s">
        <v>1975</v>
      </c>
      <c r="D433" s="14"/>
      <c r="E433" s="14"/>
      <c r="F433" s="14"/>
      <c r="G433" s="14"/>
      <c r="H433" s="14"/>
      <c r="I433" s="60" t="s">
        <v>1976</v>
      </c>
      <c r="J433" s="14"/>
      <c r="K433" s="14"/>
      <c r="L433" s="14"/>
      <c r="M433" s="14" t="s">
        <v>48</v>
      </c>
      <c r="N433" s="14" t="s">
        <v>565</v>
      </c>
      <c r="O433" s="14" t="b">
        <v>0</v>
      </c>
      <c r="P433" s="14"/>
      <c r="Q433" s="14"/>
      <c r="R433" s="14"/>
      <c r="S433" s="250" t="s">
        <v>1955</v>
      </c>
      <c r="T433" s="14"/>
      <c r="U433" s="17"/>
      <c r="V433" s="14"/>
      <c r="W433" s="14"/>
      <c r="X433" s="18"/>
      <c r="Y433" s="18"/>
      <c r="Z433" s="18"/>
      <c r="AA433" s="19">
        <f t="shared" si="1"/>
        <v>7</v>
      </c>
      <c r="AB433" s="19" t="str">
        <f t="shared" si="2"/>
        <v/>
      </c>
      <c r="AC433" s="19"/>
    </row>
    <row r="434" ht="15.75" customHeight="1">
      <c r="A434" s="12">
        <v>45066.0</v>
      </c>
      <c r="B434" s="13" t="s">
        <v>28</v>
      </c>
      <c r="C434" s="14" t="s">
        <v>1977</v>
      </c>
      <c r="D434" s="14" t="s">
        <v>4393</v>
      </c>
      <c r="E434" s="14" t="s">
        <v>4394</v>
      </c>
      <c r="F434" s="14" t="s">
        <v>1244</v>
      </c>
      <c r="G434" s="14"/>
      <c r="H434" s="14"/>
      <c r="I434" s="60" t="s">
        <v>1978</v>
      </c>
      <c r="J434" s="14"/>
      <c r="K434" s="14"/>
      <c r="L434" s="14" t="s">
        <v>4395</v>
      </c>
      <c r="M434" s="14" t="s">
        <v>111</v>
      </c>
      <c r="N434" s="14" t="s">
        <v>13</v>
      </c>
      <c r="O434" s="14" t="b">
        <v>1</v>
      </c>
      <c r="P434" s="14" t="s">
        <v>4396</v>
      </c>
      <c r="Q434" s="14"/>
      <c r="R434" s="14"/>
      <c r="S434" s="297" t="s">
        <v>1981</v>
      </c>
      <c r="T434" s="14" t="s">
        <v>4397</v>
      </c>
      <c r="U434" s="17">
        <v>45124.0</v>
      </c>
      <c r="V434" s="14"/>
      <c r="W434" s="14"/>
      <c r="X434" s="18"/>
      <c r="Y434" s="18"/>
      <c r="Z434" s="18"/>
      <c r="AA434" s="19">
        <f t="shared" si="1"/>
        <v>5</v>
      </c>
      <c r="AB434" s="19" t="str">
        <f t="shared" si="2"/>
        <v/>
      </c>
      <c r="AC434" s="19"/>
    </row>
    <row r="435" ht="15.75" customHeight="1">
      <c r="A435" s="12">
        <v>45093.0</v>
      </c>
      <c r="B435" s="14" t="s">
        <v>84</v>
      </c>
      <c r="C435" s="14" t="s">
        <v>1982</v>
      </c>
      <c r="D435" s="14" t="s">
        <v>1983</v>
      </c>
      <c r="E435" s="14"/>
      <c r="F435" s="14" t="s">
        <v>625</v>
      </c>
      <c r="G435" s="14"/>
      <c r="H435" s="14"/>
      <c r="I435" s="15" t="s">
        <v>1984</v>
      </c>
      <c r="J435" s="14"/>
      <c r="K435" s="14"/>
      <c r="L435" s="14" t="s">
        <v>1985</v>
      </c>
      <c r="M435" s="14" t="s">
        <v>111</v>
      </c>
      <c r="N435" s="14" t="s">
        <v>13</v>
      </c>
      <c r="O435" s="14" t="b">
        <v>1</v>
      </c>
      <c r="P435" s="14" t="s">
        <v>4398</v>
      </c>
      <c r="Q435" s="14"/>
      <c r="R435" s="14"/>
      <c r="S435" s="14" t="s">
        <v>1987</v>
      </c>
      <c r="T435" s="14" t="s">
        <v>4399</v>
      </c>
      <c r="U435" s="17">
        <v>45169.0</v>
      </c>
      <c r="V435" s="14"/>
      <c r="W435" s="14"/>
      <c r="X435" s="18"/>
      <c r="Y435" s="18"/>
      <c r="Z435" s="18"/>
      <c r="AA435" s="19">
        <f t="shared" si="1"/>
        <v>6</v>
      </c>
      <c r="AB435" s="19" t="str">
        <f t="shared" si="2"/>
        <v/>
      </c>
      <c r="AC435" s="19"/>
    </row>
    <row r="436" ht="15.75" customHeight="1">
      <c r="A436" s="12">
        <v>45113.0</v>
      </c>
      <c r="B436" s="13" t="s">
        <v>28</v>
      </c>
      <c r="C436" s="14" t="s">
        <v>1988</v>
      </c>
      <c r="D436" s="14" t="s">
        <v>1989</v>
      </c>
      <c r="E436" s="14"/>
      <c r="F436" s="14" t="s">
        <v>480</v>
      </c>
      <c r="G436" s="14"/>
      <c r="H436" s="14"/>
      <c r="I436" s="298" t="s">
        <v>1990</v>
      </c>
      <c r="J436" s="14"/>
      <c r="K436" s="14"/>
      <c r="L436" s="14" t="s">
        <v>1991</v>
      </c>
      <c r="M436" s="14" t="s">
        <v>111</v>
      </c>
      <c r="N436" s="14" t="s">
        <v>565</v>
      </c>
      <c r="O436" s="14" t="b">
        <v>0</v>
      </c>
      <c r="P436" s="14"/>
      <c r="Q436" s="14"/>
      <c r="R436" s="14"/>
      <c r="S436" s="14" t="s">
        <v>1992</v>
      </c>
      <c r="T436" s="14"/>
      <c r="U436" s="17"/>
      <c r="V436" s="14"/>
      <c r="W436" s="14"/>
      <c r="X436" s="18"/>
      <c r="Y436" s="18"/>
      <c r="Z436" s="18"/>
      <c r="AA436" s="19">
        <f t="shared" si="1"/>
        <v>7</v>
      </c>
      <c r="AB436" s="19" t="str">
        <f t="shared" si="2"/>
        <v/>
      </c>
      <c r="AC436" s="19"/>
    </row>
    <row r="437" ht="15.75" customHeight="1">
      <c r="A437" s="12">
        <v>45113.0</v>
      </c>
      <c r="B437" s="13" t="s">
        <v>28</v>
      </c>
      <c r="C437" s="14" t="s">
        <v>1993</v>
      </c>
      <c r="D437" s="14"/>
      <c r="E437" s="14"/>
      <c r="F437" s="14">
        <v>2014.0</v>
      </c>
      <c r="G437" s="14">
        <v>4.0</v>
      </c>
      <c r="H437" s="14"/>
      <c r="I437" s="15" t="s">
        <v>1994</v>
      </c>
      <c r="J437" s="14"/>
      <c r="K437" s="14"/>
      <c r="L437" s="14" t="s">
        <v>289</v>
      </c>
      <c r="M437" s="14" t="s">
        <v>48</v>
      </c>
      <c r="N437" s="14" t="s">
        <v>565</v>
      </c>
      <c r="O437" s="14" t="b">
        <v>0</v>
      </c>
      <c r="P437" s="14"/>
      <c r="Q437" s="14"/>
      <c r="R437" s="14"/>
      <c r="S437" s="14" t="s">
        <v>1995</v>
      </c>
      <c r="T437" s="14"/>
      <c r="U437" s="17">
        <v>45122.0</v>
      </c>
      <c r="V437" s="14"/>
      <c r="W437" s="14"/>
      <c r="X437" s="18"/>
      <c r="Y437" s="18"/>
      <c r="Z437" s="18"/>
      <c r="AA437" s="19">
        <f t="shared" si="1"/>
        <v>7</v>
      </c>
      <c r="AB437" s="19" t="str">
        <f t="shared" si="2"/>
        <v/>
      </c>
      <c r="AC437" s="19"/>
    </row>
    <row r="438" ht="15.75" customHeight="1">
      <c r="A438" s="12">
        <v>45114.0</v>
      </c>
      <c r="B438" s="14" t="s">
        <v>1996</v>
      </c>
      <c r="C438" s="14"/>
      <c r="D438" s="14" t="s">
        <v>1284</v>
      </c>
      <c r="E438" s="14"/>
      <c r="F438" s="14" t="s">
        <v>4125</v>
      </c>
      <c r="G438" s="14"/>
      <c r="H438" s="14"/>
      <c r="I438" s="15" t="s">
        <v>1997</v>
      </c>
      <c r="J438" s="14"/>
      <c r="K438" s="14"/>
      <c r="L438" s="14"/>
      <c r="M438" s="14" t="s">
        <v>48</v>
      </c>
      <c r="N438" s="14" t="s">
        <v>565</v>
      </c>
      <c r="O438" s="14" t="b">
        <v>0</v>
      </c>
      <c r="P438" s="14"/>
      <c r="Q438" s="14"/>
      <c r="R438" s="14"/>
      <c r="S438" s="14" t="s">
        <v>1998</v>
      </c>
      <c r="T438" s="14"/>
      <c r="U438" s="17">
        <v>45122.0</v>
      </c>
      <c r="V438" s="14"/>
      <c r="W438" s="14"/>
      <c r="X438" s="18"/>
      <c r="Y438" s="18"/>
      <c r="Z438" s="18"/>
      <c r="AA438" s="19">
        <f t="shared" si="1"/>
        <v>7</v>
      </c>
      <c r="AB438" s="19" t="str">
        <f t="shared" si="2"/>
        <v/>
      </c>
      <c r="AC438" s="19"/>
    </row>
    <row r="439" ht="15.75" customHeight="1">
      <c r="A439" s="147">
        <v>45114.0</v>
      </c>
      <c r="B439" s="13" t="s">
        <v>28</v>
      </c>
      <c r="C439" s="58" t="s">
        <v>1999</v>
      </c>
      <c r="D439" s="58" t="s">
        <v>2000</v>
      </c>
      <c r="E439" s="58" t="s">
        <v>4400</v>
      </c>
      <c r="F439" s="145">
        <v>42758.0</v>
      </c>
      <c r="G439" s="58" t="s">
        <v>419</v>
      </c>
      <c r="H439" s="58"/>
      <c r="I439" s="148" t="s">
        <v>2001</v>
      </c>
      <c r="J439" s="58"/>
      <c r="K439" s="58"/>
      <c r="L439" s="58" t="s">
        <v>2002</v>
      </c>
      <c r="M439" s="58" t="s">
        <v>48</v>
      </c>
      <c r="N439" s="58" t="s">
        <v>67</v>
      </c>
      <c r="O439" s="14" t="b">
        <v>1</v>
      </c>
      <c r="P439" s="58" t="s">
        <v>2003</v>
      </c>
      <c r="Q439" s="58"/>
      <c r="R439" s="58"/>
      <c r="S439" s="58" t="s">
        <v>2004</v>
      </c>
      <c r="T439" s="58"/>
      <c r="U439" s="145"/>
      <c r="V439" s="145">
        <v>45117.0</v>
      </c>
      <c r="W439" s="58" t="s">
        <v>4401</v>
      </c>
      <c r="X439" s="146">
        <v>8750000.0</v>
      </c>
      <c r="Y439" s="146">
        <f>X439-Z439</f>
        <v>800000</v>
      </c>
      <c r="Z439" s="146">
        <v>7950000.0</v>
      </c>
      <c r="AA439" s="19">
        <f t="shared" si="1"/>
        <v>7</v>
      </c>
      <c r="AB439" s="19">
        <f t="shared" si="2"/>
        <v>7</v>
      </c>
      <c r="AC439" s="19"/>
    </row>
    <row r="440" ht="15.75" customHeight="1">
      <c r="A440" s="12">
        <v>45095.0</v>
      </c>
      <c r="B440" s="13" t="s">
        <v>28</v>
      </c>
      <c r="C440" s="14" t="s">
        <v>2005</v>
      </c>
      <c r="D440" s="14" t="s">
        <v>2006</v>
      </c>
      <c r="E440" s="14"/>
      <c r="F440" s="14"/>
      <c r="G440" s="14" t="s">
        <v>115</v>
      </c>
      <c r="H440" s="14"/>
      <c r="I440" s="42" t="s">
        <v>2007</v>
      </c>
      <c r="J440" s="14"/>
      <c r="K440" s="14"/>
      <c r="L440" s="14" t="s">
        <v>4402</v>
      </c>
      <c r="M440" s="14" t="s">
        <v>111</v>
      </c>
      <c r="N440" s="14" t="s">
        <v>34</v>
      </c>
      <c r="O440" s="14" t="b">
        <v>0</v>
      </c>
      <c r="P440" s="14"/>
      <c r="Q440" s="14"/>
      <c r="R440" s="14"/>
      <c r="S440" s="14" t="s">
        <v>2009</v>
      </c>
      <c r="T440" s="14" t="s">
        <v>4403</v>
      </c>
      <c r="U440" s="17"/>
      <c r="V440" s="14"/>
      <c r="W440" s="14"/>
      <c r="X440" s="18"/>
      <c r="Y440" s="18"/>
      <c r="Z440" s="18"/>
      <c r="AA440" s="19">
        <f t="shared" si="1"/>
        <v>6</v>
      </c>
      <c r="AB440" s="19" t="str">
        <f t="shared" si="2"/>
        <v/>
      </c>
      <c r="AC440" s="19"/>
    </row>
    <row r="441" ht="15.75" customHeight="1">
      <c r="A441" s="26">
        <v>45114.0</v>
      </c>
      <c r="B441" s="13" t="s">
        <v>28</v>
      </c>
      <c r="C441" s="27" t="s">
        <v>2010</v>
      </c>
      <c r="D441" s="27" t="s">
        <v>2011</v>
      </c>
      <c r="E441" s="27"/>
      <c r="F441" s="32">
        <v>41051.0</v>
      </c>
      <c r="G441" s="27">
        <v>6.0</v>
      </c>
      <c r="H441" s="27"/>
      <c r="I441" s="34" t="s">
        <v>2012</v>
      </c>
      <c r="J441" s="27"/>
      <c r="K441" s="27"/>
      <c r="L441" s="27"/>
      <c r="M441" s="27" t="s">
        <v>48</v>
      </c>
      <c r="N441" s="27" t="s">
        <v>67</v>
      </c>
      <c r="O441" s="14" t="b">
        <v>1</v>
      </c>
      <c r="P441" s="27" t="s">
        <v>2013</v>
      </c>
      <c r="Q441" s="27"/>
      <c r="R441" s="27"/>
      <c r="S441" s="27" t="s">
        <v>2014</v>
      </c>
      <c r="T441" s="27"/>
      <c r="U441" s="26"/>
      <c r="V441" s="32">
        <v>45123.0</v>
      </c>
      <c r="W441" s="27" t="s">
        <v>4404</v>
      </c>
      <c r="X441" s="25">
        <v>2558000.0</v>
      </c>
      <c r="Y441" s="25">
        <f>X441-Z441</f>
        <v>0</v>
      </c>
      <c r="Z441" s="25">
        <v>2558000.0</v>
      </c>
      <c r="AA441" s="19">
        <f t="shared" si="1"/>
        <v>7</v>
      </c>
      <c r="AB441" s="19">
        <f t="shared" si="2"/>
        <v>7</v>
      </c>
      <c r="AC441" s="19"/>
    </row>
    <row r="442" ht="15.75" customHeight="1">
      <c r="A442" s="12">
        <v>45114.0</v>
      </c>
      <c r="B442" s="13" t="s">
        <v>28</v>
      </c>
      <c r="C442" s="14" t="s">
        <v>4405</v>
      </c>
      <c r="D442" s="14"/>
      <c r="E442" s="14"/>
      <c r="F442" s="14"/>
      <c r="G442" s="14">
        <v>3.0</v>
      </c>
      <c r="H442" s="14"/>
      <c r="I442" s="15" t="s">
        <v>2016</v>
      </c>
      <c r="J442" s="14"/>
      <c r="K442" s="14"/>
      <c r="L442" s="14"/>
      <c r="M442" s="14" t="s">
        <v>48</v>
      </c>
      <c r="N442" s="14" t="s">
        <v>34</v>
      </c>
      <c r="O442" s="14" t="b">
        <v>0</v>
      </c>
      <c r="P442" s="14"/>
      <c r="Q442" s="14"/>
      <c r="R442" s="14"/>
      <c r="S442" s="14" t="s">
        <v>2017</v>
      </c>
      <c r="T442" s="14" t="s">
        <v>36</v>
      </c>
      <c r="U442" s="17"/>
      <c r="V442" s="14"/>
      <c r="W442" s="14"/>
      <c r="X442" s="18"/>
      <c r="Y442" s="18"/>
      <c r="Z442" s="18"/>
      <c r="AA442" s="19">
        <f t="shared" si="1"/>
        <v>7</v>
      </c>
      <c r="AB442" s="19" t="str">
        <f t="shared" si="2"/>
        <v/>
      </c>
      <c r="AC442" s="19"/>
    </row>
    <row r="443" ht="15.75" customHeight="1">
      <c r="A443" s="12">
        <v>45114.0</v>
      </c>
      <c r="B443" s="14" t="s">
        <v>703</v>
      </c>
      <c r="C443" s="14" t="s">
        <v>2018</v>
      </c>
      <c r="D443" s="14"/>
      <c r="E443" s="14"/>
      <c r="F443" s="14"/>
      <c r="G443" s="14"/>
      <c r="H443" s="14"/>
      <c r="I443" s="15" t="s">
        <v>2019</v>
      </c>
      <c r="J443" s="14"/>
      <c r="K443" s="14"/>
      <c r="L443" s="14"/>
      <c r="M443" s="14" t="s">
        <v>111</v>
      </c>
      <c r="N443" s="14" t="s">
        <v>216</v>
      </c>
      <c r="O443" s="14" t="b">
        <v>0</v>
      </c>
      <c r="P443" s="14"/>
      <c r="Q443" s="14"/>
      <c r="R443" s="14"/>
      <c r="S443" s="14" t="s">
        <v>2020</v>
      </c>
      <c r="T443" s="14"/>
      <c r="U443" s="17"/>
      <c r="V443" s="14"/>
      <c r="W443" s="14"/>
      <c r="X443" s="18"/>
      <c r="Y443" s="18"/>
      <c r="Z443" s="18"/>
      <c r="AA443" s="19">
        <f t="shared" si="1"/>
        <v>7</v>
      </c>
      <c r="AB443" s="19" t="str">
        <f t="shared" si="2"/>
        <v/>
      </c>
      <c r="AC443" s="19"/>
    </row>
    <row r="444" ht="15.75" customHeight="1">
      <c r="A444" s="26">
        <v>45114.0</v>
      </c>
      <c r="B444" s="27" t="s">
        <v>84</v>
      </c>
      <c r="C444" s="27" t="s">
        <v>4406</v>
      </c>
      <c r="D444" s="27" t="s">
        <v>2022</v>
      </c>
      <c r="E444" s="27"/>
      <c r="F444" s="27">
        <v>2015.0</v>
      </c>
      <c r="G444" s="27"/>
      <c r="H444" s="27"/>
      <c r="I444" s="34" t="s">
        <v>2023</v>
      </c>
      <c r="J444" s="27"/>
      <c r="K444" s="27"/>
      <c r="L444" s="27" t="s">
        <v>2024</v>
      </c>
      <c r="M444" s="27" t="s">
        <v>111</v>
      </c>
      <c r="N444" s="27" t="s">
        <v>67</v>
      </c>
      <c r="O444" s="14" t="b">
        <v>1</v>
      </c>
      <c r="P444" s="27" t="s">
        <v>2025</v>
      </c>
      <c r="Q444" s="27" t="s">
        <v>4189</v>
      </c>
      <c r="R444" s="27" t="s">
        <v>2026</v>
      </c>
      <c r="S444" s="27" t="s">
        <v>2027</v>
      </c>
      <c r="T444" s="27" t="s">
        <v>4407</v>
      </c>
      <c r="U444" s="26">
        <v>45132.0</v>
      </c>
      <c r="V444" s="32">
        <v>45119.0</v>
      </c>
      <c r="W444" s="27" t="s">
        <v>4408</v>
      </c>
      <c r="X444" s="25">
        <v>3062000.0</v>
      </c>
      <c r="Y444" s="25">
        <v>0.0</v>
      </c>
      <c r="Z444" s="25">
        <v>3062000.0</v>
      </c>
      <c r="AA444" s="19">
        <f t="shared" si="1"/>
        <v>7</v>
      </c>
      <c r="AB444" s="19">
        <f t="shared" si="2"/>
        <v>7</v>
      </c>
      <c r="AC444" s="19"/>
    </row>
    <row r="445" ht="15.75" customHeight="1">
      <c r="A445" s="26">
        <v>45114.0</v>
      </c>
      <c r="B445" s="27" t="s">
        <v>84</v>
      </c>
      <c r="C445" s="33" t="s">
        <v>4409</v>
      </c>
      <c r="D445" s="27" t="s">
        <v>2029</v>
      </c>
      <c r="E445" s="27"/>
      <c r="F445" s="32">
        <v>41443.0</v>
      </c>
      <c r="G445" s="27">
        <v>5.0</v>
      </c>
      <c r="H445" s="27"/>
      <c r="I445" s="27">
        <v>9.14288348E8</v>
      </c>
      <c r="J445" s="27"/>
      <c r="K445" s="27"/>
      <c r="L445" s="27" t="s">
        <v>2030</v>
      </c>
      <c r="M445" s="27" t="s">
        <v>48</v>
      </c>
      <c r="N445" s="27" t="s">
        <v>67</v>
      </c>
      <c r="O445" s="14" t="b">
        <v>1</v>
      </c>
      <c r="P445" s="27" t="s">
        <v>2031</v>
      </c>
      <c r="Q445" s="27"/>
      <c r="R445" s="27"/>
      <c r="S445" s="33" t="s">
        <v>2032</v>
      </c>
      <c r="T445" s="27"/>
      <c r="U445" s="26"/>
      <c r="V445" s="32">
        <v>45119.0</v>
      </c>
      <c r="W445" s="27" t="s">
        <v>4410</v>
      </c>
      <c r="X445" s="25">
        <v>3062000.0</v>
      </c>
      <c r="Y445" s="25">
        <f>X445-Z445</f>
        <v>0</v>
      </c>
      <c r="Z445" s="25">
        <v>3062000.0</v>
      </c>
      <c r="AA445" s="19">
        <f t="shared" si="1"/>
        <v>7</v>
      </c>
      <c r="AB445" s="19">
        <f t="shared" si="2"/>
        <v>7</v>
      </c>
      <c r="AC445" s="19"/>
    </row>
    <row r="446" ht="15.75" customHeight="1">
      <c r="A446" s="12">
        <v>45114.0</v>
      </c>
      <c r="B446" s="14" t="s">
        <v>703</v>
      </c>
      <c r="C446" s="14" t="s">
        <v>2033</v>
      </c>
      <c r="D446" s="14"/>
      <c r="E446" s="14"/>
      <c r="F446" s="14"/>
      <c r="G446" s="14"/>
      <c r="H446" s="14"/>
      <c r="I446" s="15" t="s">
        <v>2034</v>
      </c>
      <c r="J446" s="14"/>
      <c r="K446" s="14"/>
      <c r="L446" s="14" t="s">
        <v>2035</v>
      </c>
      <c r="M446" s="14" t="s">
        <v>48</v>
      </c>
      <c r="N446" s="14" t="s">
        <v>34</v>
      </c>
      <c r="O446" s="14" t="b">
        <v>0</v>
      </c>
      <c r="P446" s="14"/>
      <c r="Q446" s="14"/>
      <c r="R446" s="14"/>
      <c r="S446" s="14" t="s">
        <v>2036</v>
      </c>
      <c r="T446" s="14" t="s">
        <v>36</v>
      </c>
      <c r="U446" s="17"/>
      <c r="V446" s="14"/>
      <c r="W446" s="14"/>
      <c r="X446" s="18"/>
      <c r="Y446" s="18"/>
      <c r="Z446" s="18"/>
      <c r="AA446" s="19">
        <f t="shared" si="1"/>
        <v>7</v>
      </c>
      <c r="AB446" s="19" t="str">
        <f t="shared" si="2"/>
        <v/>
      </c>
      <c r="AC446" s="19"/>
    </row>
    <row r="447" ht="15.75" customHeight="1">
      <c r="A447" s="12">
        <v>45114.0</v>
      </c>
      <c r="B447" s="14" t="s">
        <v>703</v>
      </c>
      <c r="C447" s="14" t="s">
        <v>2037</v>
      </c>
      <c r="D447" s="14"/>
      <c r="E447" s="14"/>
      <c r="F447" s="14"/>
      <c r="G447" s="14"/>
      <c r="H447" s="14"/>
      <c r="I447" s="15" t="s">
        <v>2038</v>
      </c>
      <c r="J447" s="14"/>
      <c r="K447" s="14"/>
      <c r="L447" s="14"/>
      <c r="M447" s="14" t="s">
        <v>111</v>
      </c>
      <c r="N447" s="14" t="s">
        <v>565</v>
      </c>
      <c r="O447" s="14" t="b">
        <v>0</v>
      </c>
      <c r="P447" s="14"/>
      <c r="Q447" s="14"/>
      <c r="R447" s="14"/>
      <c r="S447" s="14" t="s">
        <v>2039</v>
      </c>
      <c r="T447" s="14" t="s">
        <v>4096</v>
      </c>
      <c r="U447" s="17">
        <v>45119.0</v>
      </c>
      <c r="V447" s="14"/>
      <c r="W447" s="14"/>
      <c r="X447" s="18"/>
      <c r="Y447" s="18"/>
      <c r="Z447" s="18"/>
      <c r="AA447" s="19">
        <f t="shared" si="1"/>
        <v>7</v>
      </c>
      <c r="AB447" s="19" t="str">
        <f t="shared" si="2"/>
        <v/>
      </c>
      <c r="AC447" s="19"/>
    </row>
    <row r="448" ht="15.75" customHeight="1">
      <c r="A448" s="12">
        <v>45114.0</v>
      </c>
      <c r="B448" s="14" t="s">
        <v>703</v>
      </c>
      <c r="C448" s="14" t="s">
        <v>2040</v>
      </c>
      <c r="D448" s="14"/>
      <c r="E448" s="14"/>
      <c r="F448" s="14"/>
      <c r="G448" s="14"/>
      <c r="H448" s="14"/>
      <c r="I448" s="15" t="s">
        <v>2041</v>
      </c>
      <c r="J448" s="14"/>
      <c r="K448" s="14"/>
      <c r="L448" s="14"/>
      <c r="M448" s="14" t="s">
        <v>111</v>
      </c>
      <c r="N448" s="14" t="s">
        <v>216</v>
      </c>
      <c r="O448" s="14" t="b">
        <v>0</v>
      </c>
      <c r="P448" s="14"/>
      <c r="Q448" s="14"/>
      <c r="R448" s="14"/>
      <c r="S448" s="14" t="s">
        <v>2042</v>
      </c>
      <c r="T448" s="14" t="s">
        <v>4096</v>
      </c>
      <c r="U448" s="17"/>
      <c r="V448" s="14"/>
      <c r="W448" s="14"/>
      <c r="X448" s="18"/>
      <c r="Y448" s="18"/>
      <c r="Z448" s="18"/>
      <c r="AA448" s="19">
        <f t="shared" si="1"/>
        <v>7</v>
      </c>
      <c r="AB448" s="19" t="str">
        <f t="shared" si="2"/>
        <v/>
      </c>
      <c r="AC448" s="19"/>
    </row>
    <row r="449" ht="15.75" customHeight="1">
      <c r="A449" s="12">
        <v>45115.0</v>
      </c>
      <c r="B449" s="13" t="s">
        <v>28</v>
      </c>
      <c r="C449" s="37" t="s">
        <v>2043</v>
      </c>
      <c r="D449" s="37" t="s">
        <v>2044</v>
      </c>
      <c r="E449" s="14"/>
      <c r="F449" s="14" t="s">
        <v>419</v>
      </c>
      <c r="G449" s="14">
        <v>1.0</v>
      </c>
      <c r="H449" s="14"/>
      <c r="I449" s="15" t="s">
        <v>2045</v>
      </c>
      <c r="J449" s="14"/>
      <c r="K449" s="14"/>
      <c r="L449" s="14"/>
      <c r="M449" s="14" t="s">
        <v>48</v>
      </c>
      <c r="N449" s="14" t="s">
        <v>34</v>
      </c>
      <c r="O449" s="14" t="b">
        <v>1</v>
      </c>
      <c r="P449" s="14" t="s">
        <v>2046</v>
      </c>
      <c r="Q449" s="14"/>
      <c r="R449" s="14"/>
      <c r="S449" s="37" t="s">
        <v>2047</v>
      </c>
      <c r="T449" s="14" t="s">
        <v>36</v>
      </c>
      <c r="U449" s="17"/>
      <c r="V449" s="14"/>
      <c r="W449" s="14"/>
      <c r="X449" s="18"/>
      <c r="Y449" s="18"/>
      <c r="Z449" s="18"/>
      <c r="AA449" s="19">
        <f t="shared" si="1"/>
        <v>7</v>
      </c>
      <c r="AB449" s="19" t="str">
        <f t="shared" si="2"/>
        <v/>
      </c>
      <c r="AC449" s="19"/>
    </row>
    <row r="450" ht="15.75" customHeight="1">
      <c r="A450" s="12">
        <v>45116.0</v>
      </c>
      <c r="B450" s="13" t="s">
        <v>28</v>
      </c>
      <c r="C450" s="14" t="s">
        <v>2048</v>
      </c>
      <c r="D450" s="232" t="s">
        <v>2049</v>
      </c>
      <c r="E450" s="14"/>
      <c r="F450" s="14"/>
      <c r="G450" s="14"/>
      <c r="H450" s="14"/>
      <c r="I450" s="15" t="s">
        <v>2050</v>
      </c>
      <c r="J450" s="14"/>
      <c r="K450" s="14"/>
      <c r="L450" s="14"/>
      <c r="M450" s="14" t="s">
        <v>111</v>
      </c>
      <c r="N450" s="14" t="s">
        <v>565</v>
      </c>
      <c r="O450" s="14" t="b">
        <v>0</v>
      </c>
      <c r="P450" s="14"/>
      <c r="Q450" s="14"/>
      <c r="R450" s="14"/>
      <c r="S450" s="15" t="s">
        <v>2051</v>
      </c>
      <c r="T450" s="14"/>
      <c r="U450" s="17"/>
      <c r="V450" s="14"/>
      <c r="W450" s="14"/>
      <c r="X450" s="18"/>
      <c r="Y450" s="18"/>
      <c r="Z450" s="18"/>
      <c r="AA450" s="19">
        <f t="shared" si="1"/>
        <v>7</v>
      </c>
      <c r="AB450" s="19" t="str">
        <f t="shared" si="2"/>
        <v/>
      </c>
      <c r="AC450" s="19"/>
    </row>
    <row r="451" ht="15.75" customHeight="1">
      <c r="A451" s="12">
        <v>45116.0</v>
      </c>
      <c r="B451" s="13" t="s">
        <v>28</v>
      </c>
      <c r="C451" s="14" t="s">
        <v>2052</v>
      </c>
      <c r="D451" s="14" t="s">
        <v>2053</v>
      </c>
      <c r="E451" s="14"/>
      <c r="F451" s="14"/>
      <c r="G451" s="14">
        <v>4.0</v>
      </c>
      <c r="H451" s="14"/>
      <c r="I451" s="299" t="s">
        <v>2054</v>
      </c>
      <c r="J451" s="14"/>
      <c r="K451" s="14"/>
      <c r="L451" s="14"/>
      <c r="M451" s="14" t="s">
        <v>48</v>
      </c>
      <c r="N451" s="14" t="s">
        <v>13</v>
      </c>
      <c r="O451" s="14" t="b">
        <v>1</v>
      </c>
      <c r="P451" s="14" t="s">
        <v>2055</v>
      </c>
      <c r="Q451" s="14"/>
      <c r="R451" s="14"/>
      <c r="S451" s="37" t="s">
        <v>2056</v>
      </c>
      <c r="T451" s="14" t="s">
        <v>36</v>
      </c>
      <c r="U451" s="41"/>
      <c r="V451" s="14"/>
      <c r="W451" s="14"/>
      <c r="X451" s="18"/>
      <c r="Y451" s="18"/>
      <c r="Z451" s="18"/>
      <c r="AA451" s="19">
        <f t="shared" si="1"/>
        <v>7</v>
      </c>
      <c r="AB451" s="19" t="str">
        <f t="shared" si="2"/>
        <v/>
      </c>
      <c r="AC451" s="19"/>
    </row>
    <row r="452" ht="15.75" customHeight="1">
      <c r="A452" s="12">
        <v>45116.0</v>
      </c>
      <c r="B452" s="13" t="s">
        <v>28</v>
      </c>
      <c r="C452" s="14" t="s">
        <v>2057</v>
      </c>
      <c r="D452" s="14"/>
      <c r="E452" s="14"/>
      <c r="F452" s="14"/>
      <c r="G452" s="14"/>
      <c r="H452" s="14"/>
      <c r="I452" s="14">
        <v>3.88992212E8</v>
      </c>
      <c r="J452" s="14"/>
      <c r="K452" s="14"/>
      <c r="L452" s="14"/>
      <c r="M452" s="14" t="s">
        <v>48</v>
      </c>
      <c r="N452" s="14" t="s">
        <v>565</v>
      </c>
      <c r="O452" s="14" t="b">
        <v>0</v>
      </c>
      <c r="P452" s="14"/>
      <c r="Q452" s="14"/>
      <c r="R452" s="14"/>
      <c r="S452" s="14" t="s">
        <v>2058</v>
      </c>
      <c r="T452" s="14" t="s">
        <v>4411</v>
      </c>
      <c r="U452" s="17">
        <v>45122.0</v>
      </c>
      <c r="V452" s="14"/>
      <c r="W452" s="14"/>
      <c r="X452" s="18"/>
      <c r="Y452" s="18"/>
      <c r="Z452" s="18"/>
      <c r="AA452" s="19">
        <f t="shared" si="1"/>
        <v>7</v>
      </c>
      <c r="AB452" s="19" t="str">
        <f t="shared" si="2"/>
        <v/>
      </c>
      <c r="AC452" s="19"/>
    </row>
    <row r="453" ht="15.75" customHeight="1">
      <c r="A453" s="12">
        <v>45117.0</v>
      </c>
      <c r="B453" s="14" t="s">
        <v>539</v>
      </c>
      <c r="C453" s="14" t="s">
        <v>2059</v>
      </c>
      <c r="D453" s="14"/>
      <c r="E453" s="14"/>
      <c r="F453" s="14"/>
      <c r="G453" s="14">
        <v>12.0</v>
      </c>
      <c r="H453" s="14"/>
      <c r="I453" s="15" t="s">
        <v>2060</v>
      </c>
      <c r="J453" s="14"/>
      <c r="K453" s="14"/>
      <c r="L453" s="14" t="s">
        <v>2061</v>
      </c>
      <c r="M453" s="14" t="s">
        <v>48</v>
      </c>
      <c r="N453" s="14" t="s">
        <v>565</v>
      </c>
      <c r="O453" s="14" t="b">
        <v>0</v>
      </c>
      <c r="P453" s="14"/>
      <c r="Q453" s="14"/>
      <c r="R453" s="14"/>
      <c r="S453" s="14" t="s">
        <v>2062</v>
      </c>
      <c r="T453" s="14" t="s">
        <v>36</v>
      </c>
      <c r="U453" s="17"/>
      <c r="V453" s="14"/>
      <c r="W453" s="14"/>
      <c r="X453" s="18"/>
      <c r="Y453" s="18"/>
      <c r="Z453" s="18"/>
      <c r="AA453" s="19">
        <f t="shared" si="1"/>
        <v>7</v>
      </c>
      <c r="AB453" s="19" t="str">
        <f t="shared" si="2"/>
        <v/>
      </c>
      <c r="AC453" s="19"/>
    </row>
    <row r="454" ht="15.75" customHeight="1">
      <c r="A454" s="12">
        <v>45117.0</v>
      </c>
      <c r="B454" s="14" t="s">
        <v>539</v>
      </c>
      <c r="C454" s="37" t="s">
        <v>2063</v>
      </c>
      <c r="D454" s="37" t="s">
        <v>2064</v>
      </c>
      <c r="E454" s="14"/>
      <c r="F454" s="14"/>
      <c r="G454" s="14">
        <v>5.0</v>
      </c>
      <c r="H454" s="14"/>
      <c r="I454" s="15" t="s">
        <v>2065</v>
      </c>
      <c r="J454" s="14"/>
      <c r="K454" s="14"/>
      <c r="L454" s="14" t="s">
        <v>2066</v>
      </c>
      <c r="M454" s="14" t="s">
        <v>48</v>
      </c>
      <c r="N454" s="14" t="s">
        <v>34</v>
      </c>
      <c r="O454" s="14" t="b">
        <v>1</v>
      </c>
      <c r="P454" s="258" t="s">
        <v>2067</v>
      </c>
      <c r="Q454" s="14"/>
      <c r="R454" s="14"/>
      <c r="S454" s="37" t="s">
        <v>2068</v>
      </c>
      <c r="T454" s="14" t="s">
        <v>36</v>
      </c>
      <c r="U454" s="17"/>
      <c r="V454" s="14"/>
      <c r="W454" s="14"/>
      <c r="X454" s="18"/>
      <c r="Y454" s="18"/>
      <c r="Z454" s="18"/>
      <c r="AA454" s="19">
        <f t="shared" si="1"/>
        <v>7</v>
      </c>
      <c r="AB454" s="19" t="str">
        <f t="shared" si="2"/>
        <v/>
      </c>
      <c r="AC454" s="19"/>
    </row>
    <row r="455" ht="15.75" customHeight="1">
      <c r="A455" s="12">
        <v>45117.0</v>
      </c>
      <c r="B455" s="14" t="s">
        <v>539</v>
      </c>
      <c r="C455" s="37" t="s">
        <v>2063</v>
      </c>
      <c r="D455" s="37" t="s">
        <v>2069</v>
      </c>
      <c r="E455" s="14"/>
      <c r="F455" s="14"/>
      <c r="G455" s="14">
        <v>7.0</v>
      </c>
      <c r="H455" s="14"/>
      <c r="I455" s="15" t="s">
        <v>2070</v>
      </c>
      <c r="J455" s="14"/>
      <c r="K455" s="14"/>
      <c r="L455" s="14" t="s">
        <v>2071</v>
      </c>
      <c r="M455" s="14" t="s">
        <v>48</v>
      </c>
      <c r="N455" s="14" t="s">
        <v>34</v>
      </c>
      <c r="O455" s="14" t="b">
        <v>1</v>
      </c>
      <c r="P455" s="14" t="s">
        <v>2072</v>
      </c>
      <c r="Q455" s="14"/>
      <c r="R455" s="14"/>
      <c r="S455" s="37" t="s">
        <v>2073</v>
      </c>
      <c r="T455" s="14" t="s">
        <v>36</v>
      </c>
      <c r="U455" s="17"/>
      <c r="V455" s="14"/>
      <c r="W455" s="14"/>
      <c r="X455" s="18"/>
      <c r="Y455" s="18"/>
      <c r="Z455" s="18"/>
      <c r="AA455" s="19">
        <f t="shared" si="1"/>
        <v>7</v>
      </c>
      <c r="AB455" s="19" t="str">
        <f t="shared" si="2"/>
        <v/>
      </c>
      <c r="AC455" s="19"/>
    </row>
    <row r="456" ht="15.75" customHeight="1">
      <c r="A456" s="12">
        <v>45117.0</v>
      </c>
      <c r="B456" s="14" t="s">
        <v>539</v>
      </c>
      <c r="C456" s="14" t="s">
        <v>2074</v>
      </c>
      <c r="D456" s="14"/>
      <c r="E456" s="14"/>
      <c r="F456" s="14"/>
      <c r="G456" s="14"/>
      <c r="H456" s="14"/>
      <c r="I456" s="15" t="s">
        <v>2075</v>
      </c>
      <c r="J456" s="14"/>
      <c r="K456" s="14"/>
      <c r="L456" s="14" t="s">
        <v>2076</v>
      </c>
      <c r="M456" s="14" t="s">
        <v>48</v>
      </c>
      <c r="N456" s="14" t="s">
        <v>216</v>
      </c>
      <c r="O456" s="14" t="b">
        <v>0</v>
      </c>
      <c r="P456" s="14"/>
      <c r="Q456" s="14"/>
      <c r="R456" s="14"/>
      <c r="S456" s="14" t="s">
        <v>2077</v>
      </c>
      <c r="T456" s="14"/>
      <c r="U456" s="17"/>
      <c r="V456" s="14"/>
      <c r="W456" s="14"/>
      <c r="X456" s="18"/>
      <c r="Y456" s="18"/>
      <c r="Z456" s="18"/>
      <c r="AA456" s="19">
        <f t="shared" si="1"/>
        <v>7</v>
      </c>
      <c r="AB456" s="19" t="str">
        <f t="shared" si="2"/>
        <v/>
      </c>
      <c r="AC456" s="19"/>
    </row>
    <row r="457" ht="15.75" customHeight="1">
      <c r="A457" s="26">
        <v>45117.0</v>
      </c>
      <c r="B457" s="27" t="s">
        <v>539</v>
      </c>
      <c r="C457" s="33" t="s">
        <v>2078</v>
      </c>
      <c r="D457" s="27" t="s">
        <v>2079</v>
      </c>
      <c r="E457" s="27"/>
      <c r="F457" s="32">
        <v>40764.0</v>
      </c>
      <c r="G457" s="27">
        <v>7.0</v>
      </c>
      <c r="H457" s="27"/>
      <c r="I457" s="34" t="s">
        <v>2080</v>
      </c>
      <c r="J457" s="27"/>
      <c r="K457" s="27"/>
      <c r="L457" s="27"/>
      <c r="M457" s="27" t="s">
        <v>48</v>
      </c>
      <c r="N457" s="27" t="s">
        <v>67</v>
      </c>
      <c r="O457" s="14" t="b">
        <v>1</v>
      </c>
      <c r="P457" s="27" t="s">
        <v>2081</v>
      </c>
      <c r="Q457" s="27"/>
      <c r="R457" s="27"/>
      <c r="S457" s="33" t="s">
        <v>2082</v>
      </c>
      <c r="T457" s="27"/>
      <c r="U457" s="26"/>
      <c r="V457" s="32">
        <v>45121.0</v>
      </c>
      <c r="W457" s="27" t="s">
        <v>4412</v>
      </c>
      <c r="X457" s="25">
        <v>6124000.0</v>
      </c>
      <c r="Y457" s="25">
        <f>X457-Z457</f>
        <v>600000</v>
      </c>
      <c r="Z457" s="25">
        <v>5524000.0</v>
      </c>
      <c r="AA457" s="19">
        <f t="shared" si="1"/>
        <v>7</v>
      </c>
      <c r="AB457" s="19">
        <f t="shared" si="2"/>
        <v>7</v>
      </c>
      <c r="AC457" s="19"/>
    </row>
    <row r="458" ht="15.75" customHeight="1">
      <c r="A458" s="12">
        <v>45117.0</v>
      </c>
      <c r="B458" s="14" t="s">
        <v>539</v>
      </c>
      <c r="C458" s="14" t="s">
        <v>2083</v>
      </c>
      <c r="D458" s="14"/>
      <c r="E458" s="14"/>
      <c r="F458" s="14"/>
      <c r="G458" s="14"/>
      <c r="H458" s="14"/>
      <c r="I458" s="15" t="s">
        <v>2084</v>
      </c>
      <c r="J458" s="14"/>
      <c r="K458" s="14"/>
      <c r="L458" s="14"/>
      <c r="M458" s="14" t="s">
        <v>48</v>
      </c>
      <c r="N458" s="14" t="s">
        <v>216</v>
      </c>
      <c r="O458" s="14" t="b">
        <v>0</v>
      </c>
      <c r="P458" s="14"/>
      <c r="Q458" s="14"/>
      <c r="R458" s="14"/>
      <c r="S458" s="14" t="s">
        <v>2077</v>
      </c>
      <c r="T458" s="14"/>
      <c r="U458" s="17"/>
      <c r="V458" s="14"/>
      <c r="W458" s="14"/>
      <c r="X458" s="18"/>
      <c r="Y458" s="18"/>
      <c r="Z458" s="18"/>
      <c r="AA458" s="19">
        <f t="shared" si="1"/>
        <v>7</v>
      </c>
      <c r="AB458" s="19" t="str">
        <f t="shared" si="2"/>
        <v/>
      </c>
      <c r="AC458" s="19"/>
    </row>
    <row r="459" ht="15.75" customHeight="1">
      <c r="A459" s="12">
        <v>45117.0</v>
      </c>
      <c r="B459" s="14" t="s">
        <v>539</v>
      </c>
      <c r="C459" s="37" t="s">
        <v>2085</v>
      </c>
      <c r="D459" s="14"/>
      <c r="E459" s="14"/>
      <c r="F459" s="14"/>
      <c r="G459" s="14">
        <v>5.0</v>
      </c>
      <c r="H459" s="14"/>
      <c r="I459" s="15" t="s">
        <v>2086</v>
      </c>
      <c r="J459" s="14"/>
      <c r="K459" s="14"/>
      <c r="L459" s="14" t="s">
        <v>2087</v>
      </c>
      <c r="M459" s="14" t="s">
        <v>48</v>
      </c>
      <c r="N459" s="14" t="s">
        <v>565</v>
      </c>
      <c r="O459" s="14" t="b">
        <v>0</v>
      </c>
      <c r="P459" s="14"/>
      <c r="Q459" s="14"/>
      <c r="R459" s="14"/>
      <c r="S459" s="14" t="s">
        <v>2088</v>
      </c>
      <c r="T459" s="14"/>
      <c r="U459" s="17"/>
      <c r="V459" s="14"/>
      <c r="W459" s="14"/>
      <c r="X459" s="18"/>
      <c r="Y459" s="18"/>
      <c r="Z459" s="18"/>
      <c r="AA459" s="19">
        <f t="shared" si="1"/>
        <v>7</v>
      </c>
      <c r="AB459" s="19" t="str">
        <f t="shared" si="2"/>
        <v/>
      </c>
      <c r="AC459" s="19"/>
    </row>
    <row r="460" ht="15.75" customHeight="1">
      <c r="A460" s="12">
        <v>45117.0</v>
      </c>
      <c r="B460" s="14" t="s">
        <v>539</v>
      </c>
      <c r="C460" s="14" t="s">
        <v>2089</v>
      </c>
      <c r="D460" s="14"/>
      <c r="E460" s="14"/>
      <c r="F460" s="14"/>
      <c r="G460" s="14"/>
      <c r="H460" s="14"/>
      <c r="I460" s="15" t="s">
        <v>2090</v>
      </c>
      <c r="J460" s="14"/>
      <c r="K460" s="14"/>
      <c r="L460" s="14" t="s">
        <v>2091</v>
      </c>
      <c r="M460" s="14" t="s">
        <v>48</v>
      </c>
      <c r="N460" s="14" t="s">
        <v>565</v>
      </c>
      <c r="O460" s="14" t="b">
        <v>0</v>
      </c>
      <c r="P460" s="14"/>
      <c r="Q460" s="14"/>
      <c r="R460" s="14"/>
      <c r="S460" s="37" t="s">
        <v>2092</v>
      </c>
      <c r="T460" s="14"/>
      <c r="U460" s="17"/>
      <c r="V460" s="14"/>
      <c r="W460" s="14"/>
      <c r="X460" s="18"/>
      <c r="Y460" s="18"/>
      <c r="Z460" s="18"/>
      <c r="AA460" s="19">
        <f t="shared" si="1"/>
        <v>7</v>
      </c>
      <c r="AB460" s="19" t="str">
        <f t="shared" si="2"/>
        <v/>
      </c>
      <c r="AC460" s="19"/>
    </row>
    <row r="461" ht="15.75" customHeight="1">
      <c r="A461" s="12">
        <v>45117.0</v>
      </c>
      <c r="B461" s="14" t="s">
        <v>539</v>
      </c>
      <c r="C461" s="14" t="s">
        <v>2093</v>
      </c>
      <c r="D461" s="14"/>
      <c r="E461" s="14"/>
      <c r="F461" s="14"/>
      <c r="G461" s="14"/>
      <c r="H461" s="14"/>
      <c r="I461" s="15" t="s">
        <v>2094</v>
      </c>
      <c r="J461" s="14"/>
      <c r="K461" s="14"/>
      <c r="L461" s="14" t="s">
        <v>2095</v>
      </c>
      <c r="M461" s="14" t="s">
        <v>48</v>
      </c>
      <c r="N461" s="14" t="s">
        <v>565</v>
      </c>
      <c r="O461" s="14" t="b">
        <v>0</v>
      </c>
      <c r="P461" s="14"/>
      <c r="Q461" s="14"/>
      <c r="R461" s="14"/>
      <c r="S461" s="14" t="s">
        <v>2096</v>
      </c>
      <c r="T461" s="14"/>
      <c r="U461" s="17"/>
      <c r="V461" s="14"/>
      <c r="W461" s="14"/>
      <c r="X461" s="18"/>
      <c r="Y461" s="18"/>
      <c r="Z461" s="18"/>
      <c r="AA461" s="19">
        <f t="shared" si="1"/>
        <v>7</v>
      </c>
      <c r="AB461" s="19" t="str">
        <f t="shared" si="2"/>
        <v/>
      </c>
      <c r="AC461" s="19"/>
    </row>
    <row r="462" ht="15.75" customHeight="1">
      <c r="A462" s="12">
        <v>45117.0</v>
      </c>
      <c r="B462" s="14" t="s">
        <v>539</v>
      </c>
      <c r="C462" s="14" t="s">
        <v>2097</v>
      </c>
      <c r="D462" s="14"/>
      <c r="E462" s="14"/>
      <c r="F462" s="14"/>
      <c r="G462" s="14"/>
      <c r="H462" s="14"/>
      <c r="I462" s="15" t="s">
        <v>2098</v>
      </c>
      <c r="J462" s="14"/>
      <c r="K462" s="14"/>
      <c r="L462" s="14" t="s">
        <v>425</v>
      </c>
      <c r="M462" s="14" t="s">
        <v>48</v>
      </c>
      <c r="N462" s="14" t="s">
        <v>34</v>
      </c>
      <c r="O462" s="14" t="b">
        <v>0</v>
      </c>
      <c r="P462" s="14"/>
      <c r="Q462" s="14"/>
      <c r="R462" s="14"/>
      <c r="S462" s="14" t="s">
        <v>2099</v>
      </c>
      <c r="T462" s="14" t="s">
        <v>36</v>
      </c>
      <c r="U462" s="17"/>
      <c r="V462" s="14"/>
      <c r="W462" s="14"/>
      <c r="X462" s="18"/>
      <c r="Y462" s="18"/>
      <c r="Z462" s="18"/>
      <c r="AA462" s="19">
        <f t="shared" si="1"/>
        <v>7</v>
      </c>
      <c r="AB462" s="19" t="str">
        <f t="shared" si="2"/>
        <v/>
      </c>
      <c r="AC462" s="19"/>
    </row>
    <row r="463" ht="15.75" customHeight="1">
      <c r="A463" s="12">
        <v>45117.0</v>
      </c>
      <c r="B463" s="14" t="s">
        <v>539</v>
      </c>
      <c r="C463" s="14" t="s">
        <v>2100</v>
      </c>
      <c r="D463" s="14"/>
      <c r="E463" s="14"/>
      <c r="F463" s="14"/>
      <c r="G463" s="14"/>
      <c r="H463" s="14"/>
      <c r="I463" s="15" t="s">
        <v>2101</v>
      </c>
      <c r="J463" s="14"/>
      <c r="K463" s="14"/>
      <c r="L463" s="14" t="s">
        <v>2102</v>
      </c>
      <c r="M463" s="14" t="s">
        <v>48</v>
      </c>
      <c r="N463" s="14" t="s">
        <v>565</v>
      </c>
      <c r="O463" s="14" t="b">
        <v>0</v>
      </c>
      <c r="P463" s="14"/>
      <c r="Q463" s="14"/>
      <c r="R463" s="14"/>
      <c r="S463" s="37" t="s">
        <v>2103</v>
      </c>
      <c r="T463" s="14"/>
      <c r="U463" s="17"/>
      <c r="V463" s="14"/>
      <c r="W463" s="14"/>
      <c r="X463" s="18"/>
      <c r="Y463" s="18"/>
      <c r="Z463" s="18"/>
      <c r="AA463" s="19">
        <f t="shared" si="1"/>
        <v>7</v>
      </c>
      <c r="AB463" s="19" t="str">
        <f t="shared" si="2"/>
        <v/>
      </c>
      <c r="AC463" s="19"/>
    </row>
    <row r="464" ht="15.75" customHeight="1">
      <c r="A464" s="12">
        <v>45117.0</v>
      </c>
      <c r="B464" s="14" t="s">
        <v>539</v>
      </c>
      <c r="C464" s="14" t="s">
        <v>2104</v>
      </c>
      <c r="D464" s="14"/>
      <c r="E464" s="14"/>
      <c r="F464" s="14"/>
      <c r="G464" s="14"/>
      <c r="H464" s="14"/>
      <c r="I464" s="15" t="s">
        <v>2105</v>
      </c>
      <c r="J464" s="14"/>
      <c r="K464" s="14"/>
      <c r="L464" s="14" t="s">
        <v>2106</v>
      </c>
      <c r="M464" s="14" t="s">
        <v>48</v>
      </c>
      <c r="N464" s="14" t="s">
        <v>565</v>
      </c>
      <c r="O464" s="14" t="b">
        <v>0</v>
      </c>
      <c r="P464" s="14"/>
      <c r="Q464" s="14"/>
      <c r="R464" s="14"/>
      <c r="S464" s="37" t="s">
        <v>2107</v>
      </c>
      <c r="T464" s="14"/>
      <c r="U464" s="17"/>
      <c r="V464" s="14"/>
      <c r="W464" s="14"/>
      <c r="X464" s="18"/>
      <c r="Y464" s="18"/>
      <c r="Z464" s="18"/>
      <c r="AA464" s="19">
        <f t="shared" si="1"/>
        <v>7</v>
      </c>
      <c r="AB464" s="19" t="str">
        <f t="shared" si="2"/>
        <v/>
      </c>
      <c r="AC464" s="19"/>
    </row>
    <row r="465" ht="15.75" customHeight="1">
      <c r="A465" s="12">
        <v>45117.0</v>
      </c>
      <c r="B465" s="14" t="s">
        <v>539</v>
      </c>
      <c r="C465" s="14" t="s">
        <v>2108</v>
      </c>
      <c r="D465" s="14"/>
      <c r="E465" s="14"/>
      <c r="F465" s="14"/>
      <c r="G465" s="14"/>
      <c r="H465" s="14"/>
      <c r="I465" s="15" t="s">
        <v>2109</v>
      </c>
      <c r="J465" s="14"/>
      <c r="K465" s="14"/>
      <c r="L465" s="14" t="s">
        <v>1796</v>
      </c>
      <c r="M465" s="14" t="s">
        <v>48</v>
      </c>
      <c r="N465" s="14" t="s">
        <v>216</v>
      </c>
      <c r="O465" s="14" t="b">
        <v>0</v>
      </c>
      <c r="P465" s="14"/>
      <c r="Q465" s="14"/>
      <c r="R465" s="14"/>
      <c r="S465" s="14" t="s">
        <v>2077</v>
      </c>
      <c r="T465" s="14"/>
      <c r="U465" s="17"/>
      <c r="V465" s="14"/>
      <c r="W465" s="14"/>
      <c r="X465" s="18"/>
      <c r="Y465" s="18"/>
      <c r="Z465" s="18"/>
      <c r="AA465" s="19">
        <f t="shared" si="1"/>
        <v>7</v>
      </c>
      <c r="AB465" s="19" t="str">
        <f t="shared" si="2"/>
        <v/>
      </c>
      <c r="AC465" s="19"/>
    </row>
    <row r="466" ht="15.75" customHeight="1">
      <c r="A466" s="12">
        <v>45117.0</v>
      </c>
      <c r="B466" s="14" t="s">
        <v>539</v>
      </c>
      <c r="C466" s="14"/>
      <c r="D466" s="14"/>
      <c r="E466" s="14"/>
      <c r="F466" s="14"/>
      <c r="G466" s="14"/>
      <c r="H466" s="14"/>
      <c r="I466" s="15" t="s">
        <v>2111</v>
      </c>
      <c r="J466" s="14"/>
      <c r="K466" s="14"/>
      <c r="L466" s="14" t="s">
        <v>1796</v>
      </c>
      <c r="M466" s="14" t="s">
        <v>48</v>
      </c>
      <c r="N466" s="14" t="s">
        <v>216</v>
      </c>
      <c r="O466" s="14" t="b">
        <v>0</v>
      </c>
      <c r="P466" s="14"/>
      <c r="Q466" s="14"/>
      <c r="R466" s="14"/>
      <c r="S466" s="14" t="s">
        <v>2077</v>
      </c>
      <c r="T466" s="14"/>
      <c r="U466" s="17"/>
      <c r="V466" s="14"/>
      <c r="W466" s="14"/>
      <c r="X466" s="18"/>
      <c r="Y466" s="18"/>
      <c r="Z466" s="18"/>
      <c r="AA466" s="19">
        <f t="shared" si="1"/>
        <v>7</v>
      </c>
      <c r="AB466" s="19" t="str">
        <f t="shared" si="2"/>
        <v/>
      </c>
      <c r="AC466" s="19"/>
    </row>
    <row r="467" ht="15.75" customHeight="1">
      <c r="A467" s="12">
        <v>45117.0</v>
      </c>
      <c r="B467" s="14" t="s">
        <v>539</v>
      </c>
      <c r="C467" s="14"/>
      <c r="D467" s="300"/>
      <c r="E467" s="14"/>
      <c r="F467" s="14"/>
      <c r="G467" s="14"/>
      <c r="H467" s="14"/>
      <c r="I467" s="15" t="s">
        <v>2113</v>
      </c>
      <c r="J467" s="14"/>
      <c r="K467" s="14"/>
      <c r="L467" s="14" t="s">
        <v>1796</v>
      </c>
      <c r="M467" s="14" t="s">
        <v>111</v>
      </c>
      <c r="N467" s="14" t="s">
        <v>216</v>
      </c>
      <c r="O467" s="14" t="b">
        <v>0</v>
      </c>
      <c r="P467" s="14"/>
      <c r="Q467" s="14"/>
      <c r="R467" s="14"/>
      <c r="S467" s="14" t="s">
        <v>2114</v>
      </c>
      <c r="T467" s="14"/>
      <c r="U467" s="17"/>
      <c r="V467" s="14"/>
      <c r="W467" s="14"/>
      <c r="X467" s="18"/>
      <c r="Y467" s="18"/>
      <c r="Z467" s="18"/>
      <c r="AA467" s="19">
        <f t="shared" si="1"/>
        <v>7</v>
      </c>
      <c r="AB467" s="19" t="str">
        <f t="shared" si="2"/>
        <v/>
      </c>
      <c r="AC467" s="19"/>
    </row>
    <row r="468" ht="15.75" customHeight="1">
      <c r="A468" s="12">
        <v>45117.0</v>
      </c>
      <c r="B468" s="14" t="s">
        <v>539</v>
      </c>
      <c r="C468" s="14"/>
      <c r="D468" s="301"/>
      <c r="E468" s="14"/>
      <c r="F468" s="14"/>
      <c r="G468" s="14"/>
      <c r="H468" s="14"/>
      <c r="I468" s="15" t="s">
        <v>2116</v>
      </c>
      <c r="J468" s="14"/>
      <c r="K468" s="14"/>
      <c r="L468" s="14" t="s">
        <v>1796</v>
      </c>
      <c r="M468" s="14" t="s">
        <v>111</v>
      </c>
      <c r="N468" s="14" t="s">
        <v>34</v>
      </c>
      <c r="O468" s="14" t="b">
        <v>0</v>
      </c>
      <c r="P468" s="14"/>
      <c r="Q468" s="14"/>
      <c r="R468" s="14"/>
      <c r="S468" s="14" t="s">
        <v>2117</v>
      </c>
      <c r="T468" s="14"/>
      <c r="U468" s="17"/>
      <c r="V468" s="14"/>
      <c r="W468" s="14"/>
      <c r="X468" s="18"/>
      <c r="Y468" s="18"/>
      <c r="Z468" s="18"/>
      <c r="AA468" s="19">
        <f t="shared" si="1"/>
        <v>7</v>
      </c>
      <c r="AB468" s="19" t="str">
        <f t="shared" si="2"/>
        <v/>
      </c>
      <c r="AC468" s="19"/>
    </row>
    <row r="469" ht="15.75" customHeight="1">
      <c r="A469" s="12">
        <v>45117.0</v>
      </c>
      <c r="B469" s="14" t="s">
        <v>539</v>
      </c>
      <c r="C469" s="14"/>
      <c r="D469" s="14"/>
      <c r="E469" s="14"/>
      <c r="F469" s="14"/>
      <c r="G469" s="14"/>
      <c r="H469" s="14"/>
      <c r="I469" s="15" t="s">
        <v>2118</v>
      </c>
      <c r="J469" s="14"/>
      <c r="K469" s="14"/>
      <c r="L469" s="14" t="s">
        <v>1796</v>
      </c>
      <c r="M469" s="14" t="s">
        <v>111</v>
      </c>
      <c r="N469" s="14" t="s">
        <v>34</v>
      </c>
      <c r="O469" s="14" t="b">
        <v>0</v>
      </c>
      <c r="P469" s="14"/>
      <c r="Q469" s="14"/>
      <c r="R469" s="14"/>
      <c r="S469" s="14" t="s">
        <v>2119</v>
      </c>
      <c r="T469" s="14"/>
      <c r="U469" s="17"/>
      <c r="V469" s="14"/>
      <c r="W469" s="14"/>
      <c r="X469" s="18"/>
      <c r="Y469" s="18"/>
      <c r="Z469" s="18"/>
      <c r="AA469" s="19">
        <f t="shared" si="1"/>
        <v>7</v>
      </c>
      <c r="AB469" s="19" t="str">
        <f t="shared" si="2"/>
        <v/>
      </c>
      <c r="AC469" s="19"/>
    </row>
    <row r="470" ht="15.75" customHeight="1">
      <c r="A470" s="12">
        <v>45117.0</v>
      </c>
      <c r="B470" s="14" t="s">
        <v>539</v>
      </c>
      <c r="C470" s="14"/>
      <c r="D470" s="14"/>
      <c r="E470" s="14"/>
      <c r="F470" s="14"/>
      <c r="G470" s="14"/>
      <c r="H470" s="14"/>
      <c r="I470" s="15" t="s">
        <v>2121</v>
      </c>
      <c r="J470" s="14"/>
      <c r="K470" s="14"/>
      <c r="L470" s="14" t="s">
        <v>1796</v>
      </c>
      <c r="M470" s="14" t="s">
        <v>111</v>
      </c>
      <c r="N470" s="14" t="s">
        <v>216</v>
      </c>
      <c r="O470" s="14" t="b">
        <v>0</v>
      </c>
      <c r="P470" s="14"/>
      <c r="Q470" s="14"/>
      <c r="R470" s="14"/>
      <c r="S470" s="14" t="s">
        <v>2122</v>
      </c>
      <c r="T470" s="14"/>
      <c r="U470" s="17"/>
      <c r="V470" s="14"/>
      <c r="W470" s="14"/>
      <c r="X470" s="18"/>
      <c r="Y470" s="18"/>
      <c r="Z470" s="18"/>
      <c r="AA470" s="19">
        <f t="shared" si="1"/>
        <v>7</v>
      </c>
      <c r="AB470" s="19" t="str">
        <f t="shared" si="2"/>
        <v/>
      </c>
      <c r="AC470" s="19"/>
    </row>
    <row r="471" ht="15.75" customHeight="1">
      <c r="A471" s="12">
        <v>45117.0</v>
      </c>
      <c r="B471" s="14" t="s">
        <v>539</v>
      </c>
      <c r="C471" s="14" t="s">
        <v>4413</v>
      </c>
      <c r="D471" s="14"/>
      <c r="E471" s="14"/>
      <c r="F471" s="14"/>
      <c r="G471" s="14"/>
      <c r="H471" s="14"/>
      <c r="I471" s="15" t="s">
        <v>2124</v>
      </c>
      <c r="J471" s="14"/>
      <c r="K471" s="14"/>
      <c r="L471" s="14" t="s">
        <v>1796</v>
      </c>
      <c r="M471" s="14" t="s">
        <v>111</v>
      </c>
      <c r="N471" s="14" t="s">
        <v>216</v>
      </c>
      <c r="O471" s="14" t="b">
        <v>0</v>
      </c>
      <c r="P471" s="14"/>
      <c r="Q471" s="14"/>
      <c r="R471" s="14"/>
      <c r="S471" s="14" t="s">
        <v>2125</v>
      </c>
      <c r="T471" s="14"/>
      <c r="U471" s="17"/>
      <c r="V471" s="14"/>
      <c r="W471" s="14"/>
      <c r="X471" s="18"/>
      <c r="Y471" s="18"/>
      <c r="Z471" s="18"/>
      <c r="AA471" s="19">
        <f t="shared" si="1"/>
        <v>7</v>
      </c>
      <c r="AB471" s="19" t="str">
        <f t="shared" si="2"/>
        <v/>
      </c>
      <c r="AC471" s="19"/>
    </row>
    <row r="472" ht="15.75" customHeight="1">
      <c r="A472" s="12">
        <v>45117.0</v>
      </c>
      <c r="B472" s="14" t="s">
        <v>539</v>
      </c>
      <c r="C472" s="14" t="s">
        <v>2126</v>
      </c>
      <c r="D472" s="14"/>
      <c r="E472" s="14"/>
      <c r="F472" s="14"/>
      <c r="G472" s="14"/>
      <c r="H472" s="14"/>
      <c r="I472" s="15" t="s">
        <v>2127</v>
      </c>
      <c r="J472" s="14"/>
      <c r="K472" s="14"/>
      <c r="L472" s="14" t="s">
        <v>1796</v>
      </c>
      <c r="M472" s="14" t="s">
        <v>111</v>
      </c>
      <c r="N472" s="14" t="s">
        <v>216</v>
      </c>
      <c r="O472" s="14" t="b">
        <v>0</v>
      </c>
      <c r="P472" s="14"/>
      <c r="Q472" s="14"/>
      <c r="R472" s="14"/>
      <c r="S472" s="14" t="s">
        <v>2128</v>
      </c>
      <c r="T472" s="14"/>
      <c r="U472" s="17"/>
      <c r="V472" s="14"/>
      <c r="W472" s="14"/>
      <c r="X472" s="18"/>
      <c r="Y472" s="18"/>
      <c r="Z472" s="18"/>
      <c r="AA472" s="19">
        <f t="shared" si="1"/>
        <v>7</v>
      </c>
      <c r="AB472" s="19" t="str">
        <f t="shared" si="2"/>
        <v/>
      </c>
      <c r="AC472" s="19"/>
    </row>
    <row r="473" ht="15.75" customHeight="1">
      <c r="A473" s="12">
        <v>45117.0</v>
      </c>
      <c r="B473" s="14" t="s">
        <v>539</v>
      </c>
      <c r="C473" s="14"/>
      <c r="D473" s="14"/>
      <c r="E473" s="14"/>
      <c r="F473" s="14"/>
      <c r="G473" s="14"/>
      <c r="H473" s="14"/>
      <c r="I473" s="15" t="s">
        <v>2130</v>
      </c>
      <c r="J473" s="14"/>
      <c r="K473" s="14"/>
      <c r="L473" s="14" t="s">
        <v>1968</v>
      </c>
      <c r="M473" s="14" t="s">
        <v>111</v>
      </c>
      <c r="N473" s="14" t="s">
        <v>216</v>
      </c>
      <c r="O473" s="14" t="b">
        <v>0</v>
      </c>
      <c r="P473" s="14"/>
      <c r="Q473" s="14"/>
      <c r="R473" s="14"/>
      <c r="S473" s="14" t="s">
        <v>2131</v>
      </c>
      <c r="T473" s="14"/>
      <c r="U473" s="17"/>
      <c r="V473" s="14"/>
      <c r="W473" s="14"/>
      <c r="X473" s="18"/>
      <c r="Y473" s="18"/>
      <c r="Z473" s="18"/>
      <c r="AA473" s="19">
        <f t="shared" si="1"/>
        <v>7</v>
      </c>
      <c r="AB473" s="19" t="str">
        <f t="shared" si="2"/>
        <v/>
      </c>
      <c r="AC473" s="19"/>
    </row>
    <row r="474" ht="15.75" customHeight="1">
      <c r="A474" s="12">
        <v>45117.0</v>
      </c>
      <c r="B474" s="14" t="s">
        <v>539</v>
      </c>
      <c r="C474" s="14"/>
      <c r="D474" s="14"/>
      <c r="E474" s="14"/>
      <c r="F474" s="14"/>
      <c r="G474" s="14"/>
      <c r="H474" s="14"/>
      <c r="I474" s="15" t="s">
        <v>2133</v>
      </c>
      <c r="J474" s="14"/>
      <c r="K474" s="14"/>
      <c r="L474" s="14" t="s">
        <v>1796</v>
      </c>
      <c r="M474" s="14" t="s">
        <v>111</v>
      </c>
      <c r="N474" s="14" t="s">
        <v>34</v>
      </c>
      <c r="O474" s="14" t="b">
        <v>0</v>
      </c>
      <c r="P474" s="14"/>
      <c r="Q474" s="14"/>
      <c r="R474" s="14"/>
      <c r="S474" s="14" t="s">
        <v>2134</v>
      </c>
      <c r="T474" s="14"/>
      <c r="U474" s="17"/>
      <c r="V474" s="14"/>
      <c r="W474" s="14"/>
      <c r="X474" s="18"/>
      <c r="Y474" s="18"/>
      <c r="Z474" s="18"/>
      <c r="AA474" s="19">
        <f t="shared" si="1"/>
        <v>7</v>
      </c>
      <c r="AB474" s="19" t="str">
        <f t="shared" si="2"/>
        <v/>
      </c>
      <c r="AC474" s="19"/>
    </row>
    <row r="475" ht="15.75" customHeight="1">
      <c r="A475" s="12">
        <v>45117.0</v>
      </c>
      <c r="B475" s="14" t="s">
        <v>539</v>
      </c>
      <c r="C475" s="14"/>
      <c r="D475" s="14"/>
      <c r="E475" s="14"/>
      <c r="F475" s="14"/>
      <c r="G475" s="14"/>
      <c r="H475" s="14"/>
      <c r="I475" s="15" t="s">
        <v>2136</v>
      </c>
      <c r="J475" s="14"/>
      <c r="K475" s="14"/>
      <c r="L475" s="14" t="s">
        <v>1796</v>
      </c>
      <c r="M475" s="14" t="s">
        <v>111</v>
      </c>
      <c r="N475" s="14" t="s">
        <v>34</v>
      </c>
      <c r="O475" s="14" t="b">
        <v>0</v>
      </c>
      <c r="P475" s="14"/>
      <c r="Q475" s="14"/>
      <c r="R475" s="14"/>
      <c r="S475" s="14" t="s">
        <v>2137</v>
      </c>
      <c r="T475" s="14"/>
      <c r="U475" s="17"/>
      <c r="V475" s="14"/>
      <c r="W475" s="14"/>
      <c r="X475" s="18"/>
      <c r="Y475" s="18"/>
      <c r="Z475" s="18"/>
      <c r="AA475" s="19">
        <f t="shared" si="1"/>
        <v>7</v>
      </c>
      <c r="AB475" s="19" t="str">
        <f t="shared" si="2"/>
        <v/>
      </c>
      <c r="AC475" s="19"/>
    </row>
    <row r="476" ht="15.75" customHeight="1">
      <c r="A476" s="12">
        <v>45117.0</v>
      </c>
      <c r="B476" s="14" t="s">
        <v>539</v>
      </c>
      <c r="C476" s="14"/>
      <c r="D476" s="14"/>
      <c r="E476" s="14"/>
      <c r="F476" s="14"/>
      <c r="G476" s="14"/>
      <c r="H476" s="14"/>
      <c r="I476" s="15" t="s">
        <v>2139</v>
      </c>
      <c r="J476" s="14"/>
      <c r="K476" s="14"/>
      <c r="L476" s="14" t="s">
        <v>1796</v>
      </c>
      <c r="M476" s="14" t="s">
        <v>111</v>
      </c>
      <c r="N476" s="14" t="s">
        <v>34</v>
      </c>
      <c r="O476" s="14" t="b">
        <v>0</v>
      </c>
      <c r="P476" s="14"/>
      <c r="Q476" s="14"/>
      <c r="R476" s="14"/>
      <c r="S476" s="14" t="s">
        <v>2140</v>
      </c>
      <c r="T476" s="14"/>
      <c r="U476" s="17"/>
      <c r="V476" s="14"/>
      <c r="W476" s="14"/>
      <c r="X476" s="18"/>
      <c r="Y476" s="18"/>
      <c r="Z476" s="18"/>
      <c r="AA476" s="19">
        <f t="shared" si="1"/>
        <v>7</v>
      </c>
      <c r="AB476" s="19" t="str">
        <f t="shared" si="2"/>
        <v/>
      </c>
      <c r="AC476" s="19"/>
    </row>
    <row r="477" ht="15.75" customHeight="1">
      <c r="A477" s="12">
        <v>45117.0</v>
      </c>
      <c r="B477" s="14" t="s">
        <v>539</v>
      </c>
      <c r="C477" s="14"/>
      <c r="D477" s="14"/>
      <c r="E477" s="14"/>
      <c r="F477" s="14"/>
      <c r="G477" s="14"/>
      <c r="H477" s="14"/>
      <c r="I477" s="15" t="s">
        <v>2142</v>
      </c>
      <c r="J477" s="14"/>
      <c r="K477" s="14"/>
      <c r="L477" s="14" t="s">
        <v>1968</v>
      </c>
      <c r="M477" s="14" t="s">
        <v>111</v>
      </c>
      <c r="N477" s="14" t="s">
        <v>216</v>
      </c>
      <c r="O477" s="14" t="b">
        <v>0</v>
      </c>
      <c r="P477" s="14"/>
      <c r="Q477" s="14"/>
      <c r="R477" s="14"/>
      <c r="S477" s="14" t="s">
        <v>2143</v>
      </c>
      <c r="T477" s="14"/>
      <c r="U477" s="17"/>
      <c r="V477" s="14"/>
      <c r="W477" s="14"/>
      <c r="X477" s="18"/>
      <c r="Y477" s="18"/>
      <c r="Z477" s="18"/>
      <c r="AA477" s="19">
        <f t="shared" si="1"/>
        <v>7</v>
      </c>
      <c r="AB477" s="19" t="str">
        <f t="shared" si="2"/>
        <v/>
      </c>
      <c r="AC477" s="19"/>
    </row>
    <row r="478" ht="15.75" customHeight="1">
      <c r="A478" s="12">
        <v>45117.0</v>
      </c>
      <c r="B478" s="14" t="s">
        <v>539</v>
      </c>
      <c r="C478" s="14"/>
      <c r="D478" s="14"/>
      <c r="E478" s="14"/>
      <c r="F478" s="14"/>
      <c r="G478" s="14"/>
      <c r="H478" s="14"/>
      <c r="I478" s="15" t="s">
        <v>2145</v>
      </c>
      <c r="J478" s="14"/>
      <c r="K478" s="14"/>
      <c r="L478" s="14" t="s">
        <v>1796</v>
      </c>
      <c r="M478" s="14" t="s">
        <v>111</v>
      </c>
      <c r="N478" s="14" t="s">
        <v>34</v>
      </c>
      <c r="O478" s="14" t="b">
        <v>0</v>
      </c>
      <c r="P478" s="14"/>
      <c r="Q478" s="14"/>
      <c r="R478" s="14"/>
      <c r="S478" s="14" t="s">
        <v>2146</v>
      </c>
      <c r="T478" s="14"/>
      <c r="U478" s="17"/>
      <c r="V478" s="14"/>
      <c r="W478" s="14"/>
      <c r="X478" s="18"/>
      <c r="Y478" s="18"/>
      <c r="Z478" s="18"/>
      <c r="AA478" s="19">
        <f t="shared" si="1"/>
        <v>7</v>
      </c>
      <c r="AB478" s="19" t="str">
        <f t="shared" si="2"/>
        <v/>
      </c>
      <c r="AC478" s="19"/>
    </row>
    <row r="479" ht="15.75" customHeight="1">
      <c r="A479" s="12">
        <v>45117.0</v>
      </c>
      <c r="B479" s="14" t="s">
        <v>539</v>
      </c>
      <c r="C479" s="14" t="s">
        <v>2147</v>
      </c>
      <c r="D479" s="14"/>
      <c r="E479" s="14"/>
      <c r="F479" s="14"/>
      <c r="G479" s="14"/>
      <c r="H479" s="14"/>
      <c r="I479" s="15" t="s">
        <v>2148</v>
      </c>
      <c r="J479" s="14"/>
      <c r="K479" s="14"/>
      <c r="L479" s="14" t="s">
        <v>2149</v>
      </c>
      <c r="M479" s="14" t="s">
        <v>111</v>
      </c>
      <c r="N479" s="14" t="s">
        <v>34</v>
      </c>
      <c r="O479" s="14" t="b">
        <v>0</v>
      </c>
      <c r="P479" s="14"/>
      <c r="Q479" s="14"/>
      <c r="R479" s="14"/>
      <c r="S479" s="14" t="s">
        <v>2150</v>
      </c>
      <c r="T479" s="14"/>
      <c r="U479" s="17"/>
      <c r="V479" s="14"/>
      <c r="W479" s="14"/>
      <c r="X479" s="18"/>
      <c r="Y479" s="18"/>
      <c r="Z479" s="18"/>
      <c r="AA479" s="19">
        <f t="shared" si="1"/>
        <v>7</v>
      </c>
      <c r="AB479" s="19" t="str">
        <f t="shared" si="2"/>
        <v/>
      </c>
      <c r="AC479" s="19"/>
    </row>
    <row r="480" ht="15.75" customHeight="1">
      <c r="A480" s="12">
        <v>45117.0</v>
      </c>
      <c r="B480" s="13" t="s">
        <v>28</v>
      </c>
      <c r="C480" s="14" t="s">
        <v>2151</v>
      </c>
      <c r="D480" s="14" t="s">
        <v>2152</v>
      </c>
      <c r="E480" s="14"/>
      <c r="F480" s="14"/>
      <c r="G480" s="14"/>
      <c r="H480" s="14"/>
      <c r="I480" s="15" t="s">
        <v>2153</v>
      </c>
      <c r="J480" s="14"/>
      <c r="K480" s="14"/>
      <c r="L480" s="14" t="s">
        <v>2154</v>
      </c>
      <c r="M480" s="14" t="s">
        <v>111</v>
      </c>
      <c r="N480" s="14" t="s">
        <v>34</v>
      </c>
      <c r="O480" s="14" t="b">
        <v>0</v>
      </c>
      <c r="P480" s="14"/>
      <c r="Q480" s="14"/>
      <c r="R480" s="14"/>
      <c r="S480" s="14" t="s">
        <v>2155</v>
      </c>
      <c r="T480" s="14"/>
      <c r="U480" s="17"/>
      <c r="V480" s="14"/>
      <c r="W480" s="14"/>
      <c r="X480" s="18"/>
      <c r="Y480" s="18"/>
      <c r="Z480" s="18"/>
      <c r="AA480" s="19">
        <f t="shared" si="1"/>
        <v>7</v>
      </c>
      <c r="AB480" s="19" t="str">
        <f t="shared" si="2"/>
        <v/>
      </c>
      <c r="AC480" s="19"/>
    </row>
    <row r="481" ht="15.75" customHeight="1">
      <c r="A481" s="12">
        <v>45117.0</v>
      </c>
      <c r="B481" s="14" t="s">
        <v>539</v>
      </c>
      <c r="C481" s="14" t="s">
        <v>2156</v>
      </c>
      <c r="D481" s="14" t="s">
        <v>2157</v>
      </c>
      <c r="E481" s="14"/>
      <c r="F481" s="14" t="s">
        <v>4414</v>
      </c>
      <c r="G481" s="14"/>
      <c r="H481" s="14"/>
      <c r="I481" s="15" t="s">
        <v>2158</v>
      </c>
      <c r="J481" s="14"/>
      <c r="K481" s="14"/>
      <c r="L481" s="14"/>
      <c r="M481" s="14" t="s">
        <v>111</v>
      </c>
      <c r="N481" s="14" t="s">
        <v>13</v>
      </c>
      <c r="O481" s="14" t="b">
        <v>1</v>
      </c>
      <c r="P481" s="14" t="s">
        <v>2159</v>
      </c>
      <c r="Q481" s="14"/>
      <c r="R481" s="14"/>
      <c r="S481" s="14" t="s">
        <v>2160</v>
      </c>
      <c r="T481" s="14"/>
      <c r="U481" s="17"/>
      <c r="V481" s="14"/>
      <c r="W481" s="14"/>
      <c r="X481" s="18"/>
      <c r="Y481" s="18"/>
      <c r="Z481" s="18"/>
      <c r="AA481" s="19">
        <f t="shared" si="1"/>
        <v>7</v>
      </c>
      <c r="AB481" s="19" t="str">
        <f t="shared" si="2"/>
        <v/>
      </c>
      <c r="AC481" s="19"/>
    </row>
    <row r="482" ht="15.75" customHeight="1">
      <c r="A482" s="12">
        <v>45117.0</v>
      </c>
      <c r="B482" s="14" t="s">
        <v>539</v>
      </c>
      <c r="C482" s="14" t="s">
        <v>2161</v>
      </c>
      <c r="D482" s="14"/>
      <c r="E482" s="14"/>
      <c r="F482" s="14"/>
      <c r="G482" s="14"/>
      <c r="H482" s="14"/>
      <c r="I482" s="15" t="s">
        <v>2162</v>
      </c>
      <c r="J482" s="14"/>
      <c r="K482" s="14"/>
      <c r="L482" s="14" t="s">
        <v>2163</v>
      </c>
      <c r="M482" s="14" t="s">
        <v>111</v>
      </c>
      <c r="N482" s="14" t="s">
        <v>216</v>
      </c>
      <c r="O482" s="14" t="b">
        <v>0</v>
      </c>
      <c r="P482" s="14"/>
      <c r="Q482" s="14"/>
      <c r="R482" s="14"/>
      <c r="S482" s="14" t="s">
        <v>2164</v>
      </c>
      <c r="T482" s="14"/>
      <c r="U482" s="17"/>
      <c r="V482" s="14"/>
      <c r="W482" s="14"/>
      <c r="X482" s="18"/>
      <c r="Y482" s="18"/>
      <c r="Z482" s="18"/>
      <c r="AA482" s="19">
        <f t="shared" si="1"/>
        <v>7</v>
      </c>
      <c r="AB482" s="19" t="str">
        <f t="shared" si="2"/>
        <v/>
      </c>
      <c r="AC482" s="19"/>
    </row>
    <row r="483" ht="15.75" customHeight="1">
      <c r="A483" s="12">
        <v>45117.0</v>
      </c>
      <c r="B483" s="14" t="s">
        <v>539</v>
      </c>
      <c r="C483" s="14"/>
      <c r="D483" s="14"/>
      <c r="E483" s="14"/>
      <c r="F483" s="14"/>
      <c r="G483" s="14"/>
      <c r="H483" s="14"/>
      <c r="I483" s="15" t="s">
        <v>2166</v>
      </c>
      <c r="J483" s="14"/>
      <c r="K483" s="14"/>
      <c r="L483" s="14" t="s">
        <v>1968</v>
      </c>
      <c r="M483" s="14" t="s">
        <v>111</v>
      </c>
      <c r="N483" s="14" t="s">
        <v>216</v>
      </c>
      <c r="O483" s="14" t="b">
        <v>0</v>
      </c>
      <c r="P483" s="14"/>
      <c r="Q483" s="14"/>
      <c r="R483" s="14"/>
      <c r="S483" s="14" t="s">
        <v>2167</v>
      </c>
      <c r="T483" s="14"/>
      <c r="U483" s="17"/>
      <c r="V483" s="14"/>
      <c r="W483" s="14"/>
      <c r="X483" s="18"/>
      <c r="Y483" s="18"/>
      <c r="Z483" s="18"/>
      <c r="AA483" s="19">
        <f t="shared" si="1"/>
        <v>7</v>
      </c>
      <c r="AB483" s="19" t="str">
        <f t="shared" si="2"/>
        <v/>
      </c>
      <c r="AC483" s="19"/>
    </row>
    <row r="484" ht="15.75" customHeight="1">
      <c r="A484" s="12">
        <v>45117.0</v>
      </c>
      <c r="B484" s="14" t="s">
        <v>539</v>
      </c>
      <c r="C484" s="14" t="s">
        <v>2168</v>
      </c>
      <c r="D484" s="14" t="s">
        <v>2169</v>
      </c>
      <c r="E484" s="14"/>
      <c r="F484" s="14" t="s">
        <v>4415</v>
      </c>
      <c r="G484" s="14"/>
      <c r="H484" s="14"/>
      <c r="I484" s="15" t="s">
        <v>2170</v>
      </c>
      <c r="J484" s="14"/>
      <c r="K484" s="14"/>
      <c r="L484" s="14" t="s">
        <v>2171</v>
      </c>
      <c r="M484" s="14" t="s">
        <v>111</v>
      </c>
      <c r="N484" s="14" t="s">
        <v>13</v>
      </c>
      <c r="O484" s="14" t="b">
        <v>1</v>
      </c>
      <c r="P484" s="14" t="s">
        <v>2172</v>
      </c>
      <c r="Q484" s="14"/>
      <c r="R484" s="14"/>
      <c r="S484" s="14" t="s">
        <v>2173</v>
      </c>
      <c r="T484" s="14"/>
      <c r="U484" s="17"/>
      <c r="V484" s="14"/>
      <c r="W484" s="14"/>
      <c r="X484" s="18"/>
      <c r="Y484" s="18"/>
      <c r="Z484" s="18"/>
      <c r="AA484" s="19">
        <f t="shared" si="1"/>
        <v>7</v>
      </c>
      <c r="AB484" s="19" t="str">
        <f t="shared" si="2"/>
        <v/>
      </c>
      <c r="AC484" s="19"/>
    </row>
    <row r="485" ht="15.75" customHeight="1">
      <c r="A485" s="12">
        <v>45117.0</v>
      </c>
      <c r="B485" s="14" t="s">
        <v>703</v>
      </c>
      <c r="C485" s="14" t="s">
        <v>2174</v>
      </c>
      <c r="D485" s="14"/>
      <c r="E485" s="14"/>
      <c r="F485" s="14"/>
      <c r="G485" s="14"/>
      <c r="H485" s="14"/>
      <c r="I485" s="15" t="s">
        <v>2175</v>
      </c>
      <c r="J485" s="14"/>
      <c r="K485" s="14"/>
      <c r="L485" s="14"/>
      <c r="M485" s="14" t="s">
        <v>48</v>
      </c>
      <c r="N485" s="14" t="s">
        <v>216</v>
      </c>
      <c r="O485" s="14" t="b">
        <v>0</v>
      </c>
      <c r="P485" s="14"/>
      <c r="Q485" s="14"/>
      <c r="R485" s="14"/>
      <c r="S485" s="14" t="s">
        <v>2176</v>
      </c>
      <c r="T485" s="14"/>
      <c r="U485" s="17"/>
      <c r="V485" s="14"/>
      <c r="W485" s="14"/>
      <c r="X485" s="18"/>
      <c r="Y485" s="18"/>
      <c r="Z485" s="18"/>
      <c r="AA485" s="19">
        <f t="shared" si="1"/>
        <v>7</v>
      </c>
      <c r="AB485" s="19" t="str">
        <f t="shared" si="2"/>
        <v/>
      </c>
      <c r="AC485" s="19"/>
    </row>
    <row r="486" ht="15.75" customHeight="1">
      <c r="A486" s="12">
        <v>45117.0</v>
      </c>
      <c r="B486" s="14" t="s">
        <v>539</v>
      </c>
      <c r="C486" s="14" t="s">
        <v>2177</v>
      </c>
      <c r="D486" s="14" t="s">
        <v>2178</v>
      </c>
      <c r="E486" s="14"/>
      <c r="F486" s="14"/>
      <c r="G486" s="14"/>
      <c r="H486" s="14"/>
      <c r="I486" s="15" t="s">
        <v>2179</v>
      </c>
      <c r="J486" s="14"/>
      <c r="K486" s="14"/>
      <c r="L486" s="14"/>
      <c r="M486" s="14" t="s">
        <v>48</v>
      </c>
      <c r="N486" s="14" t="s">
        <v>565</v>
      </c>
      <c r="O486" s="14" t="b">
        <v>0</v>
      </c>
      <c r="P486" s="14"/>
      <c r="Q486" s="14"/>
      <c r="R486" s="14"/>
      <c r="S486" s="14" t="s">
        <v>2180</v>
      </c>
      <c r="T486" s="14"/>
      <c r="U486" s="17"/>
      <c r="V486" s="14"/>
      <c r="W486" s="14"/>
      <c r="X486" s="18"/>
      <c r="Y486" s="18"/>
      <c r="Z486" s="18"/>
      <c r="AA486" s="19">
        <f t="shared" si="1"/>
        <v>7</v>
      </c>
      <c r="AB486" s="19" t="str">
        <f t="shared" si="2"/>
        <v/>
      </c>
      <c r="AC486" s="19"/>
    </row>
    <row r="487" ht="15.75" customHeight="1">
      <c r="A487" s="12">
        <v>45117.0</v>
      </c>
      <c r="B487" s="14" t="s">
        <v>539</v>
      </c>
      <c r="C487" s="14"/>
      <c r="D487" s="14"/>
      <c r="E487" s="14"/>
      <c r="F487" s="14"/>
      <c r="G487" s="14"/>
      <c r="H487" s="14"/>
      <c r="I487" s="15" t="s">
        <v>2181</v>
      </c>
      <c r="J487" s="14"/>
      <c r="K487" s="14"/>
      <c r="L487" s="14" t="s">
        <v>2182</v>
      </c>
      <c r="M487" s="14" t="s">
        <v>48</v>
      </c>
      <c r="N487" s="14" t="s">
        <v>216</v>
      </c>
      <c r="O487" s="14" t="b">
        <v>0</v>
      </c>
      <c r="P487" s="14"/>
      <c r="Q487" s="14"/>
      <c r="R487" s="14"/>
      <c r="S487" s="14" t="s">
        <v>2183</v>
      </c>
      <c r="T487" s="14"/>
      <c r="U487" s="17"/>
      <c r="V487" s="14"/>
      <c r="W487" s="14"/>
      <c r="X487" s="18"/>
      <c r="Y487" s="18"/>
      <c r="Z487" s="18"/>
      <c r="AA487" s="19">
        <f t="shared" si="1"/>
        <v>7</v>
      </c>
      <c r="AB487" s="19" t="str">
        <f t="shared" si="2"/>
        <v/>
      </c>
      <c r="AC487" s="19"/>
    </row>
    <row r="488" ht="15.75" customHeight="1">
      <c r="A488" s="12">
        <v>45117.0</v>
      </c>
      <c r="B488" s="14" t="s">
        <v>539</v>
      </c>
      <c r="C488" s="14" t="s">
        <v>2184</v>
      </c>
      <c r="D488" s="14" t="s">
        <v>2185</v>
      </c>
      <c r="E488" s="14"/>
      <c r="F488" s="14">
        <v>2016.0</v>
      </c>
      <c r="G488" s="14">
        <v>2.0</v>
      </c>
      <c r="H488" s="14"/>
      <c r="I488" s="15" t="s">
        <v>2186</v>
      </c>
      <c r="J488" s="14"/>
      <c r="K488" s="14"/>
      <c r="L488" s="14" t="s">
        <v>2187</v>
      </c>
      <c r="M488" s="14" t="s">
        <v>48</v>
      </c>
      <c r="N488" s="14" t="s">
        <v>565</v>
      </c>
      <c r="O488" s="14" t="b">
        <v>0</v>
      </c>
      <c r="P488" s="14"/>
      <c r="Q488" s="14"/>
      <c r="R488" s="14"/>
      <c r="S488" s="14" t="s">
        <v>2188</v>
      </c>
      <c r="T488" s="14"/>
      <c r="U488" s="17"/>
      <c r="V488" s="14"/>
      <c r="W488" s="14"/>
      <c r="X488" s="18"/>
      <c r="Y488" s="18"/>
      <c r="Z488" s="18"/>
      <c r="AA488" s="19">
        <f t="shared" si="1"/>
        <v>7</v>
      </c>
      <c r="AB488" s="19" t="str">
        <f t="shared" si="2"/>
        <v/>
      </c>
      <c r="AC488" s="19"/>
    </row>
    <row r="489" ht="15.75" customHeight="1">
      <c r="A489" s="12">
        <v>45117.0</v>
      </c>
      <c r="B489" s="14" t="s">
        <v>539</v>
      </c>
      <c r="C489" s="14" t="s">
        <v>4416</v>
      </c>
      <c r="D489" s="14" t="s">
        <v>2189</v>
      </c>
      <c r="E489" s="14"/>
      <c r="F489" s="14"/>
      <c r="G489" s="14"/>
      <c r="H489" s="14"/>
      <c r="I489" s="15" t="s">
        <v>2190</v>
      </c>
      <c r="J489" s="14"/>
      <c r="K489" s="14"/>
      <c r="L489" s="14"/>
      <c r="M489" s="14" t="s">
        <v>48</v>
      </c>
      <c r="N489" s="14" t="s">
        <v>216</v>
      </c>
      <c r="O489" s="14" t="b">
        <v>0</v>
      </c>
      <c r="P489" s="14"/>
      <c r="Q489" s="14"/>
      <c r="R489" s="14"/>
      <c r="S489" s="14" t="s">
        <v>2191</v>
      </c>
      <c r="T489" s="14"/>
      <c r="U489" s="17"/>
      <c r="V489" s="14"/>
      <c r="W489" s="14"/>
      <c r="X489" s="18"/>
      <c r="Y489" s="18"/>
      <c r="Z489" s="18"/>
      <c r="AA489" s="19">
        <f t="shared" si="1"/>
        <v>7</v>
      </c>
      <c r="AB489" s="19" t="str">
        <f t="shared" si="2"/>
        <v/>
      </c>
      <c r="AC489" s="19"/>
    </row>
    <row r="490" ht="15.75" customHeight="1">
      <c r="A490" s="147">
        <v>45117.0</v>
      </c>
      <c r="B490" s="13" t="s">
        <v>28</v>
      </c>
      <c r="C490" s="58" t="s">
        <v>2192</v>
      </c>
      <c r="D490" s="58" t="s">
        <v>2193</v>
      </c>
      <c r="E490" s="58"/>
      <c r="F490" s="58" t="s">
        <v>4417</v>
      </c>
      <c r="G490" s="58"/>
      <c r="H490" s="58"/>
      <c r="I490" s="148" t="s">
        <v>2194</v>
      </c>
      <c r="J490" s="58"/>
      <c r="K490" s="58"/>
      <c r="L490" s="58"/>
      <c r="M490" s="58" t="s">
        <v>111</v>
      </c>
      <c r="N490" s="58" t="s">
        <v>67</v>
      </c>
      <c r="O490" s="14" t="b">
        <v>1</v>
      </c>
      <c r="P490" s="302" t="s">
        <v>2195</v>
      </c>
      <c r="Q490" s="58" t="s">
        <v>4207</v>
      </c>
      <c r="R490" s="58" t="s">
        <v>2196</v>
      </c>
      <c r="S490" s="58" t="s">
        <v>2197</v>
      </c>
      <c r="T490" s="58" t="s">
        <v>4197</v>
      </c>
      <c r="U490" s="147"/>
      <c r="V490" s="145">
        <v>45118.0</v>
      </c>
      <c r="W490" s="58" t="s">
        <v>4418</v>
      </c>
      <c r="X490" s="146">
        <v>3062000.0</v>
      </c>
      <c r="Y490" s="146">
        <v>0.0</v>
      </c>
      <c r="Z490" s="146">
        <v>3062000.0</v>
      </c>
      <c r="AA490" s="19">
        <f t="shared" si="1"/>
        <v>7</v>
      </c>
      <c r="AB490" s="19">
        <f t="shared" si="2"/>
        <v>7</v>
      </c>
      <c r="AC490" s="19"/>
    </row>
    <row r="491" ht="15.75" customHeight="1">
      <c r="A491" s="147"/>
      <c r="B491" s="13" t="s">
        <v>28</v>
      </c>
      <c r="C491" s="58" t="s">
        <v>2192</v>
      </c>
      <c r="D491" s="58" t="s">
        <v>2193</v>
      </c>
      <c r="E491" s="58"/>
      <c r="F491" s="58" t="s">
        <v>4417</v>
      </c>
      <c r="G491" s="58"/>
      <c r="H491" s="58"/>
      <c r="I491" s="148" t="s">
        <v>2194</v>
      </c>
      <c r="J491" s="58"/>
      <c r="K491" s="58"/>
      <c r="L491" s="58"/>
      <c r="M491" s="58" t="s">
        <v>111</v>
      </c>
      <c r="N491" s="58" t="s">
        <v>67</v>
      </c>
      <c r="O491" s="14" t="b">
        <v>0</v>
      </c>
      <c r="P491" s="302"/>
      <c r="Q491" s="58"/>
      <c r="R491" s="58"/>
      <c r="S491" s="58"/>
      <c r="T491" s="58"/>
      <c r="U491" s="147"/>
      <c r="V491" s="145">
        <v>45128.0</v>
      </c>
      <c r="W491" s="58" t="s">
        <v>4419</v>
      </c>
      <c r="X491" s="146">
        <v>3062000.0</v>
      </c>
      <c r="Y491" s="146">
        <v>600000.0</v>
      </c>
      <c r="Z491" s="146">
        <v>2462000.0</v>
      </c>
      <c r="AA491" s="19" t="str">
        <f t="shared" si="1"/>
        <v/>
      </c>
      <c r="AB491" s="19">
        <f t="shared" si="2"/>
        <v>7</v>
      </c>
      <c r="AC491" s="19"/>
    </row>
    <row r="492" ht="15.75" customHeight="1">
      <c r="A492" s="12">
        <v>45118.0</v>
      </c>
      <c r="B492" s="24" t="s">
        <v>28</v>
      </c>
      <c r="C492" s="14" t="s">
        <v>2198</v>
      </c>
      <c r="D492" s="14"/>
      <c r="E492" s="14"/>
      <c r="F492" s="14"/>
      <c r="G492" s="14"/>
      <c r="H492" s="14"/>
      <c r="I492" s="15" t="s">
        <v>2199</v>
      </c>
      <c r="J492" s="14"/>
      <c r="K492" s="14"/>
      <c r="L492" s="14" t="s">
        <v>2200</v>
      </c>
      <c r="M492" s="14" t="s">
        <v>48</v>
      </c>
      <c r="N492" s="14" t="s">
        <v>565</v>
      </c>
      <c r="O492" s="14" t="b">
        <v>0</v>
      </c>
      <c r="P492" s="14"/>
      <c r="Q492" s="14"/>
      <c r="R492" s="14"/>
      <c r="S492" s="14" t="s">
        <v>2201</v>
      </c>
      <c r="T492" s="14"/>
      <c r="U492" s="17"/>
      <c r="V492" s="14"/>
      <c r="W492" s="14"/>
      <c r="X492" s="18"/>
      <c r="Y492" s="18"/>
      <c r="Z492" s="18"/>
      <c r="AA492" s="19">
        <f t="shared" si="1"/>
        <v>7</v>
      </c>
      <c r="AB492" s="19" t="str">
        <f t="shared" si="2"/>
        <v/>
      </c>
      <c r="AC492" s="19"/>
    </row>
    <row r="493" ht="15.75" customHeight="1">
      <c r="A493" s="12">
        <v>45118.0</v>
      </c>
      <c r="B493" s="24" t="s">
        <v>28</v>
      </c>
      <c r="C493" s="14" t="s">
        <v>2202</v>
      </c>
      <c r="D493" s="14"/>
      <c r="E493" s="14"/>
      <c r="F493" s="14"/>
      <c r="G493" s="14"/>
      <c r="H493" s="14"/>
      <c r="I493" s="15" t="s">
        <v>2203</v>
      </c>
      <c r="J493" s="14"/>
      <c r="K493" s="14"/>
      <c r="L493" s="14" t="s">
        <v>2204</v>
      </c>
      <c r="M493" s="14" t="s">
        <v>48</v>
      </c>
      <c r="N493" s="14" t="s">
        <v>565</v>
      </c>
      <c r="O493" s="14" t="b">
        <v>0</v>
      </c>
      <c r="P493" s="14"/>
      <c r="Q493" s="14"/>
      <c r="R493" s="14"/>
      <c r="S493" s="14" t="s">
        <v>2205</v>
      </c>
      <c r="T493" s="14"/>
      <c r="U493" s="17"/>
      <c r="V493" s="14"/>
      <c r="W493" s="14"/>
      <c r="X493" s="18"/>
      <c r="Y493" s="18"/>
      <c r="Z493" s="18"/>
      <c r="AA493" s="19">
        <f t="shared" si="1"/>
        <v>7</v>
      </c>
      <c r="AB493" s="19" t="str">
        <f t="shared" si="2"/>
        <v/>
      </c>
      <c r="AC493" s="19"/>
    </row>
    <row r="494" ht="15.75" customHeight="1">
      <c r="A494" s="12">
        <v>45118.0</v>
      </c>
      <c r="B494" s="13" t="s">
        <v>28</v>
      </c>
      <c r="C494" s="14" t="s">
        <v>2206</v>
      </c>
      <c r="D494" s="14" t="s">
        <v>2207</v>
      </c>
      <c r="E494" s="14"/>
      <c r="F494" s="14" t="s">
        <v>4420</v>
      </c>
      <c r="G494" s="14"/>
      <c r="H494" s="14"/>
      <c r="I494" s="303" t="s">
        <v>2208</v>
      </c>
      <c r="J494" s="14"/>
      <c r="K494" s="14"/>
      <c r="L494" s="14" t="s">
        <v>2209</v>
      </c>
      <c r="M494" s="14" t="s">
        <v>111</v>
      </c>
      <c r="N494" s="14" t="s">
        <v>13</v>
      </c>
      <c r="O494" s="14" t="b">
        <v>1</v>
      </c>
      <c r="P494" s="15" t="s">
        <v>4421</v>
      </c>
      <c r="Q494" s="14"/>
      <c r="R494" s="14"/>
      <c r="S494" s="14" t="s">
        <v>2211</v>
      </c>
      <c r="T494" s="14" t="s">
        <v>4069</v>
      </c>
      <c r="U494" s="17"/>
      <c r="V494" s="14"/>
      <c r="W494" s="14"/>
      <c r="X494" s="18"/>
      <c r="Y494" s="18"/>
      <c r="Z494" s="18"/>
      <c r="AA494" s="19">
        <f t="shared" si="1"/>
        <v>7</v>
      </c>
      <c r="AB494" s="19" t="str">
        <f t="shared" si="2"/>
        <v/>
      </c>
      <c r="AC494" s="19"/>
    </row>
    <row r="495" ht="15.75" customHeight="1">
      <c r="A495" s="26">
        <v>45118.0</v>
      </c>
      <c r="B495" s="13" t="s">
        <v>28</v>
      </c>
      <c r="C495" s="110" t="s">
        <v>4422</v>
      </c>
      <c r="D495" s="110" t="s">
        <v>2213</v>
      </c>
      <c r="E495" s="27" t="s">
        <v>4423</v>
      </c>
      <c r="F495" s="27">
        <v>2015.0</v>
      </c>
      <c r="G495" s="27">
        <v>1.0</v>
      </c>
      <c r="H495" s="27"/>
      <c r="I495" s="303"/>
      <c r="J495" s="27"/>
      <c r="K495" s="27"/>
      <c r="L495" s="27"/>
      <c r="M495" s="27" t="s">
        <v>48</v>
      </c>
      <c r="N495" s="27" t="s">
        <v>67</v>
      </c>
      <c r="O495" s="14" t="b">
        <v>1</v>
      </c>
      <c r="P495" s="243" t="s">
        <v>2215</v>
      </c>
      <c r="Q495" s="27"/>
      <c r="R495" s="27"/>
      <c r="S495" s="27" t="s">
        <v>2216</v>
      </c>
      <c r="T495" s="27" t="s">
        <v>4424</v>
      </c>
      <c r="U495" s="26"/>
      <c r="V495" s="32">
        <v>45121.0</v>
      </c>
      <c r="W495" s="27" t="s">
        <v>4425</v>
      </c>
      <c r="X495" s="25">
        <v>525000.0</v>
      </c>
      <c r="Y495" s="25">
        <f t="shared" ref="Y495:Y497" si="6">X495-Z495</f>
        <v>0</v>
      </c>
      <c r="Z495" s="25">
        <v>525000.0</v>
      </c>
      <c r="AA495" s="19">
        <f t="shared" si="1"/>
        <v>7</v>
      </c>
      <c r="AB495" s="19">
        <f t="shared" si="2"/>
        <v>7</v>
      </c>
      <c r="AC495" s="19"/>
    </row>
    <row r="496" ht="15.75" customHeight="1">
      <c r="A496" s="26"/>
      <c r="B496" s="13" t="s">
        <v>28</v>
      </c>
      <c r="C496" s="110"/>
      <c r="D496" s="110" t="s">
        <v>2213</v>
      </c>
      <c r="E496" s="27"/>
      <c r="F496" s="27"/>
      <c r="G496" s="27"/>
      <c r="H496" s="27"/>
      <c r="I496" s="34"/>
      <c r="J496" s="27"/>
      <c r="K496" s="27"/>
      <c r="L496" s="27"/>
      <c r="M496" s="27" t="s">
        <v>48</v>
      </c>
      <c r="N496" s="27" t="s">
        <v>67</v>
      </c>
      <c r="O496" s="14" t="b">
        <v>0</v>
      </c>
      <c r="P496" s="243"/>
      <c r="Q496" s="27"/>
      <c r="R496" s="27"/>
      <c r="S496" s="27" t="s">
        <v>2217</v>
      </c>
      <c r="T496" s="27" t="s">
        <v>4426</v>
      </c>
      <c r="U496" s="26"/>
      <c r="V496" s="32">
        <v>45126.0</v>
      </c>
      <c r="W496" s="27" t="s">
        <v>4427</v>
      </c>
      <c r="X496" s="25">
        <v>4375000.0</v>
      </c>
      <c r="Y496" s="25">
        <f t="shared" si="6"/>
        <v>0</v>
      </c>
      <c r="Z496" s="25">
        <v>4375000.0</v>
      </c>
      <c r="AA496" s="19" t="str">
        <f t="shared" si="1"/>
        <v/>
      </c>
      <c r="AB496" s="19">
        <f t="shared" si="2"/>
        <v>7</v>
      </c>
      <c r="AC496" s="19"/>
    </row>
    <row r="497" ht="15.75" customHeight="1">
      <c r="A497" s="26"/>
      <c r="B497" s="13" t="s">
        <v>28</v>
      </c>
      <c r="C497" s="110"/>
      <c r="D497" s="110" t="s">
        <v>2213</v>
      </c>
      <c r="E497" s="27"/>
      <c r="F497" s="27"/>
      <c r="G497" s="27"/>
      <c r="H497" s="27"/>
      <c r="I497" s="34"/>
      <c r="J497" s="27"/>
      <c r="K497" s="27"/>
      <c r="L497" s="27"/>
      <c r="M497" s="27" t="s">
        <v>48</v>
      </c>
      <c r="N497" s="27" t="s">
        <v>67</v>
      </c>
      <c r="O497" s="14" t="b">
        <v>0</v>
      </c>
      <c r="P497" s="243"/>
      <c r="Q497" s="27"/>
      <c r="R497" s="27"/>
      <c r="S497" s="27" t="s">
        <v>2218</v>
      </c>
      <c r="T497" s="27"/>
      <c r="U497" s="26"/>
      <c r="V497" s="32">
        <v>45136.0</v>
      </c>
      <c r="W497" s="27" t="s">
        <v>4428</v>
      </c>
      <c r="X497" s="25">
        <v>3850000.0</v>
      </c>
      <c r="Y497" s="25">
        <f t="shared" si="6"/>
        <v>800000</v>
      </c>
      <c r="Z497" s="25">
        <v>3050000.0</v>
      </c>
      <c r="AA497" s="19" t="str">
        <f t="shared" si="1"/>
        <v/>
      </c>
      <c r="AB497" s="19">
        <f t="shared" si="2"/>
        <v>7</v>
      </c>
      <c r="AC497" s="19"/>
    </row>
    <row r="498" ht="15.75" customHeight="1">
      <c r="A498" s="26">
        <v>45118.0</v>
      </c>
      <c r="B498" s="27" t="s">
        <v>201</v>
      </c>
      <c r="C498" s="27" t="s">
        <v>4429</v>
      </c>
      <c r="D498" s="27" t="s">
        <v>2220</v>
      </c>
      <c r="E498" s="27"/>
      <c r="F498" s="27" t="s">
        <v>4339</v>
      </c>
      <c r="G498" s="27"/>
      <c r="H498" s="27"/>
      <c r="I498" s="34" t="s">
        <v>2221</v>
      </c>
      <c r="J498" s="27"/>
      <c r="K498" s="27"/>
      <c r="L498" s="27" t="s">
        <v>4430</v>
      </c>
      <c r="M498" s="27" t="s">
        <v>111</v>
      </c>
      <c r="N498" s="27" t="s">
        <v>67</v>
      </c>
      <c r="O498" s="14" t="b">
        <v>1</v>
      </c>
      <c r="P498" s="27" t="s">
        <v>4431</v>
      </c>
      <c r="Q498" s="27"/>
      <c r="R498" s="27"/>
      <c r="S498" s="27" t="s">
        <v>2224</v>
      </c>
      <c r="T498" s="27" t="s">
        <v>4432</v>
      </c>
      <c r="U498" s="26"/>
      <c r="V498" s="32">
        <v>45126.0</v>
      </c>
      <c r="W498" s="27" t="s">
        <v>4194</v>
      </c>
      <c r="X498" s="25">
        <v>2558000.0</v>
      </c>
      <c r="Y498" s="25">
        <v>0.0</v>
      </c>
      <c r="Z498" s="25">
        <v>2558000.0</v>
      </c>
      <c r="AA498" s="19">
        <f t="shared" si="1"/>
        <v>7</v>
      </c>
      <c r="AB498" s="19">
        <f t="shared" si="2"/>
        <v>7</v>
      </c>
      <c r="AC498" s="19"/>
    </row>
    <row r="499" ht="15.75" customHeight="1">
      <c r="A499" s="12">
        <v>45118.0</v>
      </c>
      <c r="B499" s="14" t="s">
        <v>201</v>
      </c>
      <c r="C499" s="14" t="s">
        <v>4429</v>
      </c>
      <c r="D499" s="14" t="s">
        <v>2225</v>
      </c>
      <c r="E499" s="14"/>
      <c r="F499" s="14">
        <v>2008.0</v>
      </c>
      <c r="G499" s="14">
        <v>10.0</v>
      </c>
      <c r="H499" s="14"/>
      <c r="I499" s="15" t="s">
        <v>2221</v>
      </c>
      <c r="J499" s="14"/>
      <c r="K499" s="14"/>
      <c r="L499" s="14" t="s">
        <v>2226</v>
      </c>
      <c r="M499" s="14" t="s">
        <v>111</v>
      </c>
      <c r="N499" s="14" t="s">
        <v>13</v>
      </c>
      <c r="O499" s="14" t="b">
        <v>1</v>
      </c>
      <c r="P499" s="14" t="s">
        <v>2227</v>
      </c>
      <c r="Q499" s="14"/>
      <c r="R499" s="14"/>
      <c r="S499" s="14" t="s">
        <v>2224</v>
      </c>
      <c r="T499" s="14"/>
      <c r="U499" s="17"/>
      <c r="V499" s="14"/>
      <c r="W499" s="14"/>
      <c r="X499" s="18"/>
      <c r="Y499" s="18"/>
      <c r="Z499" s="18"/>
      <c r="AA499" s="19">
        <f t="shared" si="1"/>
        <v>7</v>
      </c>
      <c r="AB499" s="19" t="str">
        <f t="shared" si="2"/>
        <v/>
      </c>
      <c r="AC499" s="19"/>
    </row>
    <row r="500" ht="15.75" customHeight="1">
      <c r="A500" s="12">
        <v>45118.0</v>
      </c>
      <c r="B500" s="13" t="s">
        <v>28</v>
      </c>
      <c r="C500" s="37" t="s">
        <v>2228</v>
      </c>
      <c r="D500" s="14"/>
      <c r="E500" s="14"/>
      <c r="F500" s="14"/>
      <c r="G500" s="14">
        <v>4.0</v>
      </c>
      <c r="H500" s="14"/>
      <c r="I500" s="298" t="s">
        <v>2229</v>
      </c>
      <c r="J500" s="14"/>
      <c r="K500" s="14"/>
      <c r="L500" s="14"/>
      <c r="M500" s="14" t="s">
        <v>48</v>
      </c>
      <c r="N500" s="14" t="s">
        <v>565</v>
      </c>
      <c r="O500" s="14" t="b">
        <v>0</v>
      </c>
      <c r="P500" s="14"/>
      <c r="Q500" s="14"/>
      <c r="R500" s="14"/>
      <c r="S500" s="14" t="s">
        <v>2230</v>
      </c>
      <c r="T500" s="14" t="s">
        <v>4433</v>
      </c>
      <c r="U500" s="17">
        <v>45122.0</v>
      </c>
      <c r="V500" s="14"/>
      <c r="W500" s="14"/>
      <c r="X500" s="18"/>
      <c r="Y500" s="18"/>
      <c r="Z500" s="18"/>
      <c r="AA500" s="19">
        <f t="shared" si="1"/>
        <v>7</v>
      </c>
      <c r="AB500" s="19" t="str">
        <f t="shared" si="2"/>
        <v/>
      </c>
      <c r="AC500" s="19"/>
    </row>
    <row r="501" ht="15.75" customHeight="1">
      <c r="A501" s="12">
        <v>45118.0</v>
      </c>
      <c r="B501" s="13" t="s">
        <v>28</v>
      </c>
      <c r="C501" s="14" t="s">
        <v>2231</v>
      </c>
      <c r="D501" s="14"/>
      <c r="E501" s="14"/>
      <c r="F501" s="14"/>
      <c r="G501" s="14"/>
      <c r="H501" s="14"/>
      <c r="I501" s="15" t="s">
        <v>2232</v>
      </c>
      <c r="J501" s="14"/>
      <c r="K501" s="14"/>
      <c r="L501" s="14" t="s">
        <v>2233</v>
      </c>
      <c r="M501" s="14" t="s">
        <v>111</v>
      </c>
      <c r="N501" s="14" t="s">
        <v>34</v>
      </c>
      <c r="O501" s="14" t="b">
        <v>0</v>
      </c>
      <c r="P501" s="14"/>
      <c r="Q501" s="14"/>
      <c r="R501" s="14"/>
      <c r="S501" s="14" t="s">
        <v>2234</v>
      </c>
      <c r="T501" s="14" t="s">
        <v>4069</v>
      </c>
      <c r="U501" s="17"/>
      <c r="V501" s="14"/>
      <c r="W501" s="14"/>
      <c r="X501" s="18"/>
      <c r="Y501" s="18"/>
      <c r="Z501" s="18"/>
      <c r="AA501" s="19">
        <f t="shared" si="1"/>
        <v>7</v>
      </c>
      <c r="AB501" s="19" t="str">
        <f t="shared" si="2"/>
        <v/>
      </c>
      <c r="AC501" s="19"/>
    </row>
    <row r="502" ht="15.75" customHeight="1">
      <c r="A502" s="12">
        <v>45119.0</v>
      </c>
      <c r="B502" s="14" t="s">
        <v>201</v>
      </c>
      <c r="C502" s="14" t="s">
        <v>4434</v>
      </c>
      <c r="D502" s="14" t="s">
        <v>2236</v>
      </c>
      <c r="E502" s="14"/>
      <c r="F502" s="14"/>
      <c r="G502" s="14"/>
      <c r="H502" s="14"/>
      <c r="I502" s="15" t="s">
        <v>2237</v>
      </c>
      <c r="J502" s="14"/>
      <c r="K502" s="14"/>
      <c r="L502" s="14" t="s">
        <v>2238</v>
      </c>
      <c r="M502" s="14" t="s">
        <v>111</v>
      </c>
      <c r="N502" s="14" t="s">
        <v>565</v>
      </c>
      <c r="O502" s="14" t="b">
        <v>0</v>
      </c>
      <c r="P502" s="14"/>
      <c r="Q502" s="14"/>
      <c r="R502" s="14"/>
      <c r="S502" s="14" t="s">
        <v>2239</v>
      </c>
      <c r="T502" s="14" t="s">
        <v>4197</v>
      </c>
      <c r="U502" s="17">
        <v>45170.0</v>
      </c>
      <c r="V502" s="14"/>
      <c r="W502" s="14"/>
      <c r="X502" s="18"/>
      <c r="Y502" s="18"/>
      <c r="Z502" s="18"/>
      <c r="AA502" s="19">
        <f t="shared" si="1"/>
        <v>7</v>
      </c>
      <c r="AB502" s="19" t="str">
        <f t="shared" si="2"/>
        <v/>
      </c>
      <c r="AC502" s="19"/>
    </row>
    <row r="503" ht="15.75" customHeight="1">
      <c r="A503" s="26">
        <v>45119.0</v>
      </c>
      <c r="B503" s="27" t="s">
        <v>201</v>
      </c>
      <c r="C503" s="27" t="s">
        <v>4435</v>
      </c>
      <c r="D503" s="27" t="s">
        <v>2241</v>
      </c>
      <c r="E503" s="27" t="s">
        <v>4436</v>
      </c>
      <c r="F503" s="27">
        <v>2013.0</v>
      </c>
      <c r="G503" s="27" t="s">
        <v>2242</v>
      </c>
      <c r="H503" s="27"/>
      <c r="I503" s="34" t="s">
        <v>2243</v>
      </c>
      <c r="J503" s="27"/>
      <c r="K503" s="27"/>
      <c r="L503" s="27"/>
      <c r="M503" s="27" t="s">
        <v>111</v>
      </c>
      <c r="N503" s="27" t="s">
        <v>67</v>
      </c>
      <c r="O503" s="14" t="b">
        <v>1</v>
      </c>
      <c r="P503" s="27" t="s">
        <v>2244</v>
      </c>
      <c r="Q503" s="27"/>
      <c r="R503" s="27"/>
      <c r="S503" s="27" t="s">
        <v>2245</v>
      </c>
      <c r="T503" s="27"/>
      <c r="U503" s="26"/>
      <c r="V503" s="32">
        <v>45124.0</v>
      </c>
      <c r="W503" s="27" t="s">
        <v>4189</v>
      </c>
      <c r="X503" s="25">
        <v>3062000.0</v>
      </c>
      <c r="Y503" s="25">
        <v>0.0</v>
      </c>
      <c r="Z503" s="25">
        <v>3062000.0</v>
      </c>
      <c r="AA503" s="19">
        <f t="shared" si="1"/>
        <v>7</v>
      </c>
      <c r="AB503" s="19">
        <f t="shared" si="2"/>
        <v>7</v>
      </c>
      <c r="AC503" s="19"/>
    </row>
    <row r="504" ht="15.75" customHeight="1">
      <c r="A504" s="26">
        <v>45119.0</v>
      </c>
      <c r="B504" s="27" t="s">
        <v>201</v>
      </c>
      <c r="C504" s="27" t="s">
        <v>4437</v>
      </c>
      <c r="D504" s="27" t="s">
        <v>2247</v>
      </c>
      <c r="E504" s="27" t="s">
        <v>4438</v>
      </c>
      <c r="F504" s="27">
        <v>2014.0</v>
      </c>
      <c r="G504" s="27" t="s">
        <v>2248</v>
      </c>
      <c r="H504" s="27"/>
      <c r="I504" s="34" t="s">
        <v>2249</v>
      </c>
      <c r="J504" s="27"/>
      <c r="K504" s="27"/>
      <c r="L504" s="27"/>
      <c r="M504" s="27" t="s">
        <v>111</v>
      </c>
      <c r="N504" s="27" t="s">
        <v>67</v>
      </c>
      <c r="O504" s="14" t="b">
        <v>1</v>
      </c>
      <c r="P504" s="27" t="s">
        <v>2250</v>
      </c>
      <c r="Q504" s="27" t="s">
        <v>4189</v>
      </c>
      <c r="R504" s="27" t="s">
        <v>2251</v>
      </c>
      <c r="S504" s="27" t="s">
        <v>2245</v>
      </c>
      <c r="T504" s="27"/>
      <c r="U504" s="26"/>
      <c r="V504" s="32">
        <v>45120.0</v>
      </c>
      <c r="W504" s="27" t="s">
        <v>4189</v>
      </c>
      <c r="X504" s="25">
        <v>6124000.0</v>
      </c>
      <c r="Y504" s="25">
        <v>600000.0</v>
      </c>
      <c r="Z504" s="25">
        <v>5524000.0</v>
      </c>
      <c r="AA504" s="19">
        <f t="shared" si="1"/>
        <v>7</v>
      </c>
      <c r="AB504" s="19">
        <f t="shared" si="2"/>
        <v>7</v>
      </c>
      <c r="AC504" s="19"/>
    </row>
    <row r="505" ht="15.75" customHeight="1">
      <c r="A505" s="12">
        <v>45119.0</v>
      </c>
      <c r="B505" s="14" t="s">
        <v>703</v>
      </c>
      <c r="C505" s="14" t="s">
        <v>2252</v>
      </c>
      <c r="D505" s="14"/>
      <c r="E505" s="14"/>
      <c r="F505" s="14"/>
      <c r="G505" s="14"/>
      <c r="H505" s="14"/>
      <c r="I505" s="15" t="s">
        <v>2253</v>
      </c>
      <c r="J505" s="14"/>
      <c r="K505" s="14"/>
      <c r="L505" s="14"/>
      <c r="M505" s="14" t="s">
        <v>48</v>
      </c>
      <c r="N505" s="14" t="s">
        <v>565</v>
      </c>
      <c r="O505" s="14" t="b">
        <v>0</v>
      </c>
      <c r="P505" s="14"/>
      <c r="Q505" s="14"/>
      <c r="R505" s="14"/>
      <c r="S505" s="14" t="s">
        <v>2254</v>
      </c>
      <c r="T505" s="14"/>
      <c r="U505" s="17"/>
      <c r="V505" s="14"/>
      <c r="W505" s="14"/>
      <c r="X505" s="18"/>
      <c r="Y505" s="18"/>
      <c r="Z505" s="18"/>
      <c r="AA505" s="19">
        <f t="shared" si="1"/>
        <v>7</v>
      </c>
      <c r="AB505" s="19" t="str">
        <f t="shared" si="2"/>
        <v/>
      </c>
      <c r="AC505" s="19"/>
    </row>
    <row r="506" ht="15.75" customHeight="1">
      <c r="A506" s="12">
        <v>45119.0</v>
      </c>
      <c r="B506" s="14" t="s">
        <v>201</v>
      </c>
      <c r="C506" s="14" t="s">
        <v>4439</v>
      </c>
      <c r="D506" s="14"/>
      <c r="E506" s="14"/>
      <c r="F506" s="14" t="s">
        <v>457</v>
      </c>
      <c r="G506" s="14"/>
      <c r="H506" s="14"/>
      <c r="I506" s="15" t="s">
        <v>2256</v>
      </c>
      <c r="J506" s="14"/>
      <c r="K506" s="14"/>
      <c r="L506" s="14" t="s">
        <v>2257</v>
      </c>
      <c r="M506" s="14" t="s">
        <v>48</v>
      </c>
      <c r="N506" s="14" t="s">
        <v>565</v>
      </c>
      <c r="O506" s="14" t="b">
        <v>0</v>
      </c>
      <c r="P506" s="14" t="s">
        <v>2258</v>
      </c>
      <c r="Q506" s="14"/>
      <c r="R506" s="14"/>
      <c r="S506" s="14" t="s">
        <v>2259</v>
      </c>
      <c r="T506" s="14" t="s">
        <v>4440</v>
      </c>
      <c r="U506" s="17">
        <v>45122.0</v>
      </c>
      <c r="V506" s="14"/>
      <c r="W506" s="14"/>
      <c r="X506" s="18"/>
      <c r="Y506" s="18"/>
      <c r="Z506" s="18"/>
      <c r="AA506" s="19">
        <f t="shared" si="1"/>
        <v>7</v>
      </c>
      <c r="AB506" s="19" t="str">
        <f t="shared" si="2"/>
        <v/>
      </c>
      <c r="AC506" s="19"/>
    </row>
    <row r="507" ht="15.75" customHeight="1">
      <c r="A507" s="12">
        <v>45119.0</v>
      </c>
      <c r="B507" s="14" t="s">
        <v>703</v>
      </c>
      <c r="C507" s="14" t="s">
        <v>2260</v>
      </c>
      <c r="D507" s="14"/>
      <c r="E507" s="14"/>
      <c r="F507" s="14"/>
      <c r="G507" s="14"/>
      <c r="H507" s="14"/>
      <c r="I507" s="304" t="s">
        <v>2261</v>
      </c>
      <c r="J507" s="14"/>
      <c r="K507" s="14"/>
      <c r="L507" s="14"/>
      <c r="M507" s="14" t="s">
        <v>48</v>
      </c>
      <c r="N507" s="14" t="s">
        <v>216</v>
      </c>
      <c r="O507" s="14" t="b">
        <v>0</v>
      </c>
      <c r="P507" s="14"/>
      <c r="Q507" s="14"/>
      <c r="R507" s="14"/>
      <c r="S507" s="14" t="s">
        <v>2262</v>
      </c>
      <c r="T507" s="14"/>
      <c r="U507" s="17"/>
      <c r="V507" s="14"/>
      <c r="W507" s="14"/>
      <c r="X507" s="18"/>
      <c r="Y507" s="18"/>
      <c r="Z507" s="18"/>
      <c r="AA507" s="19">
        <f t="shared" si="1"/>
        <v>7</v>
      </c>
      <c r="AB507" s="19" t="str">
        <f t="shared" si="2"/>
        <v/>
      </c>
      <c r="AC507" s="19"/>
    </row>
    <row r="508" ht="15.75" customHeight="1">
      <c r="A508" s="12">
        <v>45119.0</v>
      </c>
      <c r="B508" s="14" t="s">
        <v>703</v>
      </c>
      <c r="C508" s="14" t="s">
        <v>2040</v>
      </c>
      <c r="D508" s="14"/>
      <c r="E508" s="14"/>
      <c r="F508" s="14"/>
      <c r="G508" s="14"/>
      <c r="H508" s="14"/>
      <c r="I508" s="15" t="s">
        <v>2263</v>
      </c>
      <c r="J508" s="14"/>
      <c r="K508" s="14"/>
      <c r="L508" s="14"/>
      <c r="M508" s="14" t="s">
        <v>48</v>
      </c>
      <c r="N508" s="14" t="s">
        <v>216</v>
      </c>
      <c r="O508" s="14" t="b">
        <v>0</v>
      </c>
      <c r="P508" s="14"/>
      <c r="Q508" s="14"/>
      <c r="R508" s="14"/>
      <c r="S508" s="14" t="s">
        <v>2264</v>
      </c>
      <c r="T508" s="14"/>
      <c r="U508" s="17"/>
      <c r="V508" s="14"/>
      <c r="W508" s="14"/>
      <c r="X508" s="18"/>
      <c r="Y508" s="18"/>
      <c r="Z508" s="18"/>
      <c r="AA508" s="19">
        <f t="shared" si="1"/>
        <v>7</v>
      </c>
      <c r="AB508" s="19" t="str">
        <f t="shared" si="2"/>
        <v/>
      </c>
      <c r="AC508" s="19"/>
    </row>
    <row r="509" ht="15.75" customHeight="1">
      <c r="A509" s="26">
        <v>45119.0</v>
      </c>
      <c r="B509" s="27" t="s">
        <v>201</v>
      </c>
      <c r="C509" s="27" t="s">
        <v>4441</v>
      </c>
      <c r="D509" s="27" t="s">
        <v>2266</v>
      </c>
      <c r="E509" s="27"/>
      <c r="F509" s="32">
        <v>41650.0</v>
      </c>
      <c r="G509" s="27">
        <v>4.0</v>
      </c>
      <c r="H509" s="27"/>
      <c r="I509" s="34" t="s">
        <v>2267</v>
      </c>
      <c r="J509" s="27"/>
      <c r="K509" s="27" t="s">
        <v>2268</v>
      </c>
      <c r="L509" s="27" t="s">
        <v>2269</v>
      </c>
      <c r="M509" s="27" t="s">
        <v>48</v>
      </c>
      <c r="N509" s="27" t="s">
        <v>67</v>
      </c>
      <c r="O509" s="14" t="b">
        <v>1</v>
      </c>
      <c r="P509" s="27" t="s">
        <v>2270</v>
      </c>
      <c r="Q509" s="27"/>
      <c r="R509" s="27"/>
      <c r="S509" s="27" t="s">
        <v>2271</v>
      </c>
      <c r="T509" s="27"/>
      <c r="U509" s="26"/>
      <c r="V509" s="32">
        <v>45122.0</v>
      </c>
      <c r="W509" s="27" t="s">
        <v>4442</v>
      </c>
      <c r="X509" s="25">
        <v>6124000.0</v>
      </c>
      <c r="Y509" s="25">
        <f>X509-Z509</f>
        <v>765720</v>
      </c>
      <c r="Z509" s="25">
        <v>5358280.0</v>
      </c>
      <c r="AA509" s="19">
        <f t="shared" si="1"/>
        <v>7</v>
      </c>
      <c r="AB509" s="19">
        <f t="shared" si="2"/>
        <v>7</v>
      </c>
      <c r="AC509" s="19"/>
    </row>
    <row r="510" ht="15.75" customHeight="1">
      <c r="A510" s="12">
        <v>45105.0</v>
      </c>
      <c r="B510" s="13" t="s">
        <v>28</v>
      </c>
      <c r="C510" s="14" t="s">
        <v>2272</v>
      </c>
      <c r="D510" s="14"/>
      <c r="E510" s="14"/>
      <c r="F510" s="14"/>
      <c r="G510" s="14"/>
      <c r="H510" s="14"/>
      <c r="I510" s="15" t="s">
        <v>2273</v>
      </c>
      <c r="J510" s="14"/>
      <c r="K510" s="14"/>
      <c r="L510" s="14"/>
      <c r="M510" s="27" t="s">
        <v>111</v>
      </c>
      <c r="N510" s="14" t="s">
        <v>565</v>
      </c>
      <c r="O510" s="14" t="b">
        <v>0</v>
      </c>
      <c r="P510" s="14"/>
      <c r="Q510" s="14"/>
      <c r="R510" s="14"/>
      <c r="S510" s="14" t="s">
        <v>2274</v>
      </c>
      <c r="T510" s="14"/>
      <c r="U510" s="17"/>
      <c r="V510" s="14"/>
      <c r="W510" s="14"/>
      <c r="X510" s="18"/>
      <c r="Y510" s="18"/>
      <c r="Z510" s="18"/>
      <c r="AA510" s="19">
        <f t="shared" si="1"/>
        <v>6</v>
      </c>
      <c r="AB510" s="19" t="str">
        <f t="shared" si="2"/>
        <v/>
      </c>
      <c r="AC510" s="19"/>
    </row>
    <row r="511" ht="15.75" customHeight="1">
      <c r="A511" s="12">
        <v>45119.0</v>
      </c>
      <c r="B511" s="14" t="s">
        <v>703</v>
      </c>
      <c r="C511" s="14" t="s">
        <v>2275</v>
      </c>
      <c r="D511" s="14"/>
      <c r="E511" s="14"/>
      <c r="F511" s="14"/>
      <c r="G511" s="14"/>
      <c r="H511" s="14"/>
      <c r="I511" s="15" t="s">
        <v>2276</v>
      </c>
      <c r="J511" s="14"/>
      <c r="K511" s="14"/>
      <c r="L511" s="14"/>
      <c r="M511" s="14" t="s">
        <v>111</v>
      </c>
      <c r="N511" s="14" t="s">
        <v>34</v>
      </c>
      <c r="O511" s="14" t="b">
        <v>0</v>
      </c>
      <c r="P511" s="14"/>
      <c r="Q511" s="14"/>
      <c r="R511" s="14"/>
      <c r="S511" s="14" t="s">
        <v>2277</v>
      </c>
      <c r="T511" s="14" t="s">
        <v>4069</v>
      </c>
      <c r="U511" s="17"/>
      <c r="V511" s="14"/>
      <c r="W511" s="14"/>
      <c r="X511" s="18"/>
      <c r="Y511" s="18"/>
      <c r="Z511" s="18"/>
      <c r="AA511" s="19">
        <f t="shared" si="1"/>
        <v>7</v>
      </c>
      <c r="AB511" s="19" t="str">
        <f t="shared" si="2"/>
        <v/>
      </c>
      <c r="AC511" s="19"/>
    </row>
    <row r="512" ht="15.75" customHeight="1">
      <c r="A512" s="12">
        <v>45119.0</v>
      </c>
      <c r="B512" s="14" t="s">
        <v>703</v>
      </c>
      <c r="C512" s="14" t="s">
        <v>2278</v>
      </c>
      <c r="D512" s="14"/>
      <c r="E512" s="14"/>
      <c r="F512" s="14"/>
      <c r="G512" s="14"/>
      <c r="H512" s="14"/>
      <c r="I512" s="15" t="s">
        <v>2279</v>
      </c>
      <c r="J512" s="14"/>
      <c r="K512" s="14"/>
      <c r="L512" s="14"/>
      <c r="M512" s="14" t="s">
        <v>48</v>
      </c>
      <c r="N512" s="14" t="s">
        <v>216</v>
      </c>
      <c r="O512" s="14" t="b">
        <v>0</v>
      </c>
      <c r="P512" s="14"/>
      <c r="Q512" s="14"/>
      <c r="R512" s="14"/>
      <c r="S512" s="14" t="s">
        <v>2280</v>
      </c>
      <c r="T512" s="14"/>
      <c r="U512" s="17"/>
      <c r="V512" s="14"/>
      <c r="W512" s="14"/>
      <c r="X512" s="18"/>
      <c r="Y512" s="18"/>
      <c r="Z512" s="18"/>
      <c r="AA512" s="19">
        <f t="shared" si="1"/>
        <v>7</v>
      </c>
      <c r="AB512" s="19" t="str">
        <f t="shared" si="2"/>
        <v/>
      </c>
      <c r="AC512" s="19"/>
    </row>
    <row r="513" ht="15.75" customHeight="1">
      <c r="A513" s="12">
        <v>45119.0</v>
      </c>
      <c r="B513" s="14" t="s">
        <v>703</v>
      </c>
      <c r="C513" s="14" t="s">
        <v>2281</v>
      </c>
      <c r="D513" s="14"/>
      <c r="E513" s="14"/>
      <c r="F513" s="14"/>
      <c r="G513" s="14"/>
      <c r="H513" s="14"/>
      <c r="I513" s="15" t="s">
        <v>2282</v>
      </c>
      <c r="J513" s="14"/>
      <c r="K513" s="14"/>
      <c r="L513" s="14"/>
      <c r="M513" s="14" t="s">
        <v>48</v>
      </c>
      <c r="N513" s="14" t="s">
        <v>216</v>
      </c>
      <c r="O513" s="14" t="b">
        <v>0</v>
      </c>
      <c r="P513" s="14"/>
      <c r="Q513" s="14"/>
      <c r="R513" s="14"/>
      <c r="S513" s="14" t="s">
        <v>2280</v>
      </c>
      <c r="T513" s="14"/>
      <c r="U513" s="17"/>
      <c r="V513" s="14"/>
      <c r="W513" s="14"/>
      <c r="X513" s="18"/>
      <c r="Y513" s="18"/>
      <c r="Z513" s="18"/>
      <c r="AA513" s="19">
        <f t="shared" si="1"/>
        <v>7</v>
      </c>
      <c r="AB513" s="19" t="str">
        <f t="shared" si="2"/>
        <v/>
      </c>
      <c r="AC513" s="19"/>
    </row>
    <row r="514" ht="15.75" customHeight="1">
      <c r="A514" s="12">
        <v>45119.0</v>
      </c>
      <c r="B514" s="14" t="s">
        <v>703</v>
      </c>
      <c r="C514" s="14" t="s">
        <v>4443</v>
      </c>
      <c r="D514" s="14"/>
      <c r="E514" s="14"/>
      <c r="F514" s="14"/>
      <c r="G514" s="14"/>
      <c r="H514" s="14"/>
      <c r="I514" s="15" t="s">
        <v>2284</v>
      </c>
      <c r="J514" s="14"/>
      <c r="K514" s="14"/>
      <c r="L514" s="14"/>
      <c r="M514" s="14" t="s">
        <v>111</v>
      </c>
      <c r="N514" s="14" t="s">
        <v>34</v>
      </c>
      <c r="O514" s="14" t="b">
        <v>0</v>
      </c>
      <c r="P514" s="14"/>
      <c r="Q514" s="14"/>
      <c r="R514" s="14"/>
      <c r="S514" s="14" t="s">
        <v>2285</v>
      </c>
      <c r="T514" s="14" t="s">
        <v>4069</v>
      </c>
      <c r="U514" s="17"/>
      <c r="V514" s="14"/>
      <c r="W514" s="14"/>
      <c r="X514" s="18"/>
      <c r="Y514" s="18"/>
      <c r="Z514" s="18"/>
      <c r="AA514" s="19">
        <f t="shared" si="1"/>
        <v>7</v>
      </c>
      <c r="AB514" s="19" t="str">
        <f t="shared" si="2"/>
        <v/>
      </c>
      <c r="AC514" s="19"/>
    </row>
    <row r="515" ht="15.75" customHeight="1">
      <c r="A515" s="12">
        <v>45119.0</v>
      </c>
      <c r="B515" s="14" t="s">
        <v>703</v>
      </c>
      <c r="C515" s="14" t="s">
        <v>2286</v>
      </c>
      <c r="D515" s="14"/>
      <c r="E515" s="14"/>
      <c r="F515" s="14"/>
      <c r="G515" s="14"/>
      <c r="H515" s="14"/>
      <c r="I515" s="15" t="s">
        <v>2287</v>
      </c>
      <c r="J515" s="14"/>
      <c r="K515" s="14"/>
      <c r="L515" s="14"/>
      <c r="M515" s="14" t="s">
        <v>111</v>
      </c>
      <c r="N515" s="14" t="s">
        <v>34</v>
      </c>
      <c r="O515" s="14" t="b">
        <v>0</v>
      </c>
      <c r="P515" s="14"/>
      <c r="Q515" s="14"/>
      <c r="R515" s="14"/>
      <c r="S515" s="14" t="s">
        <v>2288</v>
      </c>
      <c r="T515" s="14" t="s">
        <v>4069</v>
      </c>
      <c r="U515" s="17"/>
      <c r="V515" s="14"/>
      <c r="W515" s="14"/>
      <c r="X515" s="18"/>
      <c r="Y515" s="18"/>
      <c r="Z515" s="18"/>
      <c r="AA515" s="19">
        <f t="shared" si="1"/>
        <v>7</v>
      </c>
      <c r="AB515" s="19" t="str">
        <f t="shared" si="2"/>
        <v/>
      </c>
      <c r="AC515" s="19"/>
    </row>
    <row r="516" ht="15.75" customHeight="1">
      <c r="A516" s="12">
        <v>45120.0</v>
      </c>
      <c r="B516" s="14" t="s">
        <v>201</v>
      </c>
      <c r="C516" s="14" t="s">
        <v>4444</v>
      </c>
      <c r="D516" s="14" t="s">
        <v>2290</v>
      </c>
      <c r="E516" s="14"/>
      <c r="F516" s="14" t="s">
        <v>505</v>
      </c>
      <c r="G516" s="14"/>
      <c r="H516" s="14"/>
      <c r="I516" s="15" t="s">
        <v>2291</v>
      </c>
      <c r="J516" s="14"/>
      <c r="K516" s="14"/>
      <c r="L516" s="14"/>
      <c r="M516" s="14" t="s">
        <v>48</v>
      </c>
      <c r="N516" s="14" t="s">
        <v>34</v>
      </c>
      <c r="O516" s="14" t="b">
        <v>1</v>
      </c>
      <c r="P516" s="14" t="s">
        <v>2293</v>
      </c>
      <c r="Q516" s="14"/>
      <c r="R516" s="14"/>
      <c r="S516" s="14" t="s">
        <v>2294</v>
      </c>
      <c r="T516" s="14" t="s">
        <v>36</v>
      </c>
      <c r="U516" s="17"/>
      <c r="V516" s="14"/>
      <c r="W516" s="14"/>
      <c r="X516" s="18"/>
      <c r="Y516" s="18"/>
      <c r="Z516" s="18"/>
      <c r="AA516" s="19">
        <f t="shared" si="1"/>
        <v>7</v>
      </c>
      <c r="AB516" s="19" t="str">
        <f t="shared" si="2"/>
        <v/>
      </c>
      <c r="AC516" s="19"/>
    </row>
    <row r="517" ht="15.75" customHeight="1">
      <c r="A517" s="12">
        <v>45120.0</v>
      </c>
      <c r="B517" s="14" t="s">
        <v>703</v>
      </c>
      <c r="C517" s="14" t="s">
        <v>2295</v>
      </c>
      <c r="D517" s="14"/>
      <c r="E517" s="14"/>
      <c r="F517" s="14"/>
      <c r="G517" s="14"/>
      <c r="H517" s="14"/>
      <c r="I517" s="305" t="s">
        <v>2296</v>
      </c>
      <c r="J517" s="14"/>
      <c r="K517" s="14"/>
      <c r="L517" s="14"/>
      <c r="M517" s="14" t="s">
        <v>111</v>
      </c>
      <c r="N517" s="14" t="s">
        <v>565</v>
      </c>
      <c r="O517" s="14" t="b">
        <v>0</v>
      </c>
      <c r="P517" s="14"/>
      <c r="Q517" s="14"/>
      <c r="R517" s="14"/>
      <c r="S517" s="14" t="s">
        <v>2297</v>
      </c>
      <c r="T517" s="14"/>
      <c r="U517" s="17"/>
      <c r="V517" s="14"/>
      <c r="W517" s="14"/>
      <c r="X517" s="18"/>
      <c r="Y517" s="18"/>
      <c r="Z517" s="18"/>
      <c r="AA517" s="19">
        <f t="shared" si="1"/>
        <v>7</v>
      </c>
      <c r="AB517" s="19" t="str">
        <f t="shared" si="2"/>
        <v/>
      </c>
      <c r="AC517" s="19"/>
    </row>
    <row r="518" ht="15.75" customHeight="1">
      <c r="A518" s="12">
        <v>45120.0</v>
      </c>
      <c r="B518" s="13" t="s">
        <v>28</v>
      </c>
      <c r="C518" s="14" t="s">
        <v>2298</v>
      </c>
      <c r="D518" s="14" t="s">
        <v>2299</v>
      </c>
      <c r="E518" s="14"/>
      <c r="F518" s="142">
        <v>42952.0</v>
      </c>
      <c r="G518" s="14" t="s">
        <v>419</v>
      </c>
      <c r="H518" s="14"/>
      <c r="I518" s="15" t="s">
        <v>2300</v>
      </c>
      <c r="J518" s="14"/>
      <c r="K518" s="14"/>
      <c r="L518" s="14" t="s">
        <v>2301</v>
      </c>
      <c r="M518" s="14" t="s">
        <v>48</v>
      </c>
      <c r="N518" s="14" t="s">
        <v>67</v>
      </c>
      <c r="O518" s="14" t="b">
        <v>1</v>
      </c>
      <c r="P518" s="14" t="s">
        <v>2302</v>
      </c>
      <c r="Q518" s="14"/>
      <c r="R518" s="14"/>
      <c r="S518" s="14" t="s">
        <v>2303</v>
      </c>
      <c r="T518" s="14"/>
      <c r="U518" s="17"/>
      <c r="V518" s="142">
        <v>45128.0</v>
      </c>
      <c r="W518" s="14" t="s">
        <v>4445</v>
      </c>
      <c r="X518" s="18">
        <v>8750000.0</v>
      </c>
      <c r="Y518" s="18">
        <f>X518-Z518</f>
        <v>1038500</v>
      </c>
      <c r="Z518" s="18">
        <v>7711500.0</v>
      </c>
      <c r="AA518" s="19">
        <f t="shared" si="1"/>
        <v>7</v>
      </c>
      <c r="AB518" s="19">
        <f t="shared" si="2"/>
        <v>7</v>
      </c>
      <c r="AC518" s="19"/>
    </row>
    <row r="519" ht="15.75" customHeight="1">
      <c r="A519" s="12">
        <v>45120.0</v>
      </c>
      <c r="B519" s="14" t="s">
        <v>60</v>
      </c>
      <c r="C519" s="294" t="s">
        <v>2304</v>
      </c>
      <c r="D519" s="294" t="s">
        <v>2305</v>
      </c>
      <c r="E519" s="14"/>
      <c r="F519" s="14"/>
      <c r="G519" s="14"/>
      <c r="H519" s="14"/>
      <c r="I519" s="37">
        <v>9.45255559E8</v>
      </c>
      <c r="J519" s="14"/>
      <c r="K519" s="14"/>
      <c r="L519" s="14"/>
      <c r="M519" s="14" t="s">
        <v>111</v>
      </c>
      <c r="N519" s="14" t="s">
        <v>333</v>
      </c>
      <c r="O519" s="14" t="b">
        <v>0</v>
      </c>
      <c r="P519" s="14"/>
      <c r="Q519" s="14"/>
      <c r="R519" s="14"/>
      <c r="S519" s="14" t="s">
        <v>2306</v>
      </c>
      <c r="T519" s="14"/>
      <c r="U519" s="17">
        <v>45158.0</v>
      </c>
      <c r="V519" s="14"/>
      <c r="W519" s="14"/>
      <c r="X519" s="18"/>
      <c r="Y519" s="18"/>
      <c r="Z519" s="18"/>
      <c r="AA519" s="19">
        <f t="shared" si="1"/>
        <v>7</v>
      </c>
      <c r="AB519" s="19" t="str">
        <f t="shared" si="2"/>
        <v/>
      </c>
      <c r="AC519" s="19"/>
    </row>
    <row r="520" ht="15.75" customHeight="1">
      <c r="A520" s="12">
        <v>45121.0</v>
      </c>
      <c r="B520" s="14" t="s">
        <v>84</v>
      </c>
      <c r="C520" s="14" t="s">
        <v>2307</v>
      </c>
      <c r="D520" s="14" t="s">
        <v>2308</v>
      </c>
      <c r="E520" s="14"/>
      <c r="F520" s="14" t="s">
        <v>4446</v>
      </c>
      <c r="G520" s="14"/>
      <c r="H520" s="14"/>
      <c r="I520" s="15" t="s">
        <v>2309</v>
      </c>
      <c r="J520" s="14"/>
      <c r="K520" s="14"/>
      <c r="L520" s="14"/>
      <c r="M520" s="14" t="s">
        <v>111</v>
      </c>
      <c r="N520" s="14" t="s">
        <v>34</v>
      </c>
      <c r="O520" s="14" t="b">
        <v>1</v>
      </c>
      <c r="P520" s="14" t="s">
        <v>2310</v>
      </c>
      <c r="Q520" s="14"/>
      <c r="R520" s="14"/>
      <c r="S520" s="14" t="s">
        <v>2311</v>
      </c>
      <c r="T520" s="14"/>
      <c r="U520" s="17"/>
      <c r="V520" s="14"/>
      <c r="W520" s="14"/>
      <c r="X520" s="18"/>
      <c r="Y520" s="18"/>
      <c r="Z520" s="18"/>
      <c r="AA520" s="19">
        <f t="shared" si="1"/>
        <v>7</v>
      </c>
      <c r="AB520" s="19" t="str">
        <f t="shared" si="2"/>
        <v/>
      </c>
      <c r="AC520" s="19"/>
    </row>
    <row r="521" ht="15.75" customHeight="1">
      <c r="A521" s="12">
        <v>45122.0</v>
      </c>
      <c r="B521" s="14" t="s">
        <v>60</v>
      </c>
      <c r="C521" s="14" t="s">
        <v>2312</v>
      </c>
      <c r="D521" s="14" t="s">
        <v>2313</v>
      </c>
      <c r="E521" s="14"/>
      <c r="F521" s="14"/>
      <c r="G521" s="14">
        <v>7.0</v>
      </c>
      <c r="H521" s="14"/>
      <c r="I521" s="15" t="s">
        <v>2314</v>
      </c>
      <c r="J521" s="14"/>
      <c r="K521" s="14"/>
      <c r="L521" s="14" t="s">
        <v>2315</v>
      </c>
      <c r="M521" s="14" t="s">
        <v>48</v>
      </c>
      <c r="N521" s="14" t="s">
        <v>34</v>
      </c>
      <c r="O521" s="14" t="b">
        <v>1</v>
      </c>
      <c r="P521" s="15" t="s">
        <v>2316</v>
      </c>
      <c r="Q521" s="14"/>
      <c r="R521" s="14"/>
      <c r="S521" s="14" t="s">
        <v>2317</v>
      </c>
      <c r="T521" s="14" t="s">
        <v>36</v>
      </c>
      <c r="U521" s="17"/>
      <c r="V521" s="14"/>
      <c r="W521" s="14"/>
      <c r="X521" s="18"/>
      <c r="Y521" s="18"/>
      <c r="Z521" s="18"/>
      <c r="AA521" s="19">
        <f t="shared" si="1"/>
        <v>7</v>
      </c>
      <c r="AB521" s="19" t="str">
        <f t="shared" si="2"/>
        <v/>
      </c>
      <c r="AC521" s="19"/>
    </row>
    <row r="522" ht="15.75" customHeight="1">
      <c r="A522" s="12">
        <v>45122.0</v>
      </c>
      <c r="B522" s="14" t="s">
        <v>703</v>
      </c>
      <c r="C522" s="14" t="s">
        <v>2318</v>
      </c>
      <c r="D522" s="14"/>
      <c r="E522" s="14"/>
      <c r="F522" s="14"/>
      <c r="G522" s="14"/>
      <c r="H522" s="14"/>
      <c r="I522" s="15" t="s">
        <v>2319</v>
      </c>
      <c r="J522" s="14"/>
      <c r="K522" s="14"/>
      <c r="L522" s="14"/>
      <c r="M522" s="14" t="s">
        <v>48</v>
      </c>
      <c r="N522" s="14" t="s">
        <v>216</v>
      </c>
      <c r="O522" s="14" t="b">
        <v>0</v>
      </c>
      <c r="P522" s="14"/>
      <c r="Q522" s="14"/>
      <c r="R522" s="14"/>
      <c r="S522" s="14" t="s">
        <v>2320</v>
      </c>
      <c r="T522" s="14"/>
      <c r="U522" s="17"/>
      <c r="V522" s="14"/>
      <c r="W522" s="14"/>
      <c r="X522" s="18"/>
      <c r="Y522" s="18"/>
      <c r="Z522" s="18"/>
      <c r="AA522" s="19">
        <f t="shared" si="1"/>
        <v>7</v>
      </c>
      <c r="AB522" s="19" t="str">
        <f t="shared" si="2"/>
        <v/>
      </c>
      <c r="AC522" s="19"/>
    </row>
    <row r="523" ht="15.75" customHeight="1">
      <c r="A523" s="12">
        <v>45121.0</v>
      </c>
      <c r="B523" s="13" t="s">
        <v>28</v>
      </c>
      <c r="C523" s="14" t="s">
        <v>2321</v>
      </c>
      <c r="D523" s="14"/>
      <c r="E523" s="14"/>
      <c r="F523" s="14"/>
      <c r="G523" s="14"/>
      <c r="H523" s="14"/>
      <c r="I523" s="15" t="s">
        <v>2322</v>
      </c>
      <c r="J523" s="14"/>
      <c r="K523" s="14"/>
      <c r="L523" s="14" t="s">
        <v>2323</v>
      </c>
      <c r="M523" s="14" t="s">
        <v>111</v>
      </c>
      <c r="N523" s="14" t="s">
        <v>34</v>
      </c>
      <c r="O523" s="14" t="b">
        <v>0</v>
      </c>
      <c r="P523" s="14"/>
      <c r="Q523" s="14"/>
      <c r="R523" s="14"/>
      <c r="S523" s="14" t="s">
        <v>2324</v>
      </c>
      <c r="T523" s="14"/>
      <c r="U523" s="17"/>
      <c r="V523" s="14"/>
      <c r="W523" s="14"/>
      <c r="X523" s="18"/>
      <c r="Y523" s="18"/>
      <c r="Z523" s="18"/>
      <c r="AA523" s="19">
        <f t="shared" si="1"/>
        <v>7</v>
      </c>
      <c r="AB523" s="19" t="str">
        <f t="shared" si="2"/>
        <v/>
      </c>
      <c r="AC523" s="19"/>
    </row>
    <row r="524" ht="15.75" customHeight="1">
      <c r="A524" s="12">
        <v>45122.0</v>
      </c>
      <c r="B524" s="14" t="s">
        <v>703</v>
      </c>
      <c r="C524" s="14" t="s">
        <v>2325</v>
      </c>
      <c r="D524" s="14"/>
      <c r="E524" s="14"/>
      <c r="F524" s="14"/>
      <c r="G524" s="14"/>
      <c r="H524" s="14"/>
      <c r="I524" s="15" t="s">
        <v>2326</v>
      </c>
      <c r="J524" s="14"/>
      <c r="K524" s="14"/>
      <c r="L524" s="14" t="s">
        <v>2327</v>
      </c>
      <c r="M524" s="14" t="s">
        <v>111</v>
      </c>
      <c r="N524" s="14" t="s">
        <v>565</v>
      </c>
      <c r="O524" s="14" t="b">
        <v>0</v>
      </c>
      <c r="P524" s="14"/>
      <c r="Q524" s="14"/>
      <c r="R524" s="14"/>
      <c r="S524" s="14" t="s">
        <v>2328</v>
      </c>
      <c r="T524" s="14"/>
      <c r="U524" s="17"/>
      <c r="V524" s="14"/>
      <c r="W524" s="14"/>
      <c r="X524" s="18"/>
      <c r="Y524" s="18"/>
      <c r="Z524" s="18"/>
      <c r="AA524" s="19">
        <f t="shared" si="1"/>
        <v>7</v>
      </c>
      <c r="AB524" s="19" t="str">
        <f t="shared" si="2"/>
        <v/>
      </c>
      <c r="AC524" s="19"/>
    </row>
    <row r="525" ht="15.75" customHeight="1">
      <c r="A525" s="12">
        <v>45122.0</v>
      </c>
      <c r="B525" s="14" t="s">
        <v>703</v>
      </c>
      <c r="C525" s="14" t="s">
        <v>2329</v>
      </c>
      <c r="D525" s="14"/>
      <c r="E525" s="14"/>
      <c r="F525" s="14"/>
      <c r="G525" s="14"/>
      <c r="H525" s="14"/>
      <c r="I525" s="15" t="s">
        <v>2330</v>
      </c>
      <c r="J525" s="14"/>
      <c r="K525" s="14"/>
      <c r="L525" s="14"/>
      <c r="M525" s="14" t="s">
        <v>48</v>
      </c>
      <c r="N525" s="14" t="s">
        <v>565</v>
      </c>
      <c r="O525" s="14" t="b">
        <v>0</v>
      </c>
      <c r="P525" s="14"/>
      <c r="Q525" s="14"/>
      <c r="R525" s="14"/>
      <c r="S525" s="14" t="s">
        <v>2331</v>
      </c>
      <c r="T525" s="14"/>
      <c r="U525" s="17"/>
      <c r="V525" s="14"/>
      <c r="W525" s="14"/>
      <c r="X525" s="18"/>
      <c r="Y525" s="18"/>
      <c r="Z525" s="18"/>
      <c r="AA525" s="19">
        <f t="shared" si="1"/>
        <v>7</v>
      </c>
      <c r="AB525" s="19" t="str">
        <f t="shared" si="2"/>
        <v/>
      </c>
      <c r="AC525" s="19"/>
    </row>
    <row r="526" ht="15.75" customHeight="1">
      <c r="A526" s="12">
        <v>45123.0</v>
      </c>
      <c r="B526" s="13" t="s">
        <v>28</v>
      </c>
      <c r="C526" s="14" t="s">
        <v>4447</v>
      </c>
      <c r="D526" s="14"/>
      <c r="E526" s="14"/>
      <c r="F526" s="14" t="s">
        <v>419</v>
      </c>
      <c r="G526" s="14"/>
      <c r="H526" s="14"/>
      <c r="I526" s="15" t="s">
        <v>2333</v>
      </c>
      <c r="J526" s="14"/>
      <c r="K526" s="14"/>
      <c r="L526" s="14" t="s">
        <v>2334</v>
      </c>
      <c r="M526" s="14" t="s">
        <v>48</v>
      </c>
      <c r="N526" s="14" t="s">
        <v>34</v>
      </c>
      <c r="O526" s="14" t="b">
        <v>0</v>
      </c>
      <c r="P526" s="14"/>
      <c r="Q526" s="14"/>
      <c r="R526" s="14"/>
      <c r="S526" s="14" t="s">
        <v>2335</v>
      </c>
      <c r="T526" s="14"/>
      <c r="U526" s="17"/>
      <c r="V526" s="14"/>
      <c r="W526" s="14"/>
      <c r="X526" s="18"/>
      <c r="Y526" s="18"/>
      <c r="Z526" s="18"/>
      <c r="AA526" s="19">
        <f t="shared" si="1"/>
        <v>7</v>
      </c>
      <c r="AB526" s="19" t="str">
        <f t="shared" si="2"/>
        <v/>
      </c>
      <c r="AC526" s="19"/>
    </row>
    <row r="527" ht="15.75" customHeight="1">
      <c r="A527" s="12">
        <v>45123.0</v>
      </c>
      <c r="B527" s="13" t="s">
        <v>28</v>
      </c>
      <c r="C527" s="14" t="s">
        <v>1632</v>
      </c>
      <c r="D527" s="14"/>
      <c r="E527" s="14"/>
      <c r="F527" s="14"/>
      <c r="G527" s="14"/>
      <c r="H527" s="14"/>
      <c r="I527" s="15" t="s">
        <v>2336</v>
      </c>
      <c r="J527" s="14"/>
      <c r="K527" s="14"/>
      <c r="L527" s="14"/>
      <c r="M527" s="14" t="s">
        <v>48</v>
      </c>
      <c r="N527" s="14" t="s">
        <v>565</v>
      </c>
      <c r="O527" s="14" t="b">
        <v>0</v>
      </c>
      <c r="P527" s="14"/>
      <c r="Q527" s="14"/>
      <c r="R527" s="14"/>
      <c r="S527" s="14" t="s">
        <v>2337</v>
      </c>
      <c r="T527" s="14"/>
      <c r="U527" s="17"/>
      <c r="V527" s="14"/>
      <c r="W527" s="14"/>
      <c r="X527" s="18"/>
      <c r="Y527" s="18"/>
      <c r="Z527" s="18"/>
      <c r="AA527" s="19">
        <f t="shared" si="1"/>
        <v>7</v>
      </c>
      <c r="AB527" s="19" t="str">
        <f t="shared" si="2"/>
        <v/>
      </c>
      <c r="AC527" s="19"/>
    </row>
    <row r="528" ht="15.75" customHeight="1">
      <c r="A528" s="12">
        <v>45124.0</v>
      </c>
      <c r="B528" s="13" t="s">
        <v>28</v>
      </c>
      <c r="C528" s="14" t="s">
        <v>2338</v>
      </c>
      <c r="D528" s="14" t="s">
        <v>2339</v>
      </c>
      <c r="E528" s="14"/>
      <c r="F528" s="14"/>
      <c r="G528" s="14" t="s">
        <v>2340</v>
      </c>
      <c r="H528" s="14"/>
      <c r="I528" s="132" t="s">
        <v>2341</v>
      </c>
      <c r="J528" s="14"/>
      <c r="K528" s="14"/>
      <c r="L528" s="14" t="s">
        <v>2342</v>
      </c>
      <c r="M528" s="14" t="s">
        <v>48</v>
      </c>
      <c r="N528" s="14" t="s">
        <v>565</v>
      </c>
      <c r="O528" s="14" t="b">
        <v>0</v>
      </c>
      <c r="P528" s="14"/>
      <c r="Q528" s="14"/>
      <c r="R528" s="14"/>
      <c r="S528" s="14" t="s">
        <v>2343</v>
      </c>
      <c r="T528" s="14"/>
      <c r="U528" s="17"/>
      <c r="V528" s="14"/>
      <c r="W528" s="14"/>
      <c r="X528" s="18"/>
      <c r="Y528" s="18"/>
      <c r="Z528" s="18"/>
      <c r="AA528" s="19">
        <f t="shared" si="1"/>
        <v>7</v>
      </c>
      <c r="AB528" s="19" t="str">
        <f t="shared" si="2"/>
        <v/>
      </c>
      <c r="AC528" s="19"/>
    </row>
    <row r="529" ht="15.75" customHeight="1">
      <c r="A529" s="26">
        <v>45124.0</v>
      </c>
      <c r="B529" s="27" t="s">
        <v>60</v>
      </c>
      <c r="C529" s="157" t="s">
        <v>2344</v>
      </c>
      <c r="D529" s="157" t="s">
        <v>62</v>
      </c>
      <c r="E529" s="33">
        <v>2016.0</v>
      </c>
      <c r="F529" s="306"/>
      <c r="G529" s="33"/>
      <c r="H529" s="157"/>
      <c r="I529" s="157">
        <v>9.07405075E8</v>
      </c>
      <c r="J529" s="27"/>
      <c r="K529" s="27"/>
      <c r="L529" s="27" t="s">
        <v>4448</v>
      </c>
      <c r="M529" s="27" t="s">
        <v>48</v>
      </c>
      <c r="N529" s="27" t="s">
        <v>67</v>
      </c>
      <c r="O529" s="14" t="b">
        <v>1</v>
      </c>
      <c r="P529" s="27" t="s">
        <v>2346</v>
      </c>
      <c r="Q529" s="27"/>
      <c r="R529" s="27"/>
      <c r="S529" s="27" t="s">
        <v>2347</v>
      </c>
      <c r="T529" s="27"/>
      <c r="U529" s="26"/>
      <c r="V529" s="32">
        <v>45124.0</v>
      </c>
      <c r="W529" s="27" t="s">
        <v>4449</v>
      </c>
      <c r="X529" s="25">
        <v>8750000.0</v>
      </c>
      <c r="Y529" s="25">
        <f>X529-Z529</f>
        <v>1038500</v>
      </c>
      <c r="Z529" s="25">
        <v>7711500.0</v>
      </c>
      <c r="AA529" s="19">
        <f t="shared" si="1"/>
        <v>7</v>
      </c>
      <c r="AB529" s="19">
        <f t="shared" si="2"/>
        <v>7</v>
      </c>
      <c r="AC529" s="19"/>
    </row>
    <row r="530" ht="15.75" customHeight="1">
      <c r="A530" s="26">
        <v>45124.0</v>
      </c>
      <c r="B530" s="27" t="s">
        <v>60</v>
      </c>
      <c r="C530" s="307" t="s">
        <v>348</v>
      </c>
      <c r="D530" s="308" t="s">
        <v>785</v>
      </c>
      <c r="E530" s="309">
        <v>2017.0</v>
      </c>
      <c r="F530" s="283"/>
      <c r="G530" s="309"/>
      <c r="H530" s="310"/>
      <c r="I530" s="310">
        <v>9.05235035E8</v>
      </c>
      <c r="J530" s="27"/>
      <c r="K530" s="27"/>
      <c r="L530" s="27" t="s">
        <v>4450</v>
      </c>
      <c r="M530" s="27" t="s">
        <v>111</v>
      </c>
      <c r="N530" s="27" t="s">
        <v>67</v>
      </c>
      <c r="O530" s="14" t="b">
        <v>1</v>
      </c>
      <c r="P530" s="27" t="s">
        <v>2349</v>
      </c>
      <c r="Q530" s="27"/>
      <c r="R530" s="27"/>
      <c r="S530" s="27" t="s">
        <v>2350</v>
      </c>
      <c r="T530" s="27"/>
      <c r="U530" s="26"/>
      <c r="V530" s="32">
        <v>45127.0</v>
      </c>
      <c r="W530" s="27" t="s">
        <v>4451</v>
      </c>
      <c r="X530" s="25">
        <v>6124000.0</v>
      </c>
      <c r="Y530" s="25">
        <v>765720.0</v>
      </c>
      <c r="Z530" s="25">
        <v>5360000.0</v>
      </c>
      <c r="AA530" s="19">
        <f t="shared" si="1"/>
        <v>7</v>
      </c>
      <c r="AB530" s="19">
        <f t="shared" si="2"/>
        <v>7</v>
      </c>
      <c r="AC530" s="19"/>
    </row>
    <row r="531" ht="15.75" customHeight="1">
      <c r="A531" s="12">
        <v>45124.0</v>
      </c>
      <c r="B531" s="14" t="s">
        <v>60</v>
      </c>
      <c r="C531" s="311" t="s">
        <v>2351</v>
      </c>
      <c r="D531" s="312" t="s">
        <v>2352</v>
      </c>
      <c r="E531" s="313">
        <v>2016.0</v>
      </c>
      <c r="F531" s="232"/>
      <c r="G531" s="313"/>
      <c r="H531" s="314"/>
      <c r="I531" s="314">
        <v>9.6380948E8</v>
      </c>
      <c r="J531" s="14"/>
      <c r="K531" s="14"/>
      <c r="L531" s="14" t="s">
        <v>4450</v>
      </c>
      <c r="M531" s="14" t="s">
        <v>111</v>
      </c>
      <c r="N531" s="14" t="s">
        <v>13</v>
      </c>
      <c r="O531" s="14" t="b">
        <v>1</v>
      </c>
      <c r="P531" s="14" t="s">
        <v>2353</v>
      </c>
      <c r="Q531" s="14"/>
      <c r="R531" s="14"/>
      <c r="S531" s="14" t="s">
        <v>4452</v>
      </c>
      <c r="T531" s="14"/>
      <c r="U531" s="17"/>
      <c r="V531" s="14"/>
      <c r="W531" s="14"/>
      <c r="X531" s="18"/>
      <c r="Y531" s="18"/>
      <c r="Z531" s="18"/>
      <c r="AA531" s="19">
        <f t="shared" si="1"/>
        <v>7</v>
      </c>
      <c r="AB531" s="19" t="str">
        <f t="shared" si="2"/>
        <v/>
      </c>
      <c r="AC531" s="19"/>
    </row>
    <row r="532" ht="15.75" customHeight="1">
      <c r="A532" s="26">
        <v>45124.0</v>
      </c>
      <c r="B532" s="27" t="s">
        <v>60</v>
      </c>
      <c r="C532" s="157" t="s">
        <v>2355</v>
      </c>
      <c r="D532" s="27" t="s">
        <v>2356</v>
      </c>
      <c r="E532" s="27" t="s">
        <v>4453</v>
      </c>
      <c r="F532" s="23">
        <v>41686.0</v>
      </c>
      <c r="G532" s="27"/>
      <c r="H532" s="27"/>
      <c r="I532" s="34" t="s">
        <v>2357</v>
      </c>
      <c r="J532" s="27"/>
      <c r="K532" s="27"/>
      <c r="L532" s="27" t="s">
        <v>2358</v>
      </c>
      <c r="M532" s="27" t="s">
        <v>48</v>
      </c>
      <c r="N532" s="27" t="s">
        <v>67</v>
      </c>
      <c r="O532" s="14" t="b">
        <v>1</v>
      </c>
      <c r="P532" s="27" t="s">
        <v>2359</v>
      </c>
      <c r="Q532" s="27"/>
      <c r="R532" s="27"/>
      <c r="S532" s="27" t="s">
        <v>2360</v>
      </c>
      <c r="T532" s="27"/>
      <c r="U532" s="26"/>
      <c r="V532" s="32">
        <v>45127.0</v>
      </c>
      <c r="W532" s="27" t="s">
        <v>4454</v>
      </c>
      <c r="X532" s="25">
        <v>2558000.0</v>
      </c>
      <c r="Y532" s="25">
        <f>X532-Z532</f>
        <v>0</v>
      </c>
      <c r="Z532" s="25">
        <v>2558000.0</v>
      </c>
      <c r="AA532" s="19">
        <f t="shared" si="1"/>
        <v>7</v>
      </c>
      <c r="AB532" s="19">
        <f t="shared" si="2"/>
        <v>7</v>
      </c>
      <c r="AC532" s="19"/>
    </row>
    <row r="533" ht="15.75" customHeight="1">
      <c r="A533" s="12">
        <v>45124.0</v>
      </c>
      <c r="B533" s="14" t="s">
        <v>340</v>
      </c>
      <c r="C533" s="311"/>
      <c r="D533" s="162" t="s">
        <v>2361</v>
      </c>
      <c r="E533" s="14"/>
      <c r="F533" s="14"/>
      <c r="G533" s="14"/>
      <c r="H533" s="14"/>
      <c r="I533" s="15"/>
      <c r="J533" s="14"/>
      <c r="K533" s="14"/>
      <c r="L533" s="14" t="s">
        <v>2362</v>
      </c>
      <c r="M533" s="14" t="s">
        <v>48</v>
      </c>
      <c r="N533" s="14" t="s">
        <v>34</v>
      </c>
      <c r="O533" s="14" t="b">
        <v>0</v>
      </c>
      <c r="P533" s="14"/>
      <c r="Q533" s="14"/>
      <c r="R533" s="14"/>
      <c r="S533" s="14" t="s">
        <v>2363</v>
      </c>
      <c r="T533" s="14" t="s">
        <v>36</v>
      </c>
      <c r="U533" s="17"/>
      <c r="V533" s="14"/>
      <c r="W533" s="14"/>
      <c r="X533" s="18"/>
      <c r="Y533" s="18"/>
      <c r="Z533" s="18"/>
      <c r="AA533" s="19">
        <f t="shared" si="1"/>
        <v>7</v>
      </c>
      <c r="AB533" s="19" t="str">
        <f t="shared" si="2"/>
        <v/>
      </c>
      <c r="AC533" s="19"/>
    </row>
    <row r="534" ht="15.75" customHeight="1">
      <c r="A534" s="12">
        <v>45124.0</v>
      </c>
      <c r="B534" s="14" t="s">
        <v>703</v>
      </c>
      <c r="C534" s="162" t="s">
        <v>2364</v>
      </c>
      <c r="D534" s="14"/>
      <c r="E534" s="14"/>
      <c r="F534" s="14"/>
      <c r="G534" s="14"/>
      <c r="H534" s="14"/>
      <c r="I534" s="15" t="s">
        <v>2365</v>
      </c>
      <c r="J534" s="14"/>
      <c r="K534" s="14"/>
      <c r="L534" s="14"/>
      <c r="M534" s="14" t="s">
        <v>48</v>
      </c>
      <c r="N534" s="14" t="s">
        <v>1484</v>
      </c>
      <c r="O534" s="14" t="b">
        <v>0</v>
      </c>
      <c r="P534" s="14"/>
      <c r="Q534" s="14"/>
      <c r="R534" s="14"/>
      <c r="S534" s="14" t="s">
        <v>2366</v>
      </c>
      <c r="T534" s="14"/>
      <c r="U534" s="17"/>
      <c r="V534" s="14"/>
      <c r="W534" s="14"/>
      <c r="X534" s="18"/>
      <c r="Y534" s="18"/>
      <c r="Z534" s="18"/>
      <c r="AA534" s="19">
        <f t="shared" si="1"/>
        <v>7</v>
      </c>
      <c r="AB534" s="19" t="str">
        <f t="shared" si="2"/>
        <v/>
      </c>
      <c r="AC534" s="19"/>
    </row>
    <row r="535" ht="15.75" customHeight="1">
      <c r="A535" s="12">
        <v>45124.0</v>
      </c>
      <c r="B535" s="14" t="s">
        <v>703</v>
      </c>
      <c r="C535" s="43" t="s">
        <v>2367</v>
      </c>
      <c r="D535" s="14"/>
      <c r="E535" s="14"/>
      <c r="F535" s="14"/>
      <c r="G535" s="14"/>
      <c r="H535" s="14"/>
      <c r="I535" s="15" t="s">
        <v>2368</v>
      </c>
      <c r="J535" s="14"/>
      <c r="K535" s="14"/>
      <c r="L535" s="14"/>
      <c r="M535" s="14" t="s">
        <v>48</v>
      </c>
      <c r="N535" s="14" t="s">
        <v>1484</v>
      </c>
      <c r="O535" s="14" t="b">
        <v>0</v>
      </c>
      <c r="P535" s="14"/>
      <c r="Q535" s="14"/>
      <c r="R535" s="14"/>
      <c r="S535" s="14" t="s">
        <v>2366</v>
      </c>
      <c r="T535" s="14"/>
      <c r="U535" s="17"/>
      <c r="V535" s="14"/>
      <c r="W535" s="14"/>
      <c r="X535" s="18"/>
      <c r="Y535" s="18"/>
      <c r="Z535" s="18"/>
      <c r="AA535" s="19">
        <f t="shared" si="1"/>
        <v>7</v>
      </c>
      <c r="AB535" s="19" t="str">
        <f t="shared" si="2"/>
        <v/>
      </c>
      <c r="AC535" s="19"/>
    </row>
    <row r="536" ht="15.75" customHeight="1">
      <c r="A536" s="12">
        <v>45124.0</v>
      </c>
      <c r="B536" s="14" t="s">
        <v>703</v>
      </c>
      <c r="C536" s="14" t="s">
        <v>2369</v>
      </c>
      <c r="D536" s="14"/>
      <c r="E536" s="14"/>
      <c r="F536" s="14" t="s">
        <v>4455</v>
      </c>
      <c r="G536" s="14"/>
      <c r="H536" s="14"/>
      <c r="I536" s="15" t="s">
        <v>2370</v>
      </c>
      <c r="J536" s="14"/>
      <c r="K536" s="14"/>
      <c r="L536" s="14" t="s">
        <v>2371</v>
      </c>
      <c r="M536" s="14" t="s">
        <v>48</v>
      </c>
      <c r="N536" s="14" t="s">
        <v>34</v>
      </c>
      <c r="O536" s="14" t="b">
        <v>0</v>
      </c>
      <c r="P536" s="14"/>
      <c r="Q536" s="14"/>
      <c r="R536" s="14"/>
      <c r="S536" s="14" t="s">
        <v>2372</v>
      </c>
      <c r="T536" s="14" t="s">
        <v>36</v>
      </c>
      <c r="U536" s="17"/>
      <c r="V536" s="14"/>
      <c r="W536" s="14"/>
      <c r="X536" s="18"/>
      <c r="Y536" s="18"/>
      <c r="Z536" s="18"/>
      <c r="AA536" s="19">
        <f t="shared" si="1"/>
        <v>7</v>
      </c>
      <c r="AB536" s="19" t="str">
        <f t="shared" si="2"/>
        <v/>
      </c>
      <c r="AC536" s="19"/>
    </row>
    <row r="537" ht="15.75" customHeight="1">
      <c r="A537" s="12">
        <v>45124.0</v>
      </c>
      <c r="B537" s="14" t="s">
        <v>703</v>
      </c>
      <c r="C537" s="14" t="s">
        <v>2373</v>
      </c>
      <c r="D537" s="14" t="s">
        <v>2374</v>
      </c>
      <c r="E537" s="14"/>
      <c r="F537" s="14">
        <v>2016.0</v>
      </c>
      <c r="G537" s="14"/>
      <c r="H537" s="14"/>
      <c r="I537" s="15" t="s">
        <v>2375</v>
      </c>
      <c r="J537" s="14"/>
      <c r="K537" s="14"/>
      <c r="L537" s="14"/>
      <c r="M537" s="14" t="s">
        <v>48</v>
      </c>
      <c r="N537" s="14" t="s">
        <v>565</v>
      </c>
      <c r="O537" s="14" t="b">
        <v>1</v>
      </c>
      <c r="P537" s="14" t="s">
        <v>640</v>
      </c>
      <c r="Q537" s="14"/>
      <c r="R537" s="14"/>
      <c r="S537" s="14" t="s">
        <v>2376</v>
      </c>
      <c r="T537" s="14" t="s">
        <v>4384</v>
      </c>
      <c r="U537" s="17"/>
      <c r="V537" s="14"/>
      <c r="W537" s="14"/>
      <c r="X537" s="18"/>
      <c r="Y537" s="18"/>
      <c r="Z537" s="18"/>
      <c r="AA537" s="19">
        <f t="shared" si="1"/>
        <v>7</v>
      </c>
      <c r="AB537" s="19" t="str">
        <f t="shared" si="2"/>
        <v/>
      </c>
      <c r="AC537" s="19"/>
    </row>
    <row r="538" ht="15.75" customHeight="1">
      <c r="A538" s="26">
        <v>45125.0</v>
      </c>
      <c r="B538" s="27" t="s">
        <v>201</v>
      </c>
      <c r="C538" s="27" t="s">
        <v>2377</v>
      </c>
      <c r="D538" s="27" t="s">
        <v>2378</v>
      </c>
      <c r="E538" s="27" t="s">
        <v>2821</v>
      </c>
      <c r="F538" s="27">
        <v>2011.0</v>
      </c>
      <c r="G538" s="27">
        <v>7.0</v>
      </c>
      <c r="H538" s="27" t="s">
        <v>2379</v>
      </c>
      <c r="I538" s="34" t="s">
        <v>2380</v>
      </c>
      <c r="J538" s="27"/>
      <c r="K538" s="27"/>
      <c r="L538" s="27"/>
      <c r="M538" s="27" t="s">
        <v>111</v>
      </c>
      <c r="N538" s="27" t="s">
        <v>67</v>
      </c>
      <c r="O538" s="14" t="b">
        <v>1</v>
      </c>
      <c r="P538" s="27" t="s">
        <v>2381</v>
      </c>
      <c r="Q538" s="27"/>
      <c r="R538" s="27"/>
      <c r="S538" s="27" t="s">
        <v>2382</v>
      </c>
      <c r="T538" s="27" t="s">
        <v>4456</v>
      </c>
      <c r="U538" s="26"/>
      <c r="V538" s="32">
        <v>45128.0</v>
      </c>
      <c r="W538" s="27" t="s">
        <v>4207</v>
      </c>
      <c r="X538" s="25">
        <v>6124000.0</v>
      </c>
      <c r="Y538" s="25">
        <v>765720.0</v>
      </c>
      <c r="Z538" s="25">
        <v>5358280.0</v>
      </c>
      <c r="AA538" s="19">
        <f t="shared" si="1"/>
        <v>7</v>
      </c>
      <c r="AB538" s="19">
        <f t="shared" si="2"/>
        <v>7</v>
      </c>
      <c r="AC538" s="19"/>
    </row>
    <row r="539" ht="15.75" customHeight="1">
      <c r="A539" s="12">
        <v>45125.0</v>
      </c>
      <c r="B539" s="14" t="s">
        <v>703</v>
      </c>
      <c r="C539" s="14" t="s">
        <v>2383</v>
      </c>
      <c r="D539" s="14"/>
      <c r="E539" s="14"/>
      <c r="F539" s="14"/>
      <c r="G539" s="14"/>
      <c r="H539" s="14"/>
      <c r="I539" s="15" t="s">
        <v>2384</v>
      </c>
      <c r="J539" s="14"/>
      <c r="K539" s="14"/>
      <c r="L539" s="14"/>
      <c r="M539" s="14" t="s">
        <v>48</v>
      </c>
      <c r="N539" s="14" t="s">
        <v>216</v>
      </c>
      <c r="O539" s="14" t="b">
        <v>0</v>
      </c>
      <c r="P539" s="14"/>
      <c r="Q539" s="14"/>
      <c r="R539" s="14"/>
      <c r="S539" s="14" t="s">
        <v>2385</v>
      </c>
      <c r="T539" s="14"/>
      <c r="U539" s="17"/>
      <c r="V539" s="14"/>
      <c r="W539" s="14"/>
      <c r="X539" s="18"/>
      <c r="Y539" s="18"/>
      <c r="Z539" s="18"/>
      <c r="AA539" s="19">
        <f t="shared" si="1"/>
        <v>7</v>
      </c>
      <c r="AB539" s="19" t="str">
        <f t="shared" si="2"/>
        <v/>
      </c>
      <c r="AC539" s="19"/>
    </row>
    <row r="540" ht="15.75" customHeight="1">
      <c r="A540" s="12">
        <v>45125.0</v>
      </c>
      <c r="B540" s="14" t="s">
        <v>703</v>
      </c>
      <c r="C540" s="14" t="s">
        <v>2386</v>
      </c>
      <c r="D540" s="14"/>
      <c r="E540" s="14"/>
      <c r="F540" s="14"/>
      <c r="G540" s="14"/>
      <c r="H540" s="14"/>
      <c r="I540" s="15" t="s">
        <v>2387</v>
      </c>
      <c r="J540" s="14"/>
      <c r="K540" s="14"/>
      <c r="L540" s="14"/>
      <c r="M540" s="14" t="s">
        <v>48</v>
      </c>
      <c r="N540" s="14" t="s">
        <v>216</v>
      </c>
      <c r="O540" s="14" t="b">
        <v>0</v>
      </c>
      <c r="P540" s="14"/>
      <c r="Q540" s="14"/>
      <c r="R540" s="14"/>
      <c r="S540" s="14" t="s">
        <v>2388</v>
      </c>
      <c r="T540" s="14" t="s">
        <v>36</v>
      </c>
      <c r="U540" s="17"/>
      <c r="V540" s="14"/>
      <c r="W540" s="14"/>
      <c r="X540" s="18"/>
      <c r="Y540" s="18"/>
      <c r="Z540" s="18"/>
      <c r="AA540" s="19">
        <f t="shared" si="1"/>
        <v>7</v>
      </c>
      <c r="AB540" s="19" t="str">
        <f t="shared" si="2"/>
        <v/>
      </c>
      <c r="AC540" s="19"/>
    </row>
    <row r="541" ht="15.75" customHeight="1">
      <c r="A541" s="12">
        <v>45125.0</v>
      </c>
      <c r="B541" s="14" t="s">
        <v>703</v>
      </c>
      <c r="C541" s="14" t="s">
        <v>2389</v>
      </c>
      <c r="D541" s="14"/>
      <c r="E541" s="14"/>
      <c r="F541" s="14"/>
      <c r="G541" s="14"/>
      <c r="H541" s="14"/>
      <c r="I541" s="15" t="s">
        <v>2390</v>
      </c>
      <c r="J541" s="14"/>
      <c r="K541" s="14"/>
      <c r="L541" s="14"/>
      <c r="M541" s="14" t="s">
        <v>48</v>
      </c>
      <c r="N541" s="14" t="s">
        <v>34</v>
      </c>
      <c r="O541" s="14" t="b">
        <v>0</v>
      </c>
      <c r="P541" s="14"/>
      <c r="Q541" s="14"/>
      <c r="R541" s="14"/>
      <c r="S541" s="14" t="s">
        <v>2391</v>
      </c>
      <c r="T541" s="14" t="s">
        <v>36</v>
      </c>
      <c r="U541" s="17"/>
      <c r="V541" s="14"/>
      <c r="W541" s="14"/>
      <c r="X541" s="18"/>
      <c r="Y541" s="18"/>
      <c r="Z541" s="18"/>
      <c r="AA541" s="19">
        <f t="shared" si="1"/>
        <v>7</v>
      </c>
      <c r="AB541" s="19" t="str">
        <f t="shared" si="2"/>
        <v/>
      </c>
      <c r="AC541" s="19"/>
    </row>
    <row r="542" ht="15.75" customHeight="1">
      <c r="A542" s="12">
        <v>45125.0</v>
      </c>
      <c r="B542" s="14" t="s">
        <v>703</v>
      </c>
      <c r="C542" s="14" t="s">
        <v>2392</v>
      </c>
      <c r="D542" s="14"/>
      <c r="E542" s="14"/>
      <c r="F542" s="14"/>
      <c r="G542" s="14"/>
      <c r="H542" s="14"/>
      <c r="I542" s="15" t="s">
        <v>2393</v>
      </c>
      <c r="J542" s="14"/>
      <c r="K542" s="14"/>
      <c r="L542" s="14"/>
      <c r="M542" s="14" t="s">
        <v>111</v>
      </c>
      <c r="N542" s="14" t="s">
        <v>34</v>
      </c>
      <c r="O542" s="14" t="b">
        <v>0</v>
      </c>
      <c r="P542" s="14"/>
      <c r="Q542" s="14"/>
      <c r="R542" s="14"/>
      <c r="S542" s="14" t="s">
        <v>2394</v>
      </c>
      <c r="T542" s="14"/>
      <c r="U542" s="17"/>
      <c r="V542" s="14"/>
      <c r="W542" s="14"/>
      <c r="X542" s="18"/>
      <c r="Y542" s="18"/>
      <c r="Z542" s="18"/>
      <c r="AA542" s="19">
        <f t="shared" si="1"/>
        <v>7</v>
      </c>
      <c r="AB542" s="19" t="str">
        <f t="shared" si="2"/>
        <v/>
      </c>
      <c r="AC542" s="19"/>
    </row>
    <row r="543" ht="15.75" customHeight="1">
      <c r="A543" s="12">
        <v>45125.0</v>
      </c>
      <c r="B543" s="14" t="s">
        <v>703</v>
      </c>
      <c r="C543" s="14" t="s">
        <v>2395</v>
      </c>
      <c r="D543" s="14"/>
      <c r="E543" s="14"/>
      <c r="F543" s="14"/>
      <c r="G543" s="14"/>
      <c r="H543" s="14"/>
      <c r="I543" s="15" t="s">
        <v>2396</v>
      </c>
      <c r="J543" s="14"/>
      <c r="K543" s="14"/>
      <c r="L543" s="14"/>
      <c r="M543" s="14" t="s">
        <v>111</v>
      </c>
      <c r="N543" s="14" t="s">
        <v>216</v>
      </c>
      <c r="O543" s="14" t="b">
        <v>0</v>
      </c>
      <c r="P543" s="14"/>
      <c r="Q543" s="14"/>
      <c r="R543" s="14"/>
      <c r="S543" s="14" t="s">
        <v>2397</v>
      </c>
      <c r="T543" s="14"/>
      <c r="U543" s="17"/>
      <c r="V543" s="14"/>
      <c r="W543" s="14"/>
      <c r="X543" s="18"/>
      <c r="Y543" s="18"/>
      <c r="Z543" s="18"/>
      <c r="AA543" s="19">
        <f t="shared" si="1"/>
        <v>7</v>
      </c>
      <c r="AB543" s="19" t="str">
        <f t="shared" si="2"/>
        <v/>
      </c>
      <c r="AC543" s="19"/>
    </row>
    <row r="544" ht="15.75" customHeight="1">
      <c r="A544" s="12">
        <v>45125.0</v>
      </c>
      <c r="B544" s="14" t="s">
        <v>703</v>
      </c>
      <c r="C544" s="14" t="s">
        <v>2398</v>
      </c>
      <c r="D544" s="14"/>
      <c r="E544" s="14"/>
      <c r="F544" s="14"/>
      <c r="G544" s="14"/>
      <c r="H544" s="14"/>
      <c r="I544" s="15" t="s">
        <v>2399</v>
      </c>
      <c r="J544" s="14"/>
      <c r="K544" s="14"/>
      <c r="L544" s="14"/>
      <c r="M544" s="14" t="s">
        <v>111</v>
      </c>
      <c r="N544" s="14" t="s">
        <v>565</v>
      </c>
      <c r="O544" s="14" t="b">
        <v>0</v>
      </c>
      <c r="P544" s="14"/>
      <c r="Q544" s="14"/>
      <c r="R544" s="14"/>
      <c r="S544" s="14" t="s">
        <v>2400</v>
      </c>
      <c r="T544" s="14"/>
      <c r="U544" s="17"/>
      <c r="V544" s="14"/>
      <c r="W544" s="14"/>
      <c r="X544" s="18"/>
      <c r="Y544" s="18"/>
      <c r="Z544" s="18"/>
      <c r="AA544" s="19">
        <f t="shared" si="1"/>
        <v>7</v>
      </c>
      <c r="AB544" s="19" t="str">
        <f t="shared" si="2"/>
        <v/>
      </c>
      <c r="AC544" s="19"/>
    </row>
    <row r="545" ht="15.75" customHeight="1">
      <c r="A545" s="26">
        <v>45126.0</v>
      </c>
      <c r="B545" s="27" t="s">
        <v>201</v>
      </c>
      <c r="C545" s="27" t="s">
        <v>2401</v>
      </c>
      <c r="D545" s="27" t="s">
        <v>2402</v>
      </c>
      <c r="E545" s="27"/>
      <c r="F545" s="27">
        <v>2013.0</v>
      </c>
      <c r="G545" s="27">
        <v>5.0</v>
      </c>
      <c r="H545" s="27"/>
      <c r="I545" s="34" t="s">
        <v>2403</v>
      </c>
      <c r="J545" s="27"/>
      <c r="K545" s="27"/>
      <c r="L545" s="27"/>
      <c r="M545" s="27" t="s">
        <v>111</v>
      </c>
      <c r="N545" s="27" t="s">
        <v>67</v>
      </c>
      <c r="O545" s="14" t="b">
        <v>1</v>
      </c>
      <c r="P545" s="27" t="s">
        <v>2404</v>
      </c>
      <c r="Q545" s="27"/>
      <c r="R545" s="27"/>
      <c r="S545" s="27" t="s">
        <v>2405</v>
      </c>
      <c r="T545" s="27"/>
      <c r="U545" s="26"/>
      <c r="V545" s="32">
        <v>45129.0</v>
      </c>
      <c r="W545" s="27" t="s">
        <v>4189</v>
      </c>
      <c r="X545" s="25">
        <v>6124000.0</v>
      </c>
      <c r="Y545" s="25">
        <v>935470.0</v>
      </c>
      <c r="Z545" s="25">
        <v>2000000.0</v>
      </c>
      <c r="AA545" s="19">
        <f t="shared" si="1"/>
        <v>7</v>
      </c>
      <c r="AB545" s="19">
        <f t="shared" si="2"/>
        <v>7</v>
      </c>
      <c r="AC545" s="19"/>
    </row>
    <row r="546" ht="15.75" customHeight="1">
      <c r="A546" s="26"/>
      <c r="B546" s="27" t="s">
        <v>201</v>
      </c>
      <c r="C546" s="27" t="s">
        <v>2401</v>
      </c>
      <c r="D546" s="27" t="s">
        <v>2402</v>
      </c>
      <c r="E546" s="27"/>
      <c r="F546" s="27">
        <v>2013.0</v>
      </c>
      <c r="G546" s="27">
        <v>5.0</v>
      </c>
      <c r="H546" s="27"/>
      <c r="I546" s="34" t="s">
        <v>2403</v>
      </c>
      <c r="J546" s="27"/>
      <c r="K546" s="27"/>
      <c r="L546" s="27"/>
      <c r="M546" s="27" t="s">
        <v>111</v>
      </c>
      <c r="N546" s="27" t="s">
        <v>67</v>
      </c>
      <c r="O546" s="14" t="b">
        <v>1</v>
      </c>
      <c r="P546" s="27" t="s">
        <v>2404</v>
      </c>
      <c r="Q546" s="27"/>
      <c r="R546" s="27"/>
      <c r="S546" s="27" t="s">
        <v>2405</v>
      </c>
      <c r="T546" s="27"/>
      <c r="U546" s="26"/>
      <c r="V546" s="32">
        <v>45164.0</v>
      </c>
      <c r="W546" s="27" t="s">
        <v>4457</v>
      </c>
      <c r="X546" s="25"/>
      <c r="Y546" s="25"/>
      <c r="Z546" s="25">
        <v>3188000.0</v>
      </c>
      <c r="AA546" s="19" t="str">
        <f t="shared" si="1"/>
        <v/>
      </c>
      <c r="AB546" s="19">
        <f t="shared" si="2"/>
        <v>8</v>
      </c>
      <c r="AC546" s="19"/>
    </row>
    <row r="547" ht="15.75" customHeight="1">
      <c r="A547" s="12">
        <v>45093.0</v>
      </c>
      <c r="B547" s="14" t="s">
        <v>201</v>
      </c>
      <c r="C547" s="44" t="s">
        <v>4458</v>
      </c>
      <c r="D547" s="14" t="s">
        <v>2407</v>
      </c>
      <c r="E547" s="14" t="s">
        <v>4459</v>
      </c>
      <c r="F547" s="142">
        <v>42257.0</v>
      </c>
      <c r="G547" s="14"/>
      <c r="H547" s="14"/>
      <c r="I547" s="15" t="s">
        <v>2408</v>
      </c>
      <c r="J547" s="14"/>
      <c r="K547" s="14"/>
      <c r="L547" s="14"/>
      <c r="M547" s="14" t="s">
        <v>412</v>
      </c>
      <c r="N547" s="14" t="s">
        <v>67</v>
      </c>
      <c r="O547" s="14" t="b">
        <v>1</v>
      </c>
      <c r="P547" s="14" t="s">
        <v>2410</v>
      </c>
      <c r="Q547" s="14"/>
      <c r="R547" s="14"/>
      <c r="S547" s="14" t="s">
        <v>2411</v>
      </c>
      <c r="T547" s="14" t="s">
        <v>4460</v>
      </c>
      <c r="U547" s="17"/>
      <c r="V547" s="142">
        <v>45165.0</v>
      </c>
      <c r="W547" s="14" t="s">
        <v>4189</v>
      </c>
      <c r="X547" s="18">
        <v>3062000.0</v>
      </c>
      <c r="Y547" s="18">
        <v>306200.0</v>
      </c>
      <c r="Z547" s="18">
        <v>2755800.0</v>
      </c>
      <c r="AA547" s="19">
        <f t="shared" si="1"/>
        <v>6</v>
      </c>
      <c r="AB547" s="19">
        <f t="shared" si="2"/>
        <v>8</v>
      </c>
      <c r="AC547" s="19"/>
    </row>
    <row r="548" ht="15.75" customHeight="1">
      <c r="A548" s="12">
        <v>45127.0</v>
      </c>
      <c r="B548" s="13" t="s">
        <v>28</v>
      </c>
      <c r="C548" s="14" t="s">
        <v>2412</v>
      </c>
      <c r="D548" s="14"/>
      <c r="E548" s="14"/>
      <c r="F548" s="14" t="s">
        <v>419</v>
      </c>
      <c r="G548" s="14"/>
      <c r="H548" s="14"/>
      <c r="I548" s="15" t="s">
        <v>2413</v>
      </c>
      <c r="J548" s="14"/>
      <c r="K548" s="14" t="s">
        <v>2414</v>
      </c>
      <c r="L548" s="14" t="s">
        <v>4461</v>
      </c>
      <c r="M548" s="14" t="s">
        <v>48</v>
      </c>
      <c r="N548" s="14" t="s">
        <v>34</v>
      </c>
      <c r="O548" s="14" t="b">
        <v>0</v>
      </c>
      <c r="P548" s="14"/>
      <c r="Q548" s="14"/>
      <c r="R548" s="14"/>
      <c r="S548" s="14" t="s">
        <v>2416</v>
      </c>
      <c r="T548" s="14" t="s">
        <v>36</v>
      </c>
      <c r="U548" s="17"/>
      <c r="V548" s="14"/>
      <c r="W548" s="14"/>
      <c r="X548" s="18"/>
      <c r="Y548" s="18"/>
      <c r="Z548" s="18"/>
      <c r="AA548" s="19">
        <f t="shared" si="1"/>
        <v>7</v>
      </c>
      <c r="AB548" s="19" t="str">
        <f t="shared" si="2"/>
        <v/>
      </c>
      <c r="AC548" s="19"/>
    </row>
    <row r="549" ht="15.75" customHeight="1">
      <c r="A549" s="12">
        <v>45127.0</v>
      </c>
      <c r="B549" s="13" t="s">
        <v>28</v>
      </c>
      <c r="C549" s="14" t="s">
        <v>2417</v>
      </c>
      <c r="D549" s="14" t="s">
        <v>2418</v>
      </c>
      <c r="E549" s="14"/>
      <c r="F549" s="14"/>
      <c r="G549" s="14"/>
      <c r="H549" s="14"/>
      <c r="I549" s="132" t="s">
        <v>2419</v>
      </c>
      <c r="J549" s="14"/>
      <c r="K549" s="14"/>
      <c r="L549" s="14" t="s">
        <v>2420</v>
      </c>
      <c r="M549" s="14" t="s">
        <v>111</v>
      </c>
      <c r="N549" s="14" t="s">
        <v>565</v>
      </c>
      <c r="O549" s="14" t="b">
        <v>0</v>
      </c>
      <c r="P549" s="14"/>
      <c r="Q549" s="14"/>
      <c r="R549" s="14"/>
      <c r="S549" s="14" t="s">
        <v>2421</v>
      </c>
      <c r="T549" s="14" t="s">
        <v>4096</v>
      </c>
      <c r="U549" s="17"/>
      <c r="V549" s="14"/>
      <c r="W549" s="14"/>
      <c r="X549" s="18"/>
      <c r="Y549" s="18"/>
      <c r="Z549" s="18"/>
      <c r="AA549" s="19">
        <f t="shared" si="1"/>
        <v>7</v>
      </c>
      <c r="AB549" s="19" t="str">
        <f t="shared" si="2"/>
        <v/>
      </c>
      <c r="AC549" s="19"/>
    </row>
    <row r="550" ht="15.75" customHeight="1">
      <c r="A550" s="26">
        <v>45127.0</v>
      </c>
      <c r="B550" s="27" t="s">
        <v>60</v>
      </c>
      <c r="C550" s="27" t="s">
        <v>2422</v>
      </c>
      <c r="D550" s="27" t="s">
        <v>2423</v>
      </c>
      <c r="E550" s="27"/>
      <c r="F550" s="27"/>
      <c r="G550" s="27">
        <v>5.0</v>
      </c>
      <c r="H550" s="27"/>
      <c r="I550" s="34" t="s">
        <v>2424</v>
      </c>
      <c r="J550" s="27"/>
      <c r="K550" s="27"/>
      <c r="L550" s="27" t="s">
        <v>2425</v>
      </c>
      <c r="M550" s="27" t="s">
        <v>48</v>
      </c>
      <c r="N550" s="27" t="s">
        <v>67</v>
      </c>
      <c r="O550" s="14" t="b">
        <v>1</v>
      </c>
      <c r="P550" s="27" t="s">
        <v>2426</v>
      </c>
      <c r="Q550" s="27"/>
      <c r="R550" s="27"/>
      <c r="S550" s="27" t="s">
        <v>2427</v>
      </c>
      <c r="T550" s="27"/>
      <c r="U550" s="26"/>
      <c r="V550" s="32">
        <v>45128.0</v>
      </c>
      <c r="W550" s="27" t="s">
        <v>4462</v>
      </c>
      <c r="X550" s="25">
        <v>4812000.0</v>
      </c>
      <c r="Y550" s="25">
        <f>X550-Z550</f>
        <v>532000</v>
      </c>
      <c r="Z550" s="25">
        <v>4280000.0</v>
      </c>
      <c r="AA550" s="19">
        <f t="shared" si="1"/>
        <v>7</v>
      </c>
      <c r="AB550" s="19">
        <f t="shared" si="2"/>
        <v>7</v>
      </c>
      <c r="AC550" s="19"/>
    </row>
    <row r="551" ht="15.75" customHeight="1">
      <c r="A551" s="12">
        <v>45070.0</v>
      </c>
      <c r="B551" s="13" t="s">
        <v>28</v>
      </c>
      <c r="C551" s="14" t="s">
        <v>949</v>
      </c>
      <c r="D551" s="14"/>
      <c r="E551" s="14"/>
      <c r="F551" s="14"/>
      <c r="G551" s="14" t="s">
        <v>349</v>
      </c>
      <c r="H551" s="14"/>
      <c r="I551" s="15" t="s">
        <v>2428</v>
      </c>
      <c r="J551" s="14"/>
      <c r="K551" s="14"/>
      <c r="L551" s="253" t="s">
        <v>355</v>
      </c>
      <c r="M551" s="14" t="s">
        <v>111</v>
      </c>
      <c r="N551" s="14" t="s">
        <v>34</v>
      </c>
      <c r="O551" s="14" t="b">
        <v>0</v>
      </c>
      <c r="P551" s="14"/>
      <c r="Q551" s="14"/>
      <c r="R551" s="14"/>
      <c r="S551" s="14" t="s">
        <v>2429</v>
      </c>
      <c r="T551" s="14" t="s">
        <v>4069</v>
      </c>
      <c r="U551" s="17"/>
      <c r="V551" s="14"/>
      <c r="W551" s="14"/>
      <c r="X551" s="18"/>
      <c r="Y551" s="18"/>
      <c r="Z551" s="18"/>
      <c r="AA551" s="19">
        <f t="shared" si="1"/>
        <v>5</v>
      </c>
      <c r="AB551" s="19" t="str">
        <f t="shared" si="2"/>
        <v/>
      </c>
      <c r="AC551" s="19"/>
    </row>
    <row r="552" ht="15.75" customHeight="1">
      <c r="A552" s="12">
        <v>45082.0</v>
      </c>
      <c r="B552" s="13" t="s">
        <v>28</v>
      </c>
      <c r="C552" s="14" t="s">
        <v>2430</v>
      </c>
      <c r="D552" s="14" t="s">
        <v>2431</v>
      </c>
      <c r="E552" s="14"/>
      <c r="F552" s="14">
        <v>2018.0</v>
      </c>
      <c r="G552" s="14"/>
      <c r="H552" s="14"/>
      <c r="I552" s="15" t="s">
        <v>2432</v>
      </c>
      <c r="J552" s="14"/>
      <c r="K552" s="14"/>
      <c r="L552" s="14" t="s">
        <v>2433</v>
      </c>
      <c r="M552" s="14" t="s">
        <v>48</v>
      </c>
      <c r="N552" s="14" t="s">
        <v>34</v>
      </c>
      <c r="O552" s="14" t="b">
        <v>1</v>
      </c>
      <c r="P552" s="14" t="s">
        <v>2434</v>
      </c>
      <c r="Q552" s="14"/>
      <c r="R552" s="14"/>
      <c r="S552" s="14" t="s">
        <v>2435</v>
      </c>
      <c r="T552" s="14" t="s">
        <v>4164</v>
      </c>
      <c r="U552" s="61"/>
      <c r="V552" s="14"/>
      <c r="W552" s="14"/>
      <c r="X552" s="18"/>
      <c r="Y552" s="18"/>
      <c r="Z552" s="18"/>
      <c r="AA552" s="19">
        <f t="shared" si="1"/>
        <v>6</v>
      </c>
      <c r="AB552" s="19" t="str">
        <f t="shared" si="2"/>
        <v/>
      </c>
      <c r="AC552" s="19"/>
    </row>
    <row r="553" ht="15.75" customHeight="1">
      <c r="A553" s="12">
        <v>45092.0</v>
      </c>
      <c r="B553" s="13" t="s">
        <v>28</v>
      </c>
      <c r="C553" s="14" t="s">
        <v>2436</v>
      </c>
      <c r="D553" s="14" t="s">
        <v>2437</v>
      </c>
      <c r="E553" s="14"/>
      <c r="F553" s="14" t="s">
        <v>4463</v>
      </c>
      <c r="G553" s="14">
        <v>7.0</v>
      </c>
      <c r="H553" s="14"/>
      <c r="I553" s="15" t="s">
        <v>2438</v>
      </c>
      <c r="J553" s="14"/>
      <c r="K553" s="14"/>
      <c r="L553" s="14" t="s">
        <v>2439</v>
      </c>
      <c r="M553" s="14" t="s">
        <v>111</v>
      </c>
      <c r="N553" s="14" t="s">
        <v>13</v>
      </c>
      <c r="O553" s="14" t="b">
        <v>1</v>
      </c>
      <c r="P553" s="14" t="s">
        <v>4464</v>
      </c>
      <c r="Q553" s="14"/>
      <c r="R553" s="14"/>
      <c r="S553" s="14" t="s">
        <v>2441</v>
      </c>
      <c r="T553" s="14" t="s">
        <v>4197</v>
      </c>
      <c r="U553" s="17"/>
      <c r="V553" s="14"/>
      <c r="W553" s="14"/>
      <c r="X553" s="18"/>
      <c r="Y553" s="18"/>
      <c r="Z553" s="18"/>
      <c r="AA553" s="19">
        <f t="shared" si="1"/>
        <v>6</v>
      </c>
      <c r="AB553" s="19" t="str">
        <f t="shared" si="2"/>
        <v/>
      </c>
      <c r="AC553" s="19"/>
    </row>
    <row r="554" ht="15.75" customHeight="1">
      <c r="A554" s="12">
        <v>45127.0</v>
      </c>
      <c r="B554" s="14" t="s">
        <v>703</v>
      </c>
      <c r="C554" s="14" t="s">
        <v>2442</v>
      </c>
      <c r="D554" s="14"/>
      <c r="E554" s="14"/>
      <c r="F554" s="14"/>
      <c r="G554" s="14"/>
      <c r="H554" s="14"/>
      <c r="I554" s="15" t="s">
        <v>2443</v>
      </c>
      <c r="J554" s="14"/>
      <c r="K554" s="14"/>
      <c r="L554" s="14"/>
      <c r="M554" s="14" t="s">
        <v>111</v>
      </c>
      <c r="N554" s="14" t="s">
        <v>34</v>
      </c>
      <c r="O554" s="14" t="b">
        <v>0</v>
      </c>
      <c r="P554" s="14"/>
      <c r="Q554" s="14"/>
      <c r="R554" s="14"/>
      <c r="S554" s="14" t="s">
        <v>2444</v>
      </c>
      <c r="T554" s="14" t="s">
        <v>4069</v>
      </c>
      <c r="U554" s="17"/>
      <c r="V554" s="14"/>
      <c r="W554" s="14"/>
      <c r="X554" s="18"/>
      <c r="Y554" s="18"/>
      <c r="Z554" s="18"/>
      <c r="AA554" s="19">
        <f t="shared" si="1"/>
        <v>7</v>
      </c>
      <c r="AB554" s="19" t="str">
        <f t="shared" si="2"/>
        <v/>
      </c>
      <c r="AC554" s="19"/>
    </row>
    <row r="555" ht="15.75" customHeight="1">
      <c r="A555" s="26">
        <v>45128.0</v>
      </c>
      <c r="B555" s="27" t="s">
        <v>201</v>
      </c>
      <c r="C555" s="165" t="s">
        <v>4465</v>
      </c>
      <c r="D555" s="165" t="s">
        <v>2446</v>
      </c>
      <c r="E555" s="27"/>
      <c r="F555" s="32">
        <v>42830.0</v>
      </c>
      <c r="G555" s="27"/>
      <c r="H555" s="27"/>
      <c r="I555" s="34" t="s">
        <v>2447</v>
      </c>
      <c r="J555" s="27"/>
      <c r="K555" s="27"/>
      <c r="L555" s="166" t="s">
        <v>2448</v>
      </c>
      <c r="M555" s="27" t="s">
        <v>48</v>
      </c>
      <c r="N555" s="27" t="s">
        <v>67</v>
      </c>
      <c r="O555" s="14" t="b">
        <v>1</v>
      </c>
      <c r="P555" s="27" t="s">
        <v>2449</v>
      </c>
      <c r="Q555" s="27"/>
      <c r="R555" s="27"/>
      <c r="S555" s="27" t="s">
        <v>2450</v>
      </c>
      <c r="T555" s="27"/>
      <c r="U555" s="26"/>
      <c r="V555" s="32">
        <v>45130.0</v>
      </c>
      <c r="W555" s="27" t="s">
        <v>4466</v>
      </c>
      <c r="X555" s="25">
        <v>6124000.0</v>
      </c>
      <c r="Y555" s="25">
        <f>X555-Z555</f>
        <v>765720</v>
      </c>
      <c r="Z555" s="25">
        <v>5358280.0</v>
      </c>
      <c r="AA555" s="19">
        <f t="shared" si="1"/>
        <v>7</v>
      </c>
      <c r="AB555" s="19">
        <f t="shared" si="2"/>
        <v>7</v>
      </c>
      <c r="AC555" s="19"/>
    </row>
    <row r="556" ht="15.75" customHeight="1">
      <c r="A556" s="12">
        <v>45128.0</v>
      </c>
      <c r="B556" s="14" t="s">
        <v>201</v>
      </c>
      <c r="C556" s="167"/>
      <c r="D556" s="167" t="s">
        <v>2451</v>
      </c>
      <c r="E556" s="14"/>
      <c r="F556" s="14"/>
      <c r="G556" s="14"/>
      <c r="H556" s="14"/>
      <c r="I556" s="15"/>
      <c r="J556" s="14"/>
      <c r="K556" s="14"/>
      <c r="L556" s="115" t="s">
        <v>2452</v>
      </c>
      <c r="M556" s="14" t="s">
        <v>48</v>
      </c>
      <c r="N556" s="14" t="s">
        <v>34</v>
      </c>
      <c r="O556" s="14" t="b">
        <v>0</v>
      </c>
      <c r="P556" s="14"/>
      <c r="Q556" s="14"/>
      <c r="R556" s="14"/>
      <c r="S556" s="14" t="s">
        <v>2453</v>
      </c>
      <c r="T556" s="14" t="s">
        <v>4467</v>
      </c>
      <c r="U556" s="17"/>
      <c r="V556" s="14"/>
      <c r="W556" s="14"/>
      <c r="X556" s="18"/>
      <c r="Y556" s="18"/>
      <c r="Z556" s="18"/>
      <c r="AA556" s="19">
        <f t="shared" si="1"/>
        <v>7</v>
      </c>
      <c r="AB556" s="19" t="str">
        <f t="shared" si="2"/>
        <v/>
      </c>
      <c r="AC556" s="19"/>
    </row>
    <row r="557" ht="15.75" customHeight="1">
      <c r="A557" s="12">
        <v>45128.0</v>
      </c>
      <c r="B557" s="13" t="s">
        <v>28</v>
      </c>
      <c r="C557" s="14" t="s">
        <v>2454</v>
      </c>
      <c r="D557" s="14"/>
      <c r="E557" s="14"/>
      <c r="F557" s="14"/>
      <c r="G557" s="14"/>
      <c r="H557" s="14"/>
      <c r="I557" s="15" t="s">
        <v>2455</v>
      </c>
      <c r="J557" s="14"/>
      <c r="K557" s="14"/>
      <c r="L557" s="14" t="s">
        <v>2456</v>
      </c>
      <c r="M557" s="14" t="s">
        <v>111</v>
      </c>
      <c r="N557" s="14" t="s">
        <v>216</v>
      </c>
      <c r="O557" s="14" t="b">
        <v>0</v>
      </c>
      <c r="P557" s="14"/>
      <c r="Q557" s="14"/>
      <c r="R557" s="14"/>
      <c r="S557" s="14" t="s">
        <v>2457</v>
      </c>
      <c r="T557" s="14"/>
      <c r="U557" s="17"/>
      <c r="V557" s="14"/>
      <c r="W557" s="14"/>
      <c r="X557" s="18"/>
      <c r="Y557" s="18"/>
      <c r="Z557" s="18"/>
      <c r="AA557" s="19">
        <f t="shared" si="1"/>
        <v>7</v>
      </c>
      <c r="AB557" s="19" t="str">
        <f t="shared" si="2"/>
        <v/>
      </c>
      <c r="AC557" s="19"/>
    </row>
    <row r="558" ht="15.75" customHeight="1">
      <c r="A558" s="12">
        <v>45128.0</v>
      </c>
      <c r="B558" s="13" t="s">
        <v>28</v>
      </c>
      <c r="C558" s="14" t="s">
        <v>2458</v>
      </c>
      <c r="D558" s="14" t="s">
        <v>2459</v>
      </c>
      <c r="E558" s="14"/>
      <c r="F558" s="14">
        <v>2012.0</v>
      </c>
      <c r="G558" s="14"/>
      <c r="H558" s="14"/>
      <c r="I558" s="15" t="s">
        <v>2460</v>
      </c>
      <c r="J558" s="14"/>
      <c r="K558" s="14"/>
      <c r="L558" s="14" t="s">
        <v>2461</v>
      </c>
      <c r="M558" s="14" t="s">
        <v>111</v>
      </c>
      <c r="N558" s="14" t="s">
        <v>13</v>
      </c>
      <c r="O558" s="14" t="b">
        <v>1</v>
      </c>
      <c r="P558" s="14" t="s">
        <v>2462</v>
      </c>
      <c r="Q558" s="14"/>
      <c r="R558" s="14"/>
      <c r="S558" s="14" t="s">
        <v>2463</v>
      </c>
      <c r="T558" s="14"/>
      <c r="U558" s="17"/>
      <c r="V558" s="14"/>
      <c r="W558" s="14"/>
      <c r="X558" s="18"/>
      <c r="Y558" s="18"/>
      <c r="Z558" s="18"/>
      <c r="AA558" s="19">
        <f t="shared" si="1"/>
        <v>7</v>
      </c>
      <c r="AB558" s="19" t="str">
        <f t="shared" si="2"/>
        <v/>
      </c>
      <c r="AC558" s="19"/>
    </row>
    <row r="559" ht="15.75" customHeight="1">
      <c r="A559" s="12">
        <v>45128.0</v>
      </c>
      <c r="B559" s="13" t="s">
        <v>28</v>
      </c>
      <c r="C559" s="14" t="s">
        <v>2464</v>
      </c>
      <c r="D559" s="14"/>
      <c r="E559" s="14"/>
      <c r="F559" s="14"/>
      <c r="G559" s="14"/>
      <c r="H559" s="14"/>
      <c r="I559" s="15" t="s">
        <v>2465</v>
      </c>
      <c r="J559" s="14"/>
      <c r="K559" s="14"/>
      <c r="L559" s="14"/>
      <c r="M559" s="14" t="s">
        <v>48</v>
      </c>
      <c r="N559" s="14" t="s">
        <v>216</v>
      </c>
      <c r="O559" s="14" t="b">
        <v>0</v>
      </c>
      <c r="P559" s="14"/>
      <c r="Q559" s="14"/>
      <c r="R559" s="14"/>
      <c r="S559" s="14" t="s">
        <v>2466</v>
      </c>
      <c r="T559" s="14" t="s">
        <v>4265</v>
      </c>
      <c r="U559" s="17"/>
      <c r="V559" s="14"/>
      <c r="W559" s="14"/>
      <c r="X559" s="18"/>
      <c r="Y559" s="18"/>
      <c r="Z559" s="18"/>
      <c r="AA559" s="19">
        <f t="shared" si="1"/>
        <v>7</v>
      </c>
      <c r="AB559" s="19" t="str">
        <f t="shared" si="2"/>
        <v/>
      </c>
      <c r="AC559" s="19"/>
    </row>
    <row r="560" ht="15.75" customHeight="1">
      <c r="A560" s="12">
        <v>45128.0</v>
      </c>
      <c r="B560" s="13" t="s">
        <v>28</v>
      </c>
      <c r="C560" s="14" t="s">
        <v>2467</v>
      </c>
      <c r="D560" s="14"/>
      <c r="E560" s="14"/>
      <c r="F560" s="14"/>
      <c r="G560" s="14"/>
      <c r="H560" s="14"/>
      <c r="I560" s="15" t="s">
        <v>2468</v>
      </c>
      <c r="J560" s="14"/>
      <c r="K560" s="14"/>
      <c r="L560" s="14" t="s">
        <v>2469</v>
      </c>
      <c r="M560" s="14" t="s">
        <v>48</v>
      </c>
      <c r="N560" s="14" t="s">
        <v>565</v>
      </c>
      <c r="O560" s="14" t="b">
        <v>0</v>
      </c>
      <c r="P560" s="14"/>
      <c r="Q560" s="14"/>
      <c r="R560" s="14"/>
      <c r="S560" s="14" t="s">
        <v>2470</v>
      </c>
      <c r="T560" s="14" t="s">
        <v>4468</v>
      </c>
      <c r="U560" s="17">
        <v>45158.0</v>
      </c>
      <c r="V560" s="14"/>
      <c r="W560" s="14"/>
      <c r="X560" s="18"/>
      <c r="Y560" s="18"/>
      <c r="Z560" s="18"/>
      <c r="AA560" s="19">
        <f t="shared" si="1"/>
        <v>7</v>
      </c>
      <c r="AB560" s="19" t="str">
        <f t="shared" si="2"/>
        <v/>
      </c>
      <c r="AC560" s="19"/>
    </row>
    <row r="561" ht="15.75" customHeight="1">
      <c r="A561" s="12">
        <v>45128.0</v>
      </c>
      <c r="B561" s="13" t="s">
        <v>28</v>
      </c>
      <c r="C561" s="14" t="s">
        <v>2471</v>
      </c>
      <c r="D561" s="14"/>
      <c r="E561" s="14"/>
      <c r="F561" s="14"/>
      <c r="G561" s="14"/>
      <c r="H561" s="14"/>
      <c r="I561" s="15" t="s">
        <v>2472</v>
      </c>
      <c r="J561" s="14"/>
      <c r="K561" s="14"/>
      <c r="L561" s="14"/>
      <c r="M561" s="14" t="s">
        <v>111</v>
      </c>
      <c r="N561" s="14" t="s">
        <v>34</v>
      </c>
      <c r="O561" s="14" t="b">
        <v>0</v>
      </c>
      <c r="P561" s="14"/>
      <c r="Q561" s="14"/>
      <c r="R561" s="14"/>
      <c r="S561" s="14" t="s">
        <v>2473</v>
      </c>
      <c r="T561" s="14"/>
      <c r="U561" s="17"/>
      <c r="V561" s="14"/>
      <c r="W561" s="14"/>
      <c r="X561" s="18"/>
      <c r="Y561" s="18"/>
      <c r="Z561" s="18"/>
      <c r="AA561" s="19">
        <f t="shared" si="1"/>
        <v>7</v>
      </c>
      <c r="AB561" s="19" t="str">
        <f t="shared" si="2"/>
        <v/>
      </c>
      <c r="AC561" s="19"/>
    </row>
    <row r="562" ht="15.75" customHeight="1">
      <c r="A562" s="12">
        <v>45128.0</v>
      </c>
      <c r="B562" s="13" t="s">
        <v>28</v>
      </c>
      <c r="C562" s="14" t="s">
        <v>2474</v>
      </c>
      <c r="D562" s="14"/>
      <c r="E562" s="14"/>
      <c r="F562" s="14"/>
      <c r="G562" s="14"/>
      <c r="H562" s="14"/>
      <c r="I562" s="15" t="s">
        <v>2475</v>
      </c>
      <c r="J562" s="14"/>
      <c r="K562" s="14"/>
      <c r="L562" s="14" t="s">
        <v>2476</v>
      </c>
      <c r="M562" s="14" t="s">
        <v>111</v>
      </c>
      <c r="N562" s="14" t="s">
        <v>34</v>
      </c>
      <c r="O562" s="14" t="b">
        <v>0</v>
      </c>
      <c r="P562" s="14"/>
      <c r="Q562" s="14"/>
      <c r="R562" s="14"/>
      <c r="S562" s="14" t="s">
        <v>2477</v>
      </c>
      <c r="T562" s="14"/>
      <c r="U562" s="17"/>
      <c r="V562" s="14"/>
      <c r="W562" s="14"/>
      <c r="X562" s="18"/>
      <c r="Y562" s="18"/>
      <c r="Z562" s="18"/>
      <c r="AA562" s="19">
        <f t="shared" si="1"/>
        <v>7</v>
      </c>
      <c r="AB562" s="19" t="str">
        <f t="shared" si="2"/>
        <v/>
      </c>
      <c r="AC562" s="19"/>
    </row>
    <row r="563" ht="15.75" customHeight="1">
      <c r="A563" s="12">
        <v>45128.0</v>
      </c>
      <c r="B563" s="13" t="s">
        <v>28</v>
      </c>
      <c r="C563" s="14" t="s">
        <v>4469</v>
      </c>
      <c r="D563" s="14"/>
      <c r="E563" s="14"/>
      <c r="F563" s="14"/>
      <c r="G563" s="14"/>
      <c r="H563" s="14"/>
      <c r="I563" s="15" t="s">
        <v>2479</v>
      </c>
      <c r="J563" s="14"/>
      <c r="K563" s="14"/>
      <c r="L563" s="14" t="s">
        <v>2480</v>
      </c>
      <c r="M563" s="14" t="s">
        <v>48</v>
      </c>
      <c r="N563" s="14" t="s">
        <v>565</v>
      </c>
      <c r="O563" s="14" t="b">
        <v>0</v>
      </c>
      <c r="P563" s="14"/>
      <c r="Q563" s="14"/>
      <c r="R563" s="14"/>
      <c r="S563" s="14" t="s">
        <v>2481</v>
      </c>
      <c r="T563" s="14"/>
      <c r="U563" s="17"/>
      <c r="V563" s="14"/>
      <c r="W563" s="14"/>
      <c r="X563" s="18"/>
      <c r="Y563" s="18"/>
      <c r="Z563" s="18"/>
      <c r="AA563" s="19">
        <f t="shared" si="1"/>
        <v>7</v>
      </c>
      <c r="AB563" s="19" t="str">
        <f t="shared" si="2"/>
        <v/>
      </c>
      <c r="AC563" s="19"/>
    </row>
    <row r="564" ht="15.75" customHeight="1">
      <c r="A564" s="12">
        <v>45128.0</v>
      </c>
      <c r="B564" s="14" t="s">
        <v>201</v>
      </c>
      <c r="C564" s="14" t="s">
        <v>4470</v>
      </c>
      <c r="D564" s="14" t="s">
        <v>1787</v>
      </c>
      <c r="E564" s="14"/>
      <c r="F564" s="14">
        <v>2006.0</v>
      </c>
      <c r="G564" s="14">
        <v>11.0</v>
      </c>
      <c r="H564" s="14"/>
      <c r="I564" s="15"/>
      <c r="J564" s="14"/>
      <c r="K564" s="14"/>
      <c r="L564" s="14"/>
      <c r="M564" s="14" t="s">
        <v>111</v>
      </c>
      <c r="N564" s="14" t="s">
        <v>565</v>
      </c>
      <c r="O564" s="14" t="b">
        <v>0</v>
      </c>
      <c r="P564" s="14"/>
      <c r="Q564" s="14"/>
      <c r="R564" s="14"/>
      <c r="S564" s="14" t="s">
        <v>2483</v>
      </c>
      <c r="T564" s="14"/>
      <c r="U564" s="17"/>
      <c r="V564" s="14"/>
      <c r="W564" s="14"/>
      <c r="X564" s="18"/>
      <c r="Y564" s="18"/>
      <c r="Z564" s="18"/>
      <c r="AA564" s="19">
        <f t="shared" si="1"/>
        <v>7</v>
      </c>
      <c r="AB564" s="19" t="str">
        <f t="shared" si="2"/>
        <v/>
      </c>
      <c r="AC564" s="19"/>
    </row>
    <row r="565" ht="15.75" customHeight="1">
      <c r="A565" s="12">
        <v>45128.0</v>
      </c>
      <c r="B565" s="14" t="s">
        <v>201</v>
      </c>
      <c r="C565" s="14" t="s">
        <v>4470</v>
      </c>
      <c r="D565" s="14" t="s">
        <v>2484</v>
      </c>
      <c r="E565" s="14" t="s">
        <v>4471</v>
      </c>
      <c r="F565" s="14">
        <v>2014.0</v>
      </c>
      <c r="G565" s="14">
        <v>4.0</v>
      </c>
      <c r="H565" s="14"/>
      <c r="I565" s="15" t="s">
        <v>2485</v>
      </c>
      <c r="J565" s="14"/>
      <c r="K565" s="14"/>
      <c r="L565" s="14" t="s">
        <v>2486</v>
      </c>
      <c r="M565" s="14" t="s">
        <v>111</v>
      </c>
      <c r="N565" s="14" t="s">
        <v>13</v>
      </c>
      <c r="O565" s="14" t="b">
        <v>1</v>
      </c>
      <c r="P565" s="14" t="s">
        <v>2487</v>
      </c>
      <c r="Q565" s="14"/>
      <c r="R565" s="14"/>
      <c r="S565" s="14" t="s">
        <v>2488</v>
      </c>
      <c r="T565" s="14"/>
      <c r="U565" s="17"/>
      <c r="V565" s="14"/>
      <c r="W565" s="14"/>
      <c r="X565" s="18"/>
      <c r="Y565" s="18"/>
      <c r="Z565" s="18"/>
      <c r="AA565" s="19">
        <f t="shared" si="1"/>
        <v>7</v>
      </c>
      <c r="AB565" s="19" t="str">
        <f t="shared" si="2"/>
        <v/>
      </c>
      <c r="AC565" s="19"/>
    </row>
    <row r="566" ht="15.75" customHeight="1">
      <c r="A566" s="12">
        <v>45128.0</v>
      </c>
      <c r="B566" s="13" t="s">
        <v>28</v>
      </c>
      <c r="C566" s="14" t="s">
        <v>2489</v>
      </c>
      <c r="D566" s="14"/>
      <c r="E566" s="14"/>
      <c r="F566" s="14" t="s">
        <v>457</v>
      </c>
      <c r="G566" s="14"/>
      <c r="H566" s="14"/>
      <c r="I566" s="15" t="s">
        <v>2490</v>
      </c>
      <c r="J566" s="14"/>
      <c r="K566" s="14"/>
      <c r="L566" s="14" t="s">
        <v>2491</v>
      </c>
      <c r="M566" s="14" t="s">
        <v>48</v>
      </c>
      <c r="N566" s="14" t="s">
        <v>565</v>
      </c>
      <c r="O566" s="14" t="b">
        <v>0</v>
      </c>
      <c r="P566" s="14"/>
      <c r="Q566" s="14"/>
      <c r="R566" s="14"/>
      <c r="S566" s="14" t="s">
        <v>2492</v>
      </c>
      <c r="T566" s="14" t="s">
        <v>4262</v>
      </c>
      <c r="U566" s="17"/>
      <c r="V566" s="14"/>
      <c r="W566" s="14"/>
      <c r="X566" s="18"/>
      <c r="Y566" s="18"/>
      <c r="Z566" s="18"/>
      <c r="AA566" s="19">
        <f t="shared" si="1"/>
        <v>7</v>
      </c>
      <c r="AB566" s="19" t="str">
        <f t="shared" si="2"/>
        <v/>
      </c>
      <c r="AC566" s="19"/>
    </row>
    <row r="567" ht="15.75" customHeight="1">
      <c r="A567" s="12">
        <v>45128.0</v>
      </c>
      <c r="B567" s="13" t="s">
        <v>28</v>
      </c>
      <c r="C567" s="14" t="s">
        <v>2493</v>
      </c>
      <c r="D567" s="14" t="s">
        <v>2494</v>
      </c>
      <c r="E567" s="14"/>
      <c r="F567" s="14" t="s">
        <v>505</v>
      </c>
      <c r="G567" s="14"/>
      <c r="H567" s="14"/>
      <c r="I567" s="15" t="s">
        <v>2495</v>
      </c>
      <c r="J567" s="14"/>
      <c r="K567" s="14"/>
      <c r="L567" s="14" t="s">
        <v>2496</v>
      </c>
      <c r="M567" s="14" t="s">
        <v>111</v>
      </c>
      <c r="N567" s="14" t="s">
        <v>565</v>
      </c>
      <c r="O567" s="14" t="b">
        <v>0</v>
      </c>
      <c r="P567" s="14"/>
      <c r="Q567" s="14"/>
      <c r="R567" s="14"/>
      <c r="S567" s="14" t="s">
        <v>2497</v>
      </c>
      <c r="T567" s="14"/>
      <c r="U567" s="17"/>
      <c r="V567" s="14"/>
      <c r="W567" s="14"/>
      <c r="X567" s="18"/>
      <c r="Y567" s="18"/>
      <c r="Z567" s="18"/>
      <c r="AA567" s="19">
        <f t="shared" si="1"/>
        <v>7</v>
      </c>
      <c r="AB567" s="19" t="str">
        <f t="shared" si="2"/>
        <v/>
      </c>
      <c r="AC567" s="19"/>
    </row>
    <row r="568" ht="15.75" customHeight="1">
      <c r="A568" s="12">
        <v>45129.0</v>
      </c>
      <c r="B568" s="13" t="s">
        <v>28</v>
      </c>
      <c r="C568" s="14" t="s">
        <v>2498</v>
      </c>
      <c r="D568" s="14"/>
      <c r="E568" s="14"/>
      <c r="F568" s="14"/>
      <c r="G568" s="14">
        <v>2.0</v>
      </c>
      <c r="H568" s="14"/>
      <c r="I568" s="15" t="s">
        <v>2499</v>
      </c>
      <c r="J568" s="14"/>
      <c r="K568" s="14"/>
      <c r="L568" s="14" t="s">
        <v>2496</v>
      </c>
      <c r="M568" s="14" t="s">
        <v>48</v>
      </c>
      <c r="N568" s="14" t="s">
        <v>565</v>
      </c>
      <c r="O568" s="14" t="b">
        <v>0</v>
      </c>
      <c r="P568" s="14"/>
      <c r="Q568" s="14"/>
      <c r="R568" s="14"/>
      <c r="S568" s="14" t="s">
        <v>2500</v>
      </c>
      <c r="T568" s="14"/>
      <c r="U568" s="17"/>
      <c r="V568" s="14"/>
      <c r="W568" s="14"/>
      <c r="X568" s="18"/>
      <c r="Y568" s="18"/>
      <c r="Z568" s="18"/>
      <c r="AA568" s="19">
        <f t="shared" si="1"/>
        <v>7</v>
      </c>
      <c r="AB568" s="19" t="str">
        <f t="shared" si="2"/>
        <v/>
      </c>
      <c r="AC568" s="19"/>
    </row>
    <row r="569" ht="15.75" customHeight="1">
      <c r="A569" s="26">
        <v>45129.0</v>
      </c>
      <c r="B569" s="27" t="s">
        <v>60</v>
      </c>
      <c r="C569" s="27" t="s">
        <v>2501</v>
      </c>
      <c r="D569" s="27" t="s">
        <v>2502</v>
      </c>
      <c r="E569" s="27"/>
      <c r="F569" s="27">
        <v>2011.0</v>
      </c>
      <c r="G569" s="27">
        <v>7.0</v>
      </c>
      <c r="H569" s="27" t="s">
        <v>2503</v>
      </c>
      <c r="I569" s="34" t="s">
        <v>2504</v>
      </c>
      <c r="J569" s="27"/>
      <c r="K569" s="27"/>
      <c r="L569" s="27" t="s">
        <v>2505</v>
      </c>
      <c r="M569" s="27" t="s">
        <v>111</v>
      </c>
      <c r="N569" s="27" t="s">
        <v>67</v>
      </c>
      <c r="O569" s="14" t="b">
        <v>1</v>
      </c>
      <c r="P569" s="27" t="s">
        <v>4472</v>
      </c>
      <c r="Q569" s="27"/>
      <c r="R569" s="27"/>
      <c r="S569" s="27" t="s">
        <v>2507</v>
      </c>
      <c r="T569" s="27"/>
      <c r="U569" s="26"/>
      <c r="V569" s="27"/>
      <c r="W569" s="27"/>
      <c r="X569" s="25"/>
      <c r="Y569" s="25"/>
      <c r="Z569" s="25" t="s">
        <v>289</v>
      </c>
      <c r="AA569" s="19">
        <f t="shared" si="1"/>
        <v>7</v>
      </c>
      <c r="AB569" s="19" t="str">
        <f t="shared" si="2"/>
        <v/>
      </c>
      <c r="AC569" s="19"/>
    </row>
    <row r="570" ht="15.75" customHeight="1">
      <c r="A570" s="26">
        <v>45130.0</v>
      </c>
      <c r="B570" s="13" t="s">
        <v>28</v>
      </c>
      <c r="C570" s="27" t="s">
        <v>2508</v>
      </c>
      <c r="D570" s="27" t="s">
        <v>2509</v>
      </c>
      <c r="E570" s="27"/>
      <c r="F570" s="32">
        <v>42990.0</v>
      </c>
      <c r="G570" s="27">
        <v>1.0</v>
      </c>
      <c r="H570" s="27"/>
      <c r="I570" s="34" t="s">
        <v>2510</v>
      </c>
      <c r="J570" s="27"/>
      <c r="K570" s="27"/>
      <c r="L570" s="27"/>
      <c r="M570" s="27" t="s">
        <v>48</v>
      </c>
      <c r="N570" s="27" t="s">
        <v>67</v>
      </c>
      <c r="O570" s="14" t="b">
        <v>1</v>
      </c>
      <c r="P570" s="27" t="s">
        <v>2511</v>
      </c>
      <c r="Q570" s="27"/>
      <c r="R570" s="27"/>
      <c r="S570" s="27" t="s">
        <v>4473</v>
      </c>
      <c r="T570" s="27"/>
      <c r="U570" s="32"/>
      <c r="V570" s="32">
        <v>45135.0</v>
      </c>
      <c r="W570" s="33" t="s">
        <v>4474</v>
      </c>
      <c r="X570" s="25">
        <v>6124000.0</v>
      </c>
      <c r="Y570" s="25">
        <f>X570-Z570</f>
        <v>600000</v>
      </c>
      <c r="Z570" s="25">
        <v>5524000.0</v>
      </c>
      <c r="AA570" s="19">
        <f t="shared" si="1"/>
        <v>7</v>
      </c>
      <c r="AB570" s="19">
        <f t="shared" si="2"/>
        <v>7</v>
      </c>
      <c r="AC570" s="19"/>
    </row>
    <row r="571" ht="15.75" customHeight="1">
      <c r="A571" s="12">
        <v>45130.0</v>
      </c>
      <c r="B571" s="14" t="s">
        <v>84</v>
      </c>
      <c r="C571" s="14" t="s">
        <v>2513</v>
      </c>
      <c r="D571" s="14" t="s">
        <v>2514</v>
      </c>
      <c r="E571" s="14"/>
      <c r="F571" s="14" t="s">
        <v>4377</v>
      </c>
      <c r="G571" s="14">
        <v>6.0</v>
      </c>
      <c r="H571" s="14"/>
      <c r="I571" s="15" t="s">
        <v>2515</v>
      </c>
      <c r="J571" s="14"/>
      <c r="K571" s="14"/>
      <c r="L571" s="14"/>
      <c r="M571" s="14" t="s">
        <v>111</v>
      </c>
      <c r="N571" s="14" t="s">
        <v>13</v>
      </c>
      <c r="O571" s="14" t="b">
        <v>1</v>
      </c>
      <c r="P571" s="61" t="s">
        <v>2516</v>
      </c>
      <c r="Q571" s="14"/>
      <c r="R571" s="14"/>
      <c r="S571" s="14" t="s">
        <v>2517</v>
      </c>
      <c r="T571" s="14" t="s">
        <v>4197</v>
      </c>
      <c r="U571" s="17">
        <v>45163.0</v>
      </c>
      <c r="V571" s="14"/>
      <c r="W571" s="14"/>
      <c r="X571" s="18"/>
      <c r="Y571" s="18"/>
      <c r="Z571" s="18"/>
      <c r="AA571" s="19">
        <f t="shared" si="1"/>
        <v>7</v>
      </c>
      <c r="AB571" s="19" t="str">
        <f t="shared" si="2"/>
        <v/>
      </c>
      <c r="AC571" s="19"/>
    </row>
    <row r="572" ht="15.75" customHeight="1">
      <c r="A572" s="12">
        <v>45130.0</v>
      </c>
      <c r="B572" s="13" t="s">
        <v>28</v>
      </c>
      <c r="C572" s="14" t="s">
        <v>2518</v>
      </c>
      <c r="D572" s="14"/>
      <c r="E572" s="14"/>
      <c r="F572" s="14" t="s">
        <v>4212</v>
      </c>
      <c r="G572" s="14"/>
      <c r="H572" s="14"/>
      <c r="I572" s="15" t="s">
        <v>2519</v>
      </c>
      <c r="J572" s="14"/>
      <c r="K572" s="14"/>
      <c r="L572" s="14"/>
      <c r="M572" s="14" t="s">
        <v>111</v>
      </c>
      <c r="N572" s="14" t="s">
        <v>34</v>
      </c>
      <c r="O572" s="14" t="b">
        <v>0</v>
      </c>
      <c r="P572" s="14"/>
      <c r="Q572" s="14"/>
      <c r="R572" s="14"/>
      <c r="S572" s="14" t="s">
        <v>2520</v>
      </c>
      <c r="T572" s="14"/>
      <c r="U572" s="17"/>
      <c r="V572" s="14"/>
      <c r="W572" s="14"/>
      <c r="X572" s="18"/>
      <c r="Y572" s="18"/>
      <c r="Z572" s="18"/>
      <c r="AA572" s="19">
        <f t="shared" si="1"/>
        <v>7</v>
      </c>
      <c r="AB572" s="19" t="str">
        <f t="shared" si="2"/>
        <v/>
      </c>
      <c r="AC572" s="19"/>
    </row>
    <row r="573" ht="15.75" customHeight="1">
      <c r="A573" s="12">
        <v>45093.0</v>
      </c>
      <c r="B573" s="14" t="s">
        <v>84</v>
      </c>
      <c r="C573" s="14" t="s">
        <v>2521</v>
      </c>
      <c r="D573" s="14" t="s">
        <v>2423</v>
      </c>
      <c r="E573" s="14"/>
      <c r="F573" s="14" t="s">
        <v>4475</v>
      </c>
      <c r="G573" s="14">
        <v>4.0</v>
      </c>
      <c r="H573" s="14"/>
      <c r="I573" s="15" t="s">
        <v>2522</v>
      </c>
      <c r="J573" s="14"/>
      <c r="K573" s="14"/>
      <c r="L573" s="14" t="s">
        <v>2523</v>
      </c>
      <c r="M573" s="14" t="s">
        <v>111</v>
      </c>
      <c r="N573" s="14" t="s">
        <v>565</v>
      </c>
      <c r="O573" s="14" t="b">
        <v>0</v>
      </c>
      <c r="P573" s="14"/>
      <c r="Q573" s="14"/>
      <c r="R573" s="14"/>
      <c r="S573" s="14" t="s">
        <v>2524</v>
      </c>
      <c r="T573" s="14" t="s">
        <v>4476</v>
      </c>
      <c r="U573" s="17">
        <v>45163.0</v>
      </c>
      <c r="V573" s="14"/>
      <c r="W573" s="14"/>
      <c r="X573" s="18"/>
      <c r="Y573" s="18"/>
      <c r="Z573" s="18"/>
      <c r="AA573" s="19">
        <f t="shared" si="1"/>
        <v>6</v>
      </c>
      <c r="AB573" s="19" t="str">
        <f t="shared" si="2"/>
        <v/>
      </c>
      <c r="AC573" s="19"/>
    </row>
    <row r="574" ht="15.75" customHeight="1">
      <c r="A574" s="12">
        <v>45093.0</v>
      </c>
      <c r="B574" s="14" t="s">
        <v>84</v>
      </c>
      <c r="C574" s="14" t="s">
        <v>2521</v>
      </c>
      <c r="D574" s="14" t="s">
        <v>2525</v>
      </c>
      <c r="E574" s="14"/>
      <c r="F574" s="14" t="s">
        <v>4375</v>
      </c>
      <c r="G574" s="14">
        <v>7.0</v>
      </c>
      <c r="H574" s="14"/>
      <c r="I574" s="15" t="s">
        <v>2522</v>
      </c>
      <c r="J574" s="14"/>
      <c r="K574" s="14"/>
      <c r="L574" s="14"/>
      <c r="M574" s="14" t="s">
        <v>111</v>
      </c>
      <c r="N574" s="14" t="s">
        <v>565</v>
      </c>
      <c r="O574" s="14" t="b">
        <v>0</v>
      </c>
      <c r="P574" s="14"/>
      <c r="Q574" s="14"/>
      <c r="R574" s="14"/>
      <c r="S574" s="14" t="s">
        <v>2524</v>
      </c>
      <c r="T574" s="14" t="s">
        <v>4197</v>
      </c>
      <c r="U574" s="17">
        <v>45163.0</v>
      </c>
      <c r="V574" s="14"/>
      <c r="W574" s="14"/>
      <c r="X574" s="18"/>
      <c r="Y574" s="18"/>
      <c r="Z574" s="18"/>
      <c r="AA574" s="19">
        <f t="shared" si="1"/>
        <v>6</v>
      </c>
      <c r="AB574" s="19" t="str">
        <f t="shared" si="2"/>
        <v/>
      </c>
      <c r="AC574" s="19"/>
    </row>
    <row r="575" ht="15.75" customHeight="1">
      <c r="A575" s="12">
        <v>45131.0</v>
      </c>
      <c r="B575" s="13" t="s">
        <v>28</v>
      </c>
      <c r="C575" s="14" t="s">
        <v>2526</v>
      </c>
      <c r="D575" s="14"/>
      <c r="E575" s="14"/>
      <c r="F575" s="14"/>
      <c r="G575" s="14"/>
      <c r="H575" s="14"/>
      <c r="I575" s="15" t="s">
        <v>2527</v>
      </c>
      <c r="J575" s="14"/>
      <c r="K575" s="14"/>
      <c r="L575" s="14"/>
      <c r="M575" s="14" t="s">
        <v>111</v>
      </c>
      <c r="N575" s="14" t="s">
        <v>216</v>
      </c>
      <c r="O575" s="14" t="b">
        <v>0</v>
      </c>
      <c r="P575" s="14"/>
      <c r="Q575" s="14"/>
      <c r="R575" s="14"/>
      <c r="S575" s="14" t="s">
        <v>2528</v>
      </c>
      <c r="T575" s="14" t="s">
        <v>4096</v>
      </c>
      <c r="U575" s="17"/>
      <c r="V575" s="14"/>
      <c r="W575" s="14"/>
      <c r="X575" s="18"/>
      <c r="Y575" s="18"/>
      <c r="Z575" s="18"/>
      <c r="AA575" s="19">
        <f t="shared" si="1"/>
        <v>7</v>
      </c>
      <c r="AB575" s="19" t="str">
        <f t="shared" si="2"/>
        <v/>
      </c>
      <c r="AC575" s="19"/>
    </row>
    <row r="576" ht="15.75" customHeight="1">
      <c r="A576" s="26">
        <v>45130.0</v>
      </c>
      <c r="B576" s="27" t="s">
        <v>84</v>
      </c>
      <c r="C576" s="168" t="s">
        <v>2529</v>
      </c>
      <c r="D576" s="27" t="s">
        <v>2530</v>
      </c>
      <c r="E576" s="27"/>
      <c r="F576" s="27">
        <v>2012.0</v>
      </c>
      <c r="G576" s="27">
        <v>6.0</v>
      </c>
      <c r="H576" s="27"/>
      <c r="I576" s="34" t="s">
        <v>2531</v>
      </c>
      <c r="J576" s="27"/>
      <c r="K576" s="27"/>
      <c r="L576" s="27" t="s">
        <v>2532</v>
      </c>
      <c r="M576" s="27" t="s">
        <v>111</v>
      </c>
      <c r="N576" s="27" t="s">
        <v>67</v>
      </c>
      <c r="O576" s="14" t="b">
        <v>1</v>
      </c>
      <c r="P576" s="27" t="s">
        <v>4477</v>
      </c>
      <c r="Q576" s="27"/>
      <c r="R576" s="27"/>
      <c r="S576" s="33" t="s">
        <v>2534</v>
      </c>
      <c r="T576" s="27" t="s">
        <v>4197</v>
      </c>
      <c r="U576" s="26"/>
      <c r="V576" s="32">
        <v>45199.0</v>
      </c>
      <c r="W576" s="27" t="s">
        <v>4207</v>
      </c>
      <c r="X576" s="25">
        <v>8750000.0</v>
      </c>
      <c r="Y576" s="25">
        <v>1312500.0</v>
      </c>
      <c r="Z576" s="25">
        <v>7437500.0</v>
      </c>
      <c r="AA576" s="19">
        <f t="shared" si="1"/>
        <v>7</v>
      </c>
      <c r="AB576" s="19">
        <f t="shared" si="2"/>
        <v>9</v>
      </c>
      <c r="AC576" s="19"/>
    </row>
    <row r="577" ht="15.75" customHeight="1">
      <c r="A577" s="12">
        <v>45131.0</v>
      </c>
      <c r="B577" s="13" t="s">
        <v>28</v>
      </c>
      <c r="C577" s="14" t="s">
        <v>2535</v>
      </c>
      <c r="D577" s="14" t="s">
        <v>2536</v>
      </c>
      <c r="E577" s="14"/>
      <c r="F577" s="14">
        <v>2013.0</v>
      </c>
      <c r="G577" s="14"/>
      <c r="H577" s="14"/>
      <c r="I577" s="15" t="s">
        <v>2537</v>
      </c>
      <c r="J577" s="14"/>
      <c r="K577" s="14"/>
      <c r="L577" s="169" t="s">
        <v>2538</v>
      </c>
      <c r="M577" s="14" t="s">
        <v>111</v>
      </c>
      <c r="N577" s="14" t="s">
        <v>565</v>
      </c>
      <c r="O577" s="14" t="b">
        <v>0</v>
      </c>
      <c r="P577" s="14"/>
      <c r="Q577" s="14"/>
      <c r="R577" s="14"/>
      <c r="S577" s="14" t="s">
        <v>2539</v>
      </c>
      <c r="T577" s="14"/>
      <c r="U577" s="17"/>
      <c r="V577" s="14"/>
      <c r="W577" s="14"/>
      <c r="X577" s="18"/>
      <c r="Y577" s="18"/>
      <c r="Z577" s="18"/>
      <c r="AA577" s="19">
        <f t="shared" si="1"/>
        <v>7</v>
      </c>
      <c r="AB577" s="19" t="str">
        <f t="shared" si="2"/>
        <v/>
      </c>
      <c r="AC577" s="19"/>
    </row>
    <row r="578" ht="15.75" customHeight="1">
      <c r="A578" s="12">
        <v>45098.0</v>
      </c>
      <c r="B578" s="14" t="s">
        <v>84</v>
      </c>
      <c r="C578" s="14" t="s">
        <v>2540</v>
      </c>
      <c r="D578" s="14" t="s">
        <v>2541</v>
      </c>
      <c r="E578" s="14"/>
      <c r="F578" s="14">
        <v>2016.0</v>
      </c>
      <c r="G578" s="14"/>
      <c r="H578" s="14"/>
      <c r="I578" s="15" t="s">
        <v>2542</v>
      </c>
      <c r="J578" s="14"/>
      <c r="K578" s="132" t="s">
        <v>2542</v>
      </c>
      <c r="L578" s="14"/>
      <c r="M578" s="14" t="s">
        <v>111</v>
      </c>
      <c r="N578" s="14" t="s">
        <v>13</v>
      </c>
      <c r="O578" s="14" t="b">
        <v>1</v>
      </c>
      <c r="P578" s="14" t="s">
        <v>2543</v>
      </c>
      <c r="Q578" s="14"/>
      <c r="R578" s="14"/>
      <c r="S578" s="14" t="s">
        <v>2544</v>
      </c>
      <c r="T578" s="14" t="s">
        <v>4197</v>
      </c>
      <c r="U578" s="17"/>
      <c r="V578" s="14"/>
      <c r="W578" s="14"/>
      <c r="X578" s="18"/>
      <c r="Y578" s="18"/>
      <c r="Z578" s="18"/>
      <c r="AA578" s="19">
        <f t="shared" si="1"/>
        <v>6</v>
      </c>
      <c r="AB578" s="19" t="str">
        <f t="shared" si="2"/>
        <v/>
      </c>
      <c r="AC578" s="19" t="s">
        <v>373</v>
      </c>
    </row>
    <row r="579" ht="15.75" customHeight="1">
      <c r="A579" s="26">
        <v>45131.0</v>
      </c>
      <c r="B579" s="27" t="s">
        <v>201</v>
      </c>
      <c r="C579" s="27" t="s">
        <v>2547</v>
      </c>
      <c r="D579" s="27" t="s">
        <v>2545</v>
      </c>
      <c r="E579" s="27"/>
      <c r="F579" s="27">
        <v>2007.0</v>
      </c>
      <c r="G579" s="27">
        <v>11.0</v>
      </c>
      <c r="H579" s="27"/>
      <c r="I579" s="275" t="s">
        <v>2546</v>
      </c>
      <c r="J579" s="27"/>
      <c r="K579" s="27">
        <v>8.68216305E8</v>
      </c>
      <c r="L579" s="27"/>
      <c r="M579" s="27" t="s">
        <v>111</v>
      </c>
      <c r="N579" s="27" t="s">
        <v>67</v>
      </c>
      <c r="O579" s="14" t="b">
        <v>1</v>
      </c>
      <c r="P579" s="27"/>
      <c r="Q579" s="27" t="s">
        <v>4207</v>
      </c>
      <c r="R579" s="27" t="s">
        <v>2548</v>
      </c>
      <c r="S579" s="27" t="s">
        <v>2549</v>
      </c>
      <c r="T579" s="27"/>
      <c r="U579" s="26"/>
      <c r="V579" s="32">
        <v>45131.0</v>
      </c>
      <c r="W579" s="27" t="s">
        <v>4370</v>
      </c>
      <c r="X579" s="25">
        <v>8750000.0</v>
      </c>
      <c r="Y579" s="25">
        <v>1038000.0</v>
      </c>
      <c r="Z579" s="25">
        <v>7712000.0</v>
      </c>
      <c r="AA579" s="19">
        <f t="shared" si="1"/>
        <v>7</v>
      </c>
      <c r="AB579" s="19">
        <f t="shared" si="2"/>
        <v>7</v>
      </c>
      <c r="AC579" s="19"/>
    </row>
    <row r="580" ht="15.75" customHeight="1">
      <c r="A580" s="26">
        <v>45132.0</v>
      </c>
      <c r="B580" s="27" t="s">
        <v>201</v>
      </c>
      <c r="C580" s="315" t="s">
        <v>4478</v>
      </c>
      <c r="D580" s="27" t="s">
        <v>2551</v>
      </c>
      <c r="E580" s="27"/>
      <c r="F580" s="32">
        <v>40453.0</v>
      </c>
      <c r="G580" s="27">
        <v>8.0</v>
      </c>
      <c r="H580" s="27"/>
      <c r="I580" s="82" t="s">
        <v>2552</v>
      </c>
      <c r="J580" s="27"/>
      <c r="K580" s="27"/>
      <c r="L580" s="27"/>
      <c r="M580" s="27" t="s">
        <v>48</v>
      </c>
      <c r="N580" s="27" t="s">
        <v>67</v>
      </c>
      <c r="O580" s="14" t="b">
        <v>1</v>
      </c>
      <c r="P580" s="27" t="s">
        <v>2554</v>
      </c>
      <c r="Q580" s="27"/>
      <c r="R580" s="27"/>
      <c r="S580" s="27" t="s">
        <v>2555</v>
      </c>
      <c r="T580" s="27"/>
      <c r="U580" s="26"/>
      <c r="V580" s="32">
        <v>45134.0</v>
      </c>
      <c r="W580" s="27" t="s">
        <v>4479</v>
      </c>
      <c r="X580" s="25">
        <v>6124000.0</v>
      </c>
      <c r="Y580" s="25">
        <f>X580-Z580</f>
        <v>764000</v>
      </c>
      <c r="Z580" s="25">
        <v>5360000.0</v>
      </c>
      <c r="AA580" s="19">
        <f t="shared" si="1"/>
        <v>7</v>
      </c>
      <c r="AB580" s="19">
        <f t="shared" si="2"/>
        <v>7</v>
      </c>
      <c r="AC580" s="19"/>
    </row>
    <row r="581" ht="15.75" customHeight="1">
      <c r="A581" s="173">
        <v>45095.0</v>
      </c>
      <c r="B581" s="110" t="s">
        <v>84</v>
      </c>
      <c r="C581" s="110" t="s">
        <v>2556</v>
      </c>
      <c r="D581" s="110" t="s">
        <v>2557</v>
      </c>
      <c r="E581" s="110" t="s">
        <v>4480</v>
      </c>
      <c r="F581" s="171">
        <v>42083.0</v>
      </c>
      <c r="G581" s="110"/>
      <c r="H581" s="110"/>
      <c r="I581" s="174" t="s">
        <v>2558</v>
      </c>
      <c r="J581" s="110"/>
      <c r="K581" s="110"/>
      <c r="L581" s="110" t="s">
        <v>2559</v>
      </c>
      <c r="M581" s="110" t="s">
        <v>111</v>
      </c>
      <c r="N581" s="110" t="s">
        <v>67</v>
      </c>
      <c r="O581" s="14" t="b">
        <v>0</v>
      </c>
      <c r="P581" s="110" t="s">
        <v>2560</v>
      </c>
      <c r="Q581" s="110"/>
      <c r="R581" s="110"/>
      <c r="S581" s="110" t="s">
        <v>2561</v>
      </c>
      <c r="T581" s="110"/>
      <c r="U581" s="173"/>
      <c r="V581" s="171">
        <v>45134.0</v>
      </c>
      <c r="W581" s="110" t="s">
        <v>4481</v>
      </c>
      <c r="X581" s="172">
        <v>8750000.0</v>
      </c>
      <c r="Y581" s="172">
        <v>1038500.0</v>
      </c>
      <c r="Z581" s="25">
        <v>7711500.0</v>
      </c>
      <c r="AA581" s="19">
        <f t="shared" si="1"/>
        <v>6</v>
      </c>
      <c r="AB581" s="19">
        <f t="shared" si="2"/>
        <v>7</v>
      </c>
      <c r="AC581" s="19"/>
    </row>
    <row r="582" ht="15.75" customHeight="1">
      <c r="A582" s="12">
        <v>45133.0</v>
      </c>
      <c r="B582" s="13" t="s">
        <v>28</v>
      </c>
      <c r="C582" s="316" t="s">
        <v>2562</v>
      </c>
      <c r="D582" s="316"/>
      <c r="E582" s="14"/>
      <c r="F582" s="14"/>
      <c r="G582" s="14"/>
      <c r="H582" s="14"/>
      <c r="I582" s="176" t="s">
        <v>2563</v>
      </c>
      <c r="J582" s="14"/>
      <c r="K582" s="14"/>
      <c r="L582" s="14"/>
      <c r="M582" s="14" t="s">
        <v>48</v>
      </c>
      <c r="N582" s="14" t="s">
        <v>34</v>
      </c>
      <c r="O582" s="14" t="b">
        <v>0</v>
      </c>
      <c r="P582" s="14"/>
      <c r="Q582" s="14"/>
      <c r="R582" s="14"/>
      <c r="S582" s="14" t="s">
        <v>2564</v>
      </c>
      <c r="T582" s="14" t="s">
        <v>36</v>
      </c>
      <c r="U582" s="17"/>
      <c r="V582" s="14"/>
      <c r="W582" s="14"/>
      <c r="X582" s="18"/>
      <c r="Y582" s="18"/>
      <c r="Z582" s="25"/>
      <c r="AA582" s="19">
        <f t="shared" si="1"/>
        <v>7</v>
      </c>
      <c r="AB582" s="19" t="str">
        <f t="shared" si="2"/>
        <v/>
      </c>
      <c r="AC582" s="19"/>
    </row>
    <row r="583" ht="15.75" customHeight="1">
      <c r="A583" s="12">
        <v>45133.0</v>
      </c>
      <c r="B583" s="13" t="s">
        <v>28</v>
      </c>
      <c r="C583" s="14" t="s">
        <v>2565</v>
      </c>
      <c r="D583" s="14"/>
      <c r="E583" s="14"/>
      <c r="F583" s="14"/>
      <c r="G583" s="14"/>
      <c r="H583" s="14"/>
      <c r="I583" s="317" t="s">
        <v>2566</v>
      </c>
      <c r="J583" s="14"/>
      <c r="K583" s="14"/>
      <c r="L583" s="14"/>
      <c r="M583" s="14" t="s">
        <v>111</v>
      </c>
      <c r="N583" s="14" t="s">
        <v>216</v>
      </c>
      <c r="O583" s="14" t="b">
        <v>0</v>
      </c>
      <c r="P583" s="14" t="s">
        <v>2567</v>
      </c>
      <c r="Q583" s="14"/>
      <c r="R583" s="14"/>
      <c r="S583" s="14" t="s">
        <v>2568</v>
      </c>
      <c r="T583" s="14"/>
      <c r="U583" s="17"/>
      <c r="V583" s="14"/>
      <c r="W583" s="14"/>
      <c r="X583" s="18"/>
      <c r="Y583" s="18"/>
      <c r="Z583" s="18"/>
      <c r="AA583" s="19">
        <f t="shared" si="1"/>
        <v>7</v>
      </c>
      <c r="AB583" s="19" t="str">
        <f t="shared" si="2"/>
        <v/>
      </c>
      <c r="AC583" s="19"/>
    </row>
    <row r="584" ht="15.75" customHeight="1">
      <c r="A584" s="12">
        <v>45134.0</v>
      </c>
      <c r="B584" s="13" t="s">
        <v>28</v>
      </c>
      <c r="C584" s="316" t="s">
        <v>2569</v>
      </c>
      <c r="D584" s="316" t="s">
        <v>2570</v>
      </c>
      <c r="E584" s="14"/>
      <c r="F584" s="14"/>
      <c r="G584" s="14">
        <v>5.0</v>
      </c>
      <c r="H584" s="14"/>
      <c r="I584" s="57" t="s">
        <v>2571</v>
      </c>
      <c r="J584" s="14"/>
      <c r="K584" s="14"/>
      <c r="L584" s="14"/>
      <c r="M584" s="14" t="s">
        <v>48</v>
      </c>
      <c r="N584" s="14" t="s">
        <v>34</v>
      </c>
      <c r="O584" s="14" t="b">
        <v>1</v>
      </c>
      <c r="P584" s="14" t="s">
        <v>2572</v>
      </c>
      <c r="Q584" s="14"/>
      <c r="R584" s="14"/>
      <c r="S584" s="14" t="s">
        <v>2573</v>
      </c>
      <c r="T584" s="14"/>
      <c r="U584" s="61" t="s">
        <v>36</v>
      </c>
      <c r="V584" s="14"/>
      <c r="W584" s="14"/>
      <c r="X584" s="18"/>
      <c r="Y584" s="18"/>
      <c r="Z584" s="18"/>
      <c r="AA584" s="19">
        <f t="shared" si="1"/>
        <v>7</v>
      </c>
      <c r="AB584" s="19" t="str">
        <f t="shared" si="2"/>
        <v/>
      </c>
      <c r="AC584" s="19"/>
    </row>
    <row r="585" ht="15.75" customHeight="1">
      <c r="A585" s="12">
        <v>45134.0</v>
      </c>
      <c r="B585" s="13" t="s">
        <v>28</v>
      </c>
      <c r="C585" s="14" t="s">
        <v>2574</v>
      </c>
      <c r="D585" s="14"/>
      <c r="E585" s="14"/>
      <c r="F585" s="14"/>
      <c r="G585" s="14"/>
      <c r="H585" s="14"/>
      <c r="I585" s="15" t="s">
        <v>2575</v>
      </c>
      <c r="J585" s="14"/>
      <c r="K585" s="14"/>
      <c r="L585" s="14"/>
      <c r="M585" s="14" t="s">
        <v>111</v>
      </c>
      <c r="N585" s="14" t="s">
        <v>565</v>
      </c>
      <c r="O585" s="14" t="b">
        <v>0</v>
      </c>
      <c r="P585" s="14"/>
      <c r="Q585" s="14"/>
      <c r="R585" s="14"/>
      <c r="S585" s="14" t="s">
        <v>2576</v>
      </c>
      <c r="T585" s="14"/>
      <c r="U585" s="17"/>
      <c r="V585" s="90"/>
      <c r="W585" s="14"/>
      <c r="X585" s="18"/>
      <c r="Y585" s="18"/>
      <c r="Z585" s="18"/>
      <c r="AA585" s="19">
        <f t="shared" si="1"/>
        <v>7</v>
      </c>
      <c r="AB585" s="19" t="str">
        <f t="shared" si="2"/>
        <v/>
      </c>
      <c r="AC585" s="19"/>
    </row>
    <row r="586" ht="15.75" customHeight="1">
      <c r="A586" s="12">
        <v>45134.0</v>
      </c>
      <c r="B586" s="13" t="s">
        <v>28</v>
      </c>
      <c r="C586" s="316"/>
      <c r="D586" s="175" t="s">
        <v>2577</v>
      </c>
      <c r="E586" s="14">
        <v>2013.0</v>
      </c>
      <c r="F586" s="14" t="s">
        <v>115</v>
      </c>
      <c r="G586" s="14"/>
      <c r="H586" s="14"/>
      <c r="I586" s="132" t="s">
        <v>2578</v>
      </c>
      <c r="J586" s="14"/>
      <c r="K586" s="14"/>
      <c r="L586" s="14" t="s">
        <v>4482</v>
      </c>
      <c r="M586" s="14" t="s">
        <v>48</v>
      </c>
      <c r="N586" s="14" t="s">
        <v>1484</v>
      </c>
      <c r="O586" s="14" t="b">
        <v>0</v>
      </c>
      <c r="P586" s="14"/>
      <c r="Q586" s="14"/>
      <c r="R586" s="14"/>
      <c r="S586" s="14" t="s">
        <v>2580</v>
      </c>
      <c r="T586" s="14"/>
      <c r="U586" s="17"/>
      <c r="V586" s="14"/>
      <c r="W586" s="14"/>
      <c r="X586" s="18"/>
      <c r="Y586" s="18"/>
      <c r="Z586" s="18"/>
      <c r="AA586" s="19">
        <f t="shared" si="1"/>
        <v>7</v>
      </c>
      <c r="AB586" s="19" t="str">
        <f t="shared" si="2"/>
        <v/>
      </c>
      <c r="AC586" s="19"/>
    </row>
    <row r="587" ht="15.75" customHeight="1">
      <c r="A587" s="12">
        <v>45134.0</v>
      </c>
      <c r="B587" s="13" t="s">
        <v>28</v>
      </c>
      <c r="C587" s="14" t="s">
        <v>2581</v>
      </c>
      <c r="D587" s="14"/>
      <c r="E587" s="14"/>
      <c r="F587" s="14" t="s">
        <v>4349</v>
      </c>
      <c r="G587" s="14">
        <v>3.0</v>
      </c>
      <c r="H587" s="14"/>
      <c r="I587" s="14">
        <v>9.05573318E8</v>
      </c>
      <c r="J587" s="14"/>
      <c r="K587" s="14"/>
      <c r="L587" s="14" t="s">
        <v>2582</v>
      </c>
      <c r="M587" s="14" t="s">
        <v>111</v>
      </c>
      <c r="N587" s="14" t="s">
        <v>34</v>
      </c>
      <c r="O587" s="14" t="b">
        <v>0</v>
      </c>
      <c r="P587" s="14"/>
      <c r="Q587" s="14"/>
      <c r="R587" s="14"/>
      <c r="S587" s="14" t="s">
        <v>2583</v>
      </c>
      <c r="T587" s="14" t="s">
        <v>4197</v>
      </c>
      <c r="U587" s="17"/>
      <c r="V587" s="14"/>
      <c r="W587" s="14"/>
      <c r="X587" s="18"/>
      <c r="Y587" s="18"/>
      <c r="Z587" s="18"/>
      <c r="AA587" s="19">
        <f t="shared" si="1"/>
        <v>7</v>
      </c>
      <c r="AB587" s="19" t="str">
        <f t="shared" si="2"/>
        <v/>
      </c>
      <c r="AC587" s="19"/>
    </row>
    <row r="588" ht="15.75" customHeight="1">
      <c r="A588" s="12">
        <v>45134.0</v>
      </c>
      <c r="B588" s="13" t="s">
        <v>28</v>
      </c>
      <c r="C588" s="14" t="s">
        <v>2584</v>
      </c>
      <c r="D588" s="14"/>
      <c r="E588" s="14"/>
      <c r="F588" s="14"/>
      <c r="G588" s="14"/>
      <c r="H588" s="14"/>
      <c r="I588" s="15" t="s">
        <v>2585</v>
      </c>
      <c r="J588" s="14"/>
      <c r="K588" s="14"/>
      <c r="L588" s="14"/>
      <c r="M588" s="14" t="s">
        <v>48</v>
      </c>
      <c r="N588" s="14" t="s">
        <v>34</v>
      </c>
      <c r="O588" s="14" t="b">
        <v>0</v>
      </c>
      <c r="P588" s="14"/>
      <c r="Q588" s="14"/>
      <c r="R588" s="14"/>
      <c r="S588" s="14" t="s">
        <v>2586</v>
      </c>
      <c r="T588" s="14" t="s">
        <v>36</v>
      </c>
      <c r="U588" s="17"/>
      <c r="V588" s="14"/>
      <c r="W588" s="14"/>
      <c r="X588" s="18"/>
      <c r="Y588" s="18"/>
      <c r="Z588" s="18"/>
      <c r="AA588" s="19">
        <f t="shared" si="1"/>
        <v>7</v>
      </c>
      <c r="AB588" s="19" t="str">
        <f t="shared" si="2"/>
        <v/>
      </c>
      <c r="AC588" s="19"/>
    </row>
    <row r="589" ht="15.75" customHeight="1">
      <c r="A589" s="12">
        <v>45135.0</v>
      </c>
      <c r="B589" s="14" t="s">
        <v>201</v>
      </c>
      <c r="C589" s="44" t="s">
        <v>4483</v>
      </c>
      <c r="D589" s="14" t="s">
        <v>2588</v>
      </c>
      <c r="E589" s="14"/>
      <c r="F589" s="14">
        <v>2013.0</v>
      </c>
      <c r="G589" s="14">
        <v>5.0</v>
      </c>
      <c r="H589" s="14"/>
      <c r="I589" s="298" t="s">
        <v>2589</v>
      </c>
      <c r="J589" s="14"/>
      <c r="K589" s="14"/>
      <c r="L589" s="14"/>
      <c r="M589" s="14" t="s">
        <v>111</v>
      </c>
      <c r="N589" s="14" t="s">
        <v>13</v>
      </c>
      <c r="O589" s="14" t="b">
        <v>1</v>
      </c>
      <c r="P589" s="14" t="s">
        <v>2591</v>
      </c>
      <c r="Q589" s="14"/>
      <c r="R589" s="14"/>
      <c r="S589" s="14" t="s">
        <v>2592</v>
      </c>
      <c r="T589" s="14" t="s">
        <v>4484</v>
      </c>
      <c r="U589" s="17"/>
      <c r="V589" s="14"/>
      <c r="W589" s="14"/>
      <c r="X589" s="18"/>
      <c r="Y589" s="18"/>
      <c r="Z589" s="18"/>
      <c r="AA589" s="19">
        <f t="shared" si="1"/>
        <v>7</v>
      </c>
      <c r="AB589" s="19" t="str">
        <f t="shared" si="2"/>
        <v/>
      </c>
      <c r="AC589" s="19" t="s">
        <v>373</v>
      </c>
    </row>
    <row r="590" ht="15.75" customHeight="1">
      <c r="A590" s="26">
        <v>45135.0</v>
      </c>
      <c r="B590" s="13" t="s">
        <v>28</v>
      </c>
      <c r="C590" s="27"/>
      <c r="D590" s="27" t="s">
        <v>2593</v>
      </c>
      <c r="E590" s="27"/>
      <c r="F590" s="27" t="s">
        <v>4485</v>
      </c>
      <c r="G590" s="27"/>
      <c r="H590" s="27"/>
      <c r="I590" s="34" t="s">
        <v>2594</v>
      </c>
      <c r="J590" s="27"/>
      <c r="K590" s="27"/>
      <c r="L590" s="27"/>
      <c r="M590" s="27" t="s">
        <v>111</v>
      </c>
      <c r="N590" s="27" t="s">
        <v>67</v>
      </c>
      <c r="O590" s="14" t="b">
        <v>1</v>
      </c>
      <c r="P590" s="27" t="s">
        <v>2595</v>
      </c>
      <c r="Q590" s="27"/>
      <c r="R590" s="27"/>
      <c r="S590" s="27"/>
      <c r="T590" s="27"/>
      <c r="U590" s="26"/>
      <c r="V590" s="32">
        <v>45141.0</v>
      </c>
      <c r="W590" s="27" t="s">
        <v>4486</v>
      </c>
      <c r="X590" s="25">
        <v>1.05E7</v>
      </c>
      <c r="Y590" s="25">
        <v>1285000.0</v>
      </c>
      <c r="Z590" s="25">
        <v>9215000.0</v>
      </c>
      <c r="AA590" s="19">
        <f t="shared" si="1"/>
        <v>7</v>
      </c>
      <c r="AB590" s="19">
        <f t="shared" si="2"/>
        <v>8</v>
      </c>
      <c r="AC590" s="19"/>
    </row>
    <row r="591" ht="15.75" customHeight="1">
      <c r="A591" s="12">
        <v>45135.0</v>
      </c>
      <c r="B591" s="13" t="s">
        <v>28</v>
      </c>
      <c r="C591" s="14" t="s">
        <v>2596</v>
      </c>
      <c r="D591" s="14"/>
      <c r="E591" s="14"/>
      <c r="F591" s="318" t="s">
        <v>4125</v>
      </c>
      <c r="G591" s="14">
        <v>7.0</v>
      </c>
      <c r="H591" s="14"/>
      <c r="I591" s="298" t="s">
        <v>2597</v>
      </c>
      <c r="J591" s="14"/>
      <c r="K591" s="14"/>
      <c r="L591" s="14" t="s">
        <v>2598</v>
      </c>
      <c r="M591" s="14" t="s">
        <v>111</v>
      </c>
      <c r="N591" s="14" t="s">
        <v>565</v>
      </c>
      <c r="O591" s="14" t="b">
        <v>0</v>
      </c>
      <c r="P591" s="14"/>
      <c r="Q591" s="14"/>
      <c r="R591" s="14"/>
      <c r="S591" s="14" t="s">
        <v>2599</v>
      </c>
      <c r="T591" s="14"/>
      <c r="U591" s="17"/>
      <c r="V591" s="14"/>
      <c r="W591" s="14"/>
      <c r="X591" s="18"/>
      <c r="Y591" s="18"/>
      <c r="Z591" s="18"/>
      <c r="AA591" s="19">
        <f t="shared" si="1"/>
        <v>7</v>
      </c>
      <c r="AB591" s="19" t="str">
        <f t="shared" si="2"/>
        <v/>
      </c>
      <c r="AC591" s="19"/>
    </row>
    <row r="592" ht="15.75" customHeight="1">
      <c r="A592" s="12">
        <v>45136.0</v>
      </c>
      <c r="B592" s="13" t="s">
        <v>28</v>
      </c>
      <c r="C592" s="14" t="s">
        <v>2600</v>
      </c>
      <c r="D592" s="14"/>
      <c r="E592" s="14"/>
      <c r="F592" s="14" t="s">
        <v>542</v>
      </c>
      <c r="G592" s="14"/>
      <c r="H592" s="14"/>
      <c r="I592" s="15" t="s">
        <v>2602</v>
      </c>
      <c r="J592" s="14"/>
      <c r="K592" s="14"/>
      <c r="L592" s="14" t="s">
        <v>2603</v>
      </c>
      <c r="M592" s="14" t="s">
        <v>48</v>
      </c>
      <c r="N592" s="14" t="s">
        <v>565</v>
      </c>
      <c r="O592" s="14" t="b">
        <v>0</v>
      </c>
      <c r="P592" s="14"/>
      <c r="Q592" s="14"/>
      <c r="R592" s="14"/>
      <c r="S592" s="14" t="s">
        <v>2604</v>
      </c>
      <c r="T592" s="14"/>
      <c r="U592" s="17"/>
      <c r="V592" s="14"/>
      <c r="W592" s="14"/>
      <c r="X592" s="18"/>
      <c r="Y592" s="18"/>
      <c r="Z592" s="18"/>
      <c r="AA592" s="19">
        <f t="shared" si="1"/>
        <v>7</v>
      </c>
      <c r="AB592" s="19" t="str">
        <f t="shared" si="2"/>
        <v/>
      </c>
      <c r="AC592" s="19"/>
    </row>
    <row r="593" ht="15.75" customHeight="1">
      <c r="A593" s="12">
        <v>45136.0</v>
      </c>
      <c r="B593" s="13" t="s">
        <v>28</v>
      </c>
      <c r="C593" s="14" t="s">
        <v>2600</v>
      </c>
      <c r="D593" s="14"/>
      <c r="E593" s="14"/>
      <c r="F593" s="14" t="s">
        <v>1244</v>
      </c>
      <c r="G593" s="14"/>
      <c r="H593" s="14"/>
      <c r="I593" s="15" t="s">
        <v>2602</v>
      </c>
      <c r="J593" s="14"/>
      <c r="K593" s="14"/>
      <c r="L593" s="14" t="s">
        <v>2603</v>
      </c>
      <c r="M593" s="14" t="s">
        <v>48</v>
      </c>
      <c r="N593" s="14" t="s">
        <v>565</v>
      </c>
      <c r="O593" s="14" t="b">
        <v>0</v>
      </c>
      <c r="P593" s="14"/>
      <c r="Q593" s="14"/>
      <c r="R593" s="14"/>
      <c r="S593" s="14" t="s">
        <v>2606</v>
      </c>
      <c r="T593" s="14"/>
      <c r="U593" s="17"/>
      <c r="V593" s="14"/>
      <c r="W593" s="14"/>
      <c r="X593" s="18"/>
      <c r="Y593" s="18"/>
      <c r="Z593" s="18"/>
      <c r="AA593" s="19">
        <f t="shared" si="1"/>
        <v>7</v>
      </c>
      <c r="AB593" s="19" t="str">
        <f t="shared" si="2"/>
        <v/>
      </c>
      <c r="AC593" s="19"/>
    </row>
    <row r="594" ht="15.75" customHeight="1">
      <c r="A594" s="12">
        <v>45136.0</v>
      </c>
      <c r="B594" s="14" t="s">
        <v>201</v>
      </c>
      <c r="C594" s="14" t="s">
        <v>4487</v>
      </c>
      <c r="D594" s="14" t="s">
        <v>2608</v>
      </c>
      <c r="E594" s="14"/>
      <c r="F594" s="14"/>
      <c r="G594" s="14">
        <v>1.0</v>
      </c>
      <c r="H594" s="14"/>
      <c r="I594" s="14">
        <v>9.77429322E8</v>
      </c>
      <c r="J594" s="14"/>
      <c r="K594" s="14"/>
      <c r="L594" s="115" t="s">
        <v>2609</v>
      </c>
      <c r="M594" s="14" t="s">
        <v>48</v>
      </c>
      <c r="N594" s="14" t="s">
        <v>34</v>
      </c>
      <c r="O594" s="14" t="b">
        <v>1</v>
      </c>
      <c r="P594" s="14" t="s">
        <v>2610</v>
      </c>
      <c r="Q594" s="14"/>
      <c r="R594" s="14"/>
      <c r="S594" s="14" t="s">
        <v>2611</v>
      </c>
      <c r="T594" s="14" t="s">
        <v>4164</v>
      </c>
      <c r="U594" s="17"/>
      <c r="V594" s="14"/>
      <c r="W594" s="14"/>
      <c r="X594" s="18"/>
      <c r="Y594" s="18"/>
      <c r="Z594" s="18"/>
      <c r="AA594" s="19">
        <f t="shared" si="1"/>
        <v>7</v>
      </c>
      <c r="AB594" s="19" t="str">
        <f t="shared" si="2"/>
        <v/>
      </c>
      <c r="AC594" s="19"/>
    </row>
    <row r="595" ht="15.75" customHeight="1">
      <c r="A595" s="12">
        <v>45136.0</v>
      </c>
      <c r="B595" s="14" t="s">
        <v>84</v>
      </c>
      <c r="C595" s="14" t="s">
        <v>4488</v>
      </c>
      <c r="D595" s="319" t="s">
        <v>2613</v>
      </c>
      <c r="E595" s="14"/>
      <c r="F595" s="14">
        <v>6.0</v>
      </c>
      <c r="G595" s="14"/>
      <c r="H595" s="14"/>
      <c r="I595" s="14">
        <v>9.38303495E8</v>
      </c>
      <c r="J595" s="14"/>
      <c r="K595" s="14"/>
      <c r="L595" s="14" t="s">
        <v>2614</v>
      </c>
      <c r="M595" s="14" t="s">
        <v>111</v>
      </c>
      <c r="N595" s="14" t="s">
        <v>34</v>
      </c>
      <c r="O595" s="14" t="b">
        <v>0</v>
      </c>
      <c r="P595" s="14"/>
      <c r="Q595" s="14"/>
      <c r="R595" s="14"/>
      <c r="S595" s="14" t="s">
        <v>2615</v>
      </c>
      <c r="T595" s="14"/>
      <c r="U595" s="17"/>
      <c r="V595" s="14"/>
      <c r="W595" s="14"/>
      <c r="X595" s="18"/>
      <c r="Y595" s="18"/>
      <c r="Z595" s="18"/>
      <c r="AA595" s="19">
        <f t="shared" si="1"/>
        <v>7</v>
      </c>
      <c r="AB595" s="19" t="str">
        <f t="shared" si="2"/>
        <v/>
      </c>
      <c r="AC595" s="19"/>
    </row>
    <row r="596" ht="15.75" customHeight="1">
      <c r="A596" s="12">
        <v>45139.0</v>
      </c>
      <c r="B596" s="13" t="s">
        <v>28</v>
      </c>
      <c r="C596" s="44" t="s">
        <v>4489</v>
      </c>
      <c r="D596" s="14"/>
      <c r="E596" s="14"/>
      <c r="F596" s="14"/>
      <c r="G596" s="14">
        <v>6.0</v>
      </c>
      <c r="H596" s="14"/>
      <c r="I596" s="15" t="s">
        <v>2617</v>
      </c>
      <c r="J596" s="14"/>
      <c r="K596" s="14"/>
      <c r="L596" s="14" t="s">
        <v>2618</v>
      </c>
      <c r="M596" s="14" t="s">
        <v>111</v>
      </c>
      <c r="N596" s="14" t="s">
        <v>565</v>
      </c>
      <c r="O596" s="14" t="b">
        <v>0</v>
      </c>
      <c r="P596" s="14"/>
      <c r="Q596" s="14"/>
      <c r="R596" s="14"/>
      <c r="S596" s="14" t="s">
        <v>2619</v>
      </c>
      <c r="T596" s="142">
        <v>45158.0</v>
      </c>
      <c r="U596" s="17"/>
      <c r="V596" s="14"/>
      <c r="W596" s="14"/>
      <c r="X596" s="18"/>
      <c r="Y596" s="18"/>
      <c r="Z596" s="18"/>
      <c r="AA596" s="19">
        <f t="shared" si="1"/>
        <v>8</v>
      </c>
      <c r="AB596" s="19" t="str">
        <f t="shared" si="2"/>
        <v/>
      </c>
      <c r="AC596" s="19"/>
    </row>
    <row r="597" ht="15.75" customHeight="1">
      <c r="A597" s="12">
        <v>45139.0</v>
      </c>
      <c r="B597" s="13" t="s">
        <v>28</v>
      </c>
      <c r="C597" s="14" t="s">
        <v>2620</v>
      </c>
      <c r="D597" s="14"/>
      <c r="E597" s="14"/>
      <c r="F597" s="14"/>
      <c r="G597" s="14"/>
      <c r="H597" s="14"/>
      <c r="I597" s="15" t="s">
        <v>2621</v>
      </c>
      <c r="J597" s="14"/>
      <c r="K597" s="14"/>
      <c r="L597" s="14"/>
      <c r="M597" s="14" t="s">
        <v>111</v>
      </c>
      <c r="N597" s="14" t="s">
        <v>34</v>
      </c>
      <c r="O597" s="14" t="b">
        <v>0</v>
      </c>
      <c r="P597" s="14"/>
      <c r="Q597" s="14"/>
      <c r="R597" s="14"/>
      <c r="S597" s="14" t="s">
        <v>2622</v>
      </c>
      <c r="T597" s="14"/>
      <c r="U597" s="17"/>
      <c r="V597" s="14"/>
      <c r="W597" s="14"/>
      <c r="X597" s="18"/>
      <c r="Y597" s="18"/>
      <c r="Z597" s="18"/>
      <c r="AA597" s="19">
        <f t="shared" si="1"/>
        <v>8</v>
      </c>
      <c r="AB597" s="19" t="str">
        <f t="shared" si="2"/>
        <v/>
      </c>
      <c r="AC597" s="19"/>
    </row>
    <row r="598" ht="15.75" customHeight="1">
      <c r="A598" s="12">
        <v>45135.0</v>
      </c>
      <c r="B598" s="13" t="s">
        <v>28</v>
      </c>
      <c r="C598" s="14" t="s">
        <v>2623</v>
      </c>
      <c r="D598" s="14"/>
      <c r="E598" s="14"/>
      <c r="F598" s="14"/>
      <c r="G598" s="14"/>
      <c r="H598" s="14"/>
      <c r="I598" s="320" t="s">
        <v>2624</v>
      </c>
      <c r="J598" s="14"/>
      <c r="K598" s="14"/>
      <c r="L598" s="14"/>
      <c r="M598" s="14" t="s">
        <v>111</v>
      </c>
      <c r="N598" s="14" t="s">
        <v>565</v>
      </c>
      <c r="O598" s="14" t="b">
        <v>0</v>
      </c>
      <c r="P598" s="14"/>
      <c r="Q598" s="14"/>
      <c r="R598" s="14"/>
      <c r="S598" s="14" t="s">
        <v>2625</v>
      </c>
      <c r="T598" s="14"/>
      <c r="U598" s="17"/>
      <c r="V598" s="14"/>
      <c r="W598" s="14"/>
      <c r="X598" s="18"/>
      <c r="Y598" s="18"/>
      <c r="Z598" s="18"/>
      <c r="AA598" s="19">
        <f t="shared" si="1"/>
        <v>7</v>
      </c>
      <c r="AB598" s="19" t="str">
        <f t="shared" si="2"/>
        <v/>
      </c>
      <c r="AC598" s="19"/>
    </row>
    <row r="599" ht="15.75" customHeight="1">
      <c r="A599" s="12">
        <v>45139.0</v>
      </c>
      <c r="B599" s="13" t="s">
        <v>28</v>
      </c>
      <c r="C599" s="14" t="s">
        <v>2626</v>
      </c>
      <c r="D599" s="14"/>
      <c r="E599" s="14"/>
      <c r="F599" s="14"/>
      <c r="G599" s="14">
        <v>3.0</v>
      </c>
      <c r="H599" s="14"/>
      <c r="I599" s="15" t="s">
        <v>2627</v>
      </c>
      <c r="J599" s="14"/>
      <c r="K599" s="14"/>
      <c r="L599" s="14" t="s">
        <v>2628</v>
      </c>
      <c r="M599" s="14" t="s">
        <v>48</v>
      </c>
      <c r="N599" s="14" t="s">
        <v>34</v>
      </c>
      <c r="O599" s="14" t="b">
        <v>0</v>
      </c>
      <c r="P599" s="14"/>
      <c r="Q599" s="14"/>
      <c r="R599" s="14"/>
      <c r="S599" s="14" t="s">
        <v>2629</v>
      </c>
      <c r="T599" s="14" t="s">
        <v>36</v>
      </c>
      <c r="U599" s="17"/>
      <c r="V599" s="14"/>
      <c r="W599" s="14"/>
      <c r="X599" s="18"/>
      <c r="Y599" s="18"/>
      <c r="Z599" s="18"/>
      <c r="AA599" s="19">
        <f t="shared" si="1"/>
        <v>8</v>
      </c>
      <c r="AB599" s="19" t="str">
        <f t="shared" si="2"/>
        <v/>
      </c>
      <c r="AC599" s="19"/>
    </row>
    <row r="600" ht="15.75" customHeight="1">
      <c r="A600" s="12">
        <v>45139.0</v>
      </c>
      <c r="B600" s="13" t="s">
        <v>28</v>
      </c>
      <c r="C600" s="14" t="s">
        <v>2630</v>
      </c>
      <c r="D600" s="14"/>
      <c r="E600" s="14"/>
      <c r="F600" s="14"/>
      <c r="G600" s="14"/>
      <c r="H600" s="14"/>
      <c r="I600" s="15" t="s">
        <v>2631</v>
      </c>
      <c r="J600" s="14"/>
      <c r="K600" s="14"/>
      <c r="L600" s="14"/>
      <c r="M600" s="14" t="s">
        <v>48</v>
      </c>
      <c r="N600" s="14" t="s">
        <v>216</v>
      </c>
      <c r="O600" s="14" t="b">
        <v>0</v>
      </c>
      <c r="P600" s="14"/>
      <c r="Q600" s="14"/>
      <c r="R600" s="14"/>
      <c r="S600" s="14" t="s">
        <v>2632</v>
      </c>
      <c r="T600" s="14"/>
      <c r="U600" s="17"/>
      <c r="V600" s="14"/>
      <c r="W600" s="14"/>
      <c r="X600" s="18"/>
      <c r="Y600" s="18"/>
      <c r="Z600" s="18"/>
      <c r="AA600" s="19">
        <f t="shared" si="1"/>
        <v>8</v>
      </c>
      <c r="AB600" s="19" t="str">
        <f t="shared" si="2"/>
        <v/>
      </c>
      <c r="AC600" s="19"/>
    </row>
    <row r="601" ht="15.75" customHeight="1">
      <c r="A601" s="12">
        <v>45139.0</v>
      </c>
      <c r="B601" s="13" t="s">
        <v>28</v>
      </c>
      <c r="C601" s="14" t="s">
        <v>2633</v>
      </c>
      <c r="D601" s="14"/>
      <c r="E601" s="14"/>
      <c r="F601" s="14"/>
      <c r="G601" s="14"/>
      <c r="H601" s="14"/>
      <c r="I601" s="15" t="s">
        <v>2634</v>
      </c>
      <c r="J601" s="14"/>
      <c r="K601" s="14"/>
      <c r="L601" s="14"/>
      <c r="M601" s="14" t="s">
        <v>111</v>
      </c>
      <c r="N601" s="14" t="s">
        <v>216</v>
      </c>
      <c r="O601" s="14" t="b">
        <v>0</v>
      </c>
      <c r="P601" s="14" t="s">
        <v>2635</v>
      </c>
      <c r="Q601" s="14"/>
      <c r="R601" s="14"/>
      <c r="S601" s="14" t="s">
        <v>2636</v>
      </c>
      <c r="T601" s="14"/>
      <c r="U601" s="17"/>
      <c r="V601" s="14"/>
      <c r="W601" s="14"/>
      <c r="X601" s="18"/>
      <c r="Y601" s="18"/>
      <c r="Z601" s="18"/>
      <c r="AA601" s="19">
        <f t="shared" si="1"/>
        <v>8</v>
      </c>
      <c r="AB601" s="19" t="str">
        <f t="shared" si="2"/>
        <v/>
      </c>
      <c r="AC601" s="19"/>
    </row>
    <row r="602" ht="15.75" customHeight="1">
      <c r="A602" s="26">
        <v>45140.0</v>
      </c>
      <c r="B602" s="27" t="s">
        <v>73</v>
      </c>
      <c r="C602" s="27" t="s">
        <v>2637</v>
      </c>
      <c r="D602" s="27" t="s">
        <v>2638</v>
      </c>
      <c r="E602" s="27"/>
      <c r="F602" s="27">
        <v>2014.0</v>
      </c>
      <c r="G602" s="27">
        <v>4.0</v>
      </c>
      <c r="H602" s="27"/>
      <c r="I602" s="34" t="s">
        <v>2639</v>
      </c>
      <c r="J602" s="27"/>
      <c r="K602" s="27"/>
      <c r="L602" s="27"/>
      <c r="M602" s="27" t="s">
        <v>111</v>
      </c>
      <c r="N602" s="27" t="s">
        <v>67</v>
      </c>
      <c r="O602" s="14" t="b">
        <v>1</v>
      </c>
      <c r="P602" s="27" t="s">
        <v>2640</v>
      </c>
      <c r="Q602" s="27" t="s">
        <v>4207</v>
      </c>
      <c r="R602" s="27" t="s">
        <v>2641</v>
      </c>
      <c r="S602" s="27" t="s">
        <v>2642</v>
      </c>
      <c r="T602" s="27"/>
      <c r="U602" s="26"/>
      <c r="V602" s="32">
        <v>45142.0</v>
      </c>
      <c r="W602" s="27" t="s">
        <v>4207</v>
      </c>
      <c r="X602" s="25">
        <v>6124000.0</v>
      </c>
      <c r="Y602" s="25">
        <v>765720.0</v>
      </c>
      <c r="Z602" s="25">
        <v>5358280.0</v>
      </c>
      <c r="AA602" s="19">
        <f t="shared" si="1"/>
        <v>8</v>
      </c>
      <c r="AB602" s="19">
        <f t="shared" si="2"/>
        <v>8</v>
      </c>
      <c r="AC602" s="19"/>
    </row>
    <row r="603" ht="15.75" customHeight="1">
      <c r="A603" s="12">
        <v>45141.0</v>
      </c>
      <c r="B603" s="13" t="s">
        <v>28</v>
      </c>
      <c r="C603" s="178" t="s">
        <v>2643</v>
      </c>
      <c r="D603" s="14" t="s">
        <v>2644</v>
      </c>
      <c r="E603" s="14"/>
      <c r="F603" s="14" t="s">
        <v>505</v>
      </c>
      <c r="G603" s="14"/>
      <c r="H603" s="14"/>
      <c r="I603" s="15" t="s">
        <v>2645</v>
      </c>
      <c r="J603" s="14"/>
      <c r="K603" s="14"/>
      <c r="L603" s="14" t="s">
        <v>2646</v>
      </c>
      <c r="M603" s="14" t="s">
        <v>111</v>
      </c>
      <c r="N603" s="14" t="s">
        <v>565</v>
      </c>
      <c r="O603" s="14" t="b">
        <v>1</v>
      </c>
      <c r="P603" s="14" t="s">
        <v>2647</v>
      </c>
      <c r="Q603" s="14"/>
      <c r="R603" s="14"/>
      <c r="S603" s="14" t="s">
        <v>2648</v>
      </c>
      <c r="T603" s="14" t="s">
        <v>4490</v>
      </c>
      <c r="U603" s="17"/>
      <c r="V603" s="14"/>
      <c r="W603" s="14"/>
      <c r="X603" s="18"/>
      <c r="Y603" s="18"/>
      <c r="Z603" s="18"/>
      <c r="AA603" s="19">
        <f t="shared" si="1"/>
        <v>8</v>
      </c>
      <c r="AB603" s="19" t="str">
        <f t="shared" si="2"/>
        <v/>
      </c>
      <c r="AC603" s="19"/>
    </row>
    <row r="604" ht="15.75" customHeight="1">
      <c r="A604" s="12">
        <v>45141.0</v>
      </c>
      <c r="B604" s="13" t="s">
        <v>28</v>
      </c>
      <c r="C604" s="14" t="s">
        <v>2649</v>
      </c>
      <c r="D604" s="14" t="s">
        <v>2650</v>
      </c>
      <c r="E604" s="14"/>
      <c r="F604" s="14">
        <v>2013.0</v>
      </c>
      <c r="G604" s="14">
        <v>5.0</v>
      </c>
      <c r="H604" s="14"/>
      <c r="I604" s="15" t="s">
        <v>2651</v>
      </c>
      <c r="J604" s="14"/>
      <c r="K604" s="14"/>
      <c r="L604" s="14"/>
      <c r="M604" s="14" t="s">
        <v>111</v>
      </c>
      <c r="N604" s="14" t="s">
        <v>13</v>
      </c>
      <c r="O604" s="14" t="b">
        <v>1</v>
      </c>
      <c r="P604" s="14" t="s">
        <v>2652</v>
      </c>
      <c r="Q604" s="14"/>
      <c r="R604" s="14"/>
      <c r="S604" s="14" t="s">
        <v>2653</v>
      </c>
      <c r="T604" s="14" t="s">
        <v>4197</v>
      </c>
      <c r="U604" s="17"/>
      <c r="V604" s="14"/>
      <c r="W604" s="14"/>
      <c r="X604" s="18"/>
      <c r="Y604" s="18"/>
      <c r="Z604" s="18"/>
      <c r="AA604" s="19">
        <f t="shared" si="1"/>
        <v>8</v>
      </c>
      <c r="AB604" s="19" t="str">
        <f t="shared" si="2"/>
        <v/>
      </c>
      <c r="AC604" s="19"/>
    </row>
    <row r="605" ht="15.75" customHeight="1">
      <c r="A605" s="12">
        <v>45141.0</v>
      </c>
      <c r="B605" s="13" t="s">
        <v>28</v>
      </c>
      <c r="C605" s="14" t="s">
        <v>2649</v>
      </c>
      <c r="D605" s="14" t="s">
        <v>2654</v>
      </c>
      <c r="E605" s="14"/>
      <c r="F605" s="14">
        <v>2017.0</v>
      </c>
      <c r="G605" s="14"/>
      <c r="H605" s="14"/>
      <c r="I605" s="15" t="s">
        <v>2651</v>
      </c>
      <c r="J605" s="14"/>
      <c r="K605" s="14"/>
      <c r="L605" s="14"/>
      <c r="M605" s="14" t="s">
        <v>111</v>
      </c>
      <c r="N605" s="14" t="s">
        <v>565</v>
      </c>
      <c r="O605" s="14" t="b">
        <v>0</v>
      </c>
      <c r="P605" s="14"/>
      <c r="Q605" s="14"/>
      <c r="R605" s="14"/>
      <c r="S605" s="14" t="s">
        <v>2655</v>
      </c>
      <c r="T605" s="14"/>
      <c r="U605" s="17"/>
      <c r="V605" s="14"/>
      <c r="W605" s="14"/>
      <c r="X605" s="18"/>
      <c r="Y605" s="18"/>
      <c r="Z605" s="18"/>
      <c r="AA605" s="19">
        <f t="shared" si="1"/>
        <v>8</v>
      </c>
      <c r="AB605" s="19" t="str">
        <f t="shared" si="2"/>
        <v/>
      </c>
      <c r="AC605" s="19"/>
    </row>
    <row r="606" ht="15.75" customHeight="1">
      <c r="A606" s="12">
        <v>45142.0</v>
      </c>
      <c r="B606" s="14" t="s">
        <v>201</v>
      </c>
      <c r="C606" s="115" t="s">
        <v>4491</v>
      </c>
      <c r="D606" s="14" t="s">
        <v>2657</v>
      </c>
      <c r="E606" s="14"/>
      <c r="F606" s="14"/>
      <c r="G606" s="14"/>
      <c r="H606" s="14"/>
      <c r="I606" s="15" t="s">
        <v>2658</v>
      </c>
      <c r="J606" s="14"/>
      <c r="K606" s="14"/>
      <c r="L606" s="14"/>
      <c r="M606" s="14" t="s">
        <v>111</v>
      </c>
      <c r="N606" s="14" t="s">
        <v>13</v>
      </c>
      <c r="O606" s="14" t="b">
        <v>1</v>
      </c>
      <c r="P606" s="14" t="s">
        <v>2659</v>
      </c>
      <c r="Q606" s="14"/>
      <c r="R606" s="14"/>
      <c r="S606" s="14" t="s">
        <v>2660</v>
      </c>
      <c r="T606" s="14"/>
      <c r="U606" s="17"/>
      <c r="V606" s="14"/>
      <c r="W606" s="14"/>
      <c r="X606" s="18"/>
      <c r="Y606" s="18"/>
      <c r="Z606" s="18"/>
      <c r="AA606" s="19">
        <f t="shared" si="1"/>
        <v>8</v>
      </c>
      <c r="AB606" s="19" t="str">
        <f t="shared" si="2"/>
        <v/>
      </c>
      <c r="AC606" s="19" t="s">
        <v>373</v>
      </c>
    </row>
    <row r="607" ht="15.75" customHeight="1">
      <c r="A607" s="12">
        <v>45143.0</v>
      </c>
      <c r="B607" s="13" t="s">
        <v>28</v>
      </c>
      <c r="C607" s="14" t="s">
        <v>2661</v>
      </c>
      <c r="D607" s="14"/>
      <c r="E607" s="14"/>
      <c r="F607" s="14"/>
      <c r="G607" s="14"/>
      <c r="H607" s="14"/>
      <c r="I607" s="15" t="s">
        <v>2662</v>
      </c>
      <c r="J607" s="14"/>
      <c r="K607" s="14"/>
      <c r="L607" s="14"/>
      <c r="M607" s="14" t="s">
        <v>111</v>
      </c>
      <c r="N607" s="14" t="s">
        <v>565</v>
      </c>
      <c r="O607" s="14" t="b">
        <v>0</v>
      </c>
      <c r="P607" s="14"/>
      <c r="Q607" s="14"/>
      <c r="R607" s="14"/>
      <c r="S607" s="14" t="s">
        <v>2663</v>
      </c>
      <c r="T607" s="14"/>
      <c r="U607" s="17"/>
      <c r="V607" s="14"/>
      <c r="W607" s="14"/>
      <c r="X607" s="18"/>
      <c r="Y607" s="18"/>
      <c r="Z607" s="18"/>
      <c r="AA607" s="19">
        <f t="shared" si="1"/>
        <v>8</v>
      </c>
      <c r="AB607" s="19" t="str">
        <f t="shared" si="2"/>
        <v/>
      </c>
      <c r="AC607" s="19"/>
    </row>
    <row r="608" ht="15.75" customHeight="1">
      <c r="A608" s="12">
        <v>45143.0</v>
      </c>
      <c r="B608" s="13" t="s">
        <v>28</v>
      </c>
      <c r="C608" s="14" t="s">
        <v>2664</v>
      </c>
      <c r="D608" s="14" t="s">
        <v>2665</v>
      </c>
      <c r="E608" s="14"/>
      <c r="F608" s="142">
        <v>40995.0</v>
      </c>
      <c r="G608" s="14"/>
      <c r="H608" s="14"/>
      <c r="I608" s="15" t="s">
        <v>2666</v>
      </c>
      <c r="J608" s="14"/>
      <c r="K608" s="14"/>
      <c r="L608" s="14" t="s">
        <v>4492</v>
      </c>
      <c r="M608" s="14" t="s">
        <v>48</v>
      </c>
      <c r="N608" s="14" t="s">
        <v>565</v>
      </c>
      <c r="O608" s="14" t="b">
        <v>0</v>
      </c>
      <c r="P608" s="14"/>
      <c r="Q608" s="14"/>
      <c r="R608" s="14"/>
      <c r="S608" s="14" t="s">
        <v>4493</v>
      </c>
      <c r="T608" s="14"/>
      <c r="U608" s="17"/>
      <c r="V608" s="14"/>
      <c r="W608" s="14"/>
      <c r="X608" s="18"/>
      <c r="Y608" s="18"/>
      <c r="Z608" s="18"/>
      <c r="AA608" s="19">
        <f t="shared" si="1"/>
        <v>8</v>
      </c>
      <c r="AB608" s="19" t="str">
        <f t="shared" si="2"/>
        <v/>
      </c>
      <c r="AC608" s="19"/>
    </row>
    <row r="609" ht="15.75" customHeight="1">
      <c r="A609" s="12">
        <v>45143.0</v>
      </c>
      <c r="B609" s="14" t="s">
        <v>703</v>
      </c>
      <c r="C609" s="14" t="s">
        <v>1669</v>
      </c>
      <c r="D609" s="14"/>
      <c r="E609" s="14"/>
      <c r="F609" s="14" t="s">
        <v>4494</v>
      </c>
      <c r="G609" s="14"/>
      <c r="H609" s="14"/>
      <c r="I609" s="15" t="s">
        <v>2669</v>
      </c>
      <c r="J609" s="14"/>
      <c r="K609" s="14"/>
      <c r="L609" s="14"/>
      <c r="M609" s="14" t="s">
        <v>48</v>
      </c>
      <c r="N609" s="14" t="s">
        <v>1484</v>
      </c>
      <c r="O609" s="14" t="b">
        <v>0</v>
      </c>
      <c r="P609" s="14"/>
      <c r="Q609" s="14"/>
      <c r="R609" s="14"/>
      <c r="S609" s="14" t="s">
        <v>2670</v>
      </c>
      <c r="T609" s="14"/>
      <c r="U609" s="17"/>
      <c r="V609" s="14"/>
      <c r="W609" s="14"/>
      <c r="X609" s="18"/>
      <c r="Y609" s="18"/>
      <c r="Z609" s="18"/>
      <c r="AA609" s="19">
        <f t="shared" si="1"/>
        <v>8</v>
      </c>
      <c r="AB609" s="19" t="str">
        <f t="shared" si="2"/>
        <v/>
      </c>
      <c r="AC609" s="19"/>
    </row>
    <row r="610" ht="15.75" customHeight="1">
      <c r="A610" s="12">
        <v>45143.0</v>
      </c>
      <c r="B610" s="14" t="s">
        <v>703</v>
      </c>
      <c r="C610" s="14" t="s">
        <v>2671</v>
      </c>
      <c r="D610" s="14"/>
      <c r="E610" s="14"/>
      <c r="F610" s="14"/>
      <c r="G610" s="14"/>
      <c r="H610" s="14"/>
      <c r="I610" s="321" t="s">
        <v>2672</v>
      </c>
      <c r="J610" s="14"/>
      <c r="K610" s="14"/>
      <c r="L610" s="14"/>
      <c r="M610" s="14" t="s">
        <v>48</v>
      </c>
      <c r="N610" s="14" t="s">
        <v>1484</v>
      </c>
      <c r="O610" s="14" t="b">
        <v>0</v>
      </c>
      <c r="P610" s="14"/>
      <c r="Q610" s="14"/>
      <c r="R610" s="14"/>
      <c r="S610" s="14" t="s">
        <v>2670</v>
      </c>
      <c r="T610" s="14"/>
      <c r="U610" s="17"/>
      <c r="V610" s="14"/>
      <c r="W610" s="14"/>
      <c r="X610" s="18"/>
      <c r="Y610" s="18"/>
      <c r="Z610" s="18"/>
      <c r="AA610" s="19">
        <f t="shared" si="1"/>
        <v>8</v>
      </c>
      <c r="AB610" s="19" t="str">
        <f t="shared" si="2"/>
        <v/>
      </c>
      <c r="AC610" s="19"/>
    </row>
    <row r="611" ht="15.75" customHeight="1">
      <c r="A611" s="12">
        <v>45143.0</v>
      </c>
      <c r="B611" s="14" t="s">
        <v>703</v>
      </c>
      <c r="C611" s="14" t="s">
        <v>2673</v>
      </c>
      <c r="D611" s="14"/>
      <c r="E611" s="14"/>
      <c r="F611" s="14" t="s">
        <v>4495</v>
      </c>
      <c r="G611" s="14"/>
      <c r="H611" s="14"/>
      <c r="I611" s="15" t="s">
        <v>2674</v>
      </c>
      <c r="J611" s="14"/>
      <c r="K611" s="14"/>
      <c r="L611" s="14"/>
      <c r="M611" s="14" t="s">
        <v>48</v>
      </c>
      <c r="N611" s="14" t="s">
        <v>34</v>
      </c>
      <c r="O611" s="14" t="b">
        <v>0</v>
      </c>
      <c r="P611" s="14"/>
      <c r="Q611" s="14"/>
      <c r="R611" s="14"/>
      <c r="S611" s="14" t="s">
        <v>2675</v>
      </c>
      <c r="T611" s="14"/>
      <c r="U611" s="17"/>
      <c r="V611" s="14"/>
      <c r="W611" s="14"/>
      <c r="X611" s="18"/>
      <c r="Y611" s="18"/>
      <c r="Z611" s="18"/>
      <c r="AA611" s="19">
        <f t="shared" si="1"/>
        <v>8</v>
      </c>
      <c r="AB611" s="19" t="str">
        <f t="shared" si="2"/>
        <v/>
      </c>
      <c r="AC611" s="19"/>
    </row>
    <row r="612" ht="15.75" customHeight="1">
      <c r="A612" s="12">
        <v>45143.0</v>
      </c>
      <c r="B612" s="14" t="s">
        <v>703</v>
      </c>
      <c r="C612" s="14" t="s">
        <v>2676</v>
      </c>
      <c r="D612" s="14"/>
      <c r="E612" s="14"/>
      <c r="F612" s="14"/>
      <c r="G612" s="14"/>
      <c r="H612" s="14"/>
      <c r="I612" s="15" t="s">
        <v>2677</v>
      </c>
      <c r="J612" s="14"/>
      <c r="K612" s="14"/>
      <c r="L612" s="14"/>
      <c r="M612" s="14" t="s">
        <v>48</v>
      </c>
      <c r="N612" s="14" t="s">
        <v>1484</v>
      </c>
      <c r="O612" s="14" t="b">
        <v>0</v>
      </c>
      <c r="P612" s="14"/>
      <c r="Q612" s="14"/>
      <c r="R612" s="14"/>
      <c r="S612" s="14" t="s">
        <v>2678</v>
      </c>
      <c r="T612" s="14"/>
      <c r="U612" s="17"/>
      <c r="V612" s="14"/>
      <c r="W612" s="14"/>
      <c r="X612" s="18"/>
      <c r="Y612" s="18"/>
      <c r="Z612" s="18"/>
      <c r="AA612" s="19">
        <f t="shared" si="1"/>
        <v>8</v>
      </c>
      <c r="AB612" s="19" t="str">
        <f t="shared" si="2"/>
        <v/>
      </c>
      <c r="AC612" s="19"/>
    </row>
    <row r="613" ht="15.75" customHeight="1">
      <c r="A613" s="12">
        <v>45143.0</v>
      </c>
      <c r="B613" s="14" t="s">
        <v>703</v>
      </c>
      <c r="C613" s="14" t="s">
        <v>2679</v>
      </c>
      <c r="D613" s="14"/>
      <c r="E613" s="14"/>
      <c r="F613" s="14"/>
      <c r="G613" s="14"/>
      <c r="H613" s="14"/>
      <c r="I613" s="321" t="s">
        <v>2680</v>
      </c>
      <c r="J613" s="14"/>
      <c r="K613" s="14"/>
      <c r="L613" s="14"/>
      <c r="M613" s="14" t="s">
        <v>111</v>
      </c>
      <c r="N613" s="14" t="s">
        <v>34</v>
      </c>
      <c r="O613" s="14" t="b">
        <v>0</v>
      </c>
      <c r="P613" s="14"/>
      <c r="Q613" s="14"/>
      <c r="R613" s="14"/>
      <c r="S613" s="14" t="s">
        <v>2681</v>
      </c>
      <c r="T613" s="14"/>
      <c r="U613" s="17"/>
      <c r="V613" s="14"/>
      <c r="W613" s="14"/>
      <c r="X613" s="18"/>
      <c r="Y613" s="18"/>
      <c r="Z613" s="18"/>
      <c r="AA613" s="19">
        <f t="shared" si="1"/>
        <v>8</v>
      </c>
      <c r="AB613" s="19" t="str">
        <f t="shared" si="2"/>
        <v/>
      </c>
      <c r="AC613" s="19"/>
    </row>
    <row r="614" ht="15.75" customHeight="1">
      <c r="A614" s="12">
        <v>45143.0</v>
      </c>
      <c r="B614" s="14" t="s">
        <v>703</v>
      </c>
      <c r="C614" s="14" t="s">
        <v>2682</v>
      </c>
      <c r="D614" s="14"/>
      <c r="E614" s="14"/>
      <c r="F614" s="14"/>
      <c r="G614" s="14"/>
      <c r="H614" s="14"/>
      <c r="I614" s="15" t="s">
        <v>2683</v>
      </c>
      <c r="J614" s="14"/>
      <c r="K614" s="14"/>
      <c r="L614" s="14"/>
      <c r="M614" s="14" t="s">
        <v>111</v>
      </c>
      <c r="N614" s="14" t="s">
        <v>216</v>
      </c>
      <c r="O614" s="14" t="b">
        <v>0</v>
      </c>
      <c r="P614" s="14"/>
      <c r="Q614" s="14"/>
      <c r="R614" s="14"/>
      <c r="S614" s="14" t="s">
        <v>2684</v>
      </c>
      <c r="T614" s="14"/>
      <c r="U614" s="17"/>
      <c r="V614" s="14"/>
      <c r="W614" s="14"/>
      <c r="X614" s="18"/>
      <c r="Y614" s="18"/>
      <c r="Z614" s="18"/>
      <c r="AA614" s="19">
        <f t="shared" si="1"/>
        <v>8</v>
      </c>
      <c r="AB614" s="19" t="str">
        <f t="shared" si="2"/>
        <v/>
      </c>
      <c r="AC614" s="19"/>
    </row>
    <row r="615" ht="15.75" customHeight="1">
      <c r="A615" s="12">
        <v>45143.0</v>
      </c>
      <c r="B615" s="14" t="s">
        <v>703</v>
      </c>
      <c r="C615" s="14" t="s">
        <v>2685</v>
      </c>
      <c r="D615" s="14"/>
      <c r="E615" s="14"/>
      <c r="F615" s="14"/>
      <c r="G615" s="14"/>
      <c r="H615" s="14"/>
      <c r="I615" s="15" t="s">
        <v>2686</v>
      </c>
      <c r="J615" s="14"/>
      <c r="K615" s="14"/>
      <c r="L615" s="14"/>
      <c r="M615" s="14" t="s">
        <v>111</v>
      </c>
      <c r="N615" s="14" t="s">
        <v>565</v>
      </c>
      <c r="O615" s="14" t="b">
        <v>0</v>
      </c>
      <c r="P615" s="14"/>
      <c r="Q615" s="14"/>
      <c r="R615" s="14"/>
      <c r="S615" s="14" t="s">
        <v>2687</v>
      </c>
      <c r="T615" s="14"/>
      <c r="U615" s="17"/>
      <c r="V615" s="14"/>
      <c r="W615" s="14"/>
      <c r="X615" s="18"/>
      <c r="Y615" s="18"/>
      <c r="Z615" s="18"/>
      <c r="AA615" s="19">
        <f t="shared" si="1"/>
        <v>8</v>
      </c>
      <c r="AB615" s="19" t="str">
        <f t="shared" si="2"/>
        <v/>
      </c>
      <c r="AC615" s="19"/>
    </row>
    <row r="616" ht="15.75" customHeight="1">
      <c r="A616" s="12">
        <v>45143.0</v>
      </c>
      <c r="B616" s="14" t="s">
        <v>703</v>
      </c>
      <c r="C616" s="14" t="s">
        <v>2688</v>
      </c>
      <c r="D616" s="14"/>
      <c r="E616" s="14"/>
      <c r="F616" s="14"/>
      <c r="G616" s="14"/>
      <c r="H616" s="14"/>
      <c r="I616" s="15" t="s">
        <v>2689</v>
      </c>
      <c r="J616" s="14"/>
      <c r="K616" s="14"/>
      <c r="L616" s="14"/>
      <c r="M616" s="14" t="s">
        <v>111</v>
      </c>
      <c r="N616" s="14" t="s">
        <v>34</v>
      </c>
      <c r="O616" s="14" t="b">
        <v>0</v>
      </c>
      <c r="P616" s="14"/>
      <c r="Q616" s="14"/>
      <c r="R616" s="14"/>
      <c r="S616" s="14" t="s">
        <v>2690</v>
      </c>
      <c r="T616" s="14"/>
      <c r="U616" s="17"/>
      <c r="V616" s="14"/>
      <c r="W616" s="14"/>
      <c r="X616" s="18"/>
      <c r="Y616" s="18"/>
      <c r="Z616" s="18"/>
      <c r="AA616" s="19">
        <f t="shared" si="1"/>
        <v>8</v>
      </c>
      <c r="AB616" s="19" t="str">
        <f t="shared" si="2"/>
        <v/>
      </c>
      <c r="AC616" s="19"/>
    </row>
    <row r="617" ht="15.75" customHeight="1">
      <c r="A617" s="12">
        <v>45145.0</v>
      </c>
      <c r="B617" s="14" t="s">
        <v>84</v>
      </c>
      <c r="C617" s="14" t="s">
        <v>2691</v>
      </c>
      <c r="D617" s="14" t="s">
        <v>2692</v>
      </c>
      <c r="E617" s="14"/>
      <c r="F617" s="14"/>
      <c r="G617" s="14"/>
      <c r="H617" s="14"/>
      <c r="I617" s="15" t="s">
        <v>318</v>
      </c>
      <c r="J617" s="14"/>
      <c r="K617" s="14"/>
      <c r="L617" s="14"/>
      <c r="M617" s="14" t="s">
        <v>111</v>
      </c>
      <c r="N617" s="14" t="s">
        <v>13</v>
      </c>
      <c r="O617" s="14" t="b">
        <v>1</v>
      </c>
      <c r="P617" s="14" t="s">
        <v>2693</v>
      </c>
      <c r="Q617" s="14"/>
      <c r="R617" s="14"/>
      <c r="S617" s="14" t="s">
        <v>2694</v>
      </c>
      <c r="T617" s="14" t="s">
        <v>4197</v>
      </c>
      <c r="U617" s="17"/>
      <c r="V617" s="14"/>
      <c r="W617" s="14"/>
      <c r="X617" s="18"/>
      <c r="Y617" s="18"/>
      <c r="Z617" s="18"/>
      <c r="AA617" s="19">
        <f t="shared" si="1"/>
        <v>8</v>
      </c>
      <c r="AB617" s="19" t="str">
        <f t="shared" si="2"/>
        <v/>
      </c>
      <c r="AC617" s="19" t="s">
        <v>373</v>
      </c>
    </row>
    <row r="618" ht="15.75" customHeight="1">
      <c r="A618" s="26">
        <v>45146.0</v>
      </c>
      <c r="B618" s="27" t="s">
        <v>201</v>
      </c>
      <c r="C618" s="27" t="s">
        <v>4496</v>
      </c>
      <c r="D618" s="27" t="s">
        <v>2695</v>
      </c>
      <c r="E618" s="27"/>
      <c r="F618" s="27">
        <v>2013.0</v>
      </c>
      <c r="G618" s="27">
        <v>5.0</v>
      </c>
      <c r="H618" s="27"/>
      <c r="I618" s="34" t="s">
        <v>2696</v>
      </c>
      <c r="J618" s="27"/>
      <c r="K618" s="27"/>
      <c r="L618" s="27" t="s">
        <v>2697</v>
      </c>
      <c r="M618" s="27" t="s">
        <v>111</v>
      </c>
      <c r="N618" s="27" t="s">
        <v>67</v>
      </c>
      <c r="O618" s="14" t="b">
        <v>1</v>
      </c>
      <c r="P618" s="27" t="s">
        <v>2698</v>
      </c>
      <c r="Q618" s="27"/>
      <c r="R618" s="27" t="s">
        <v>289</v>
      </c>
      <c r="S618" s="27" t="s">
        <v>2699</v>
      </c>
      <c r="T618" s="27" t="s">
        <v>4497</v>
      </c>
      <c r="U618" s="26"/>
      <c r="V618" s="32">
        <v>45152.0</v>
      </c>
      <c r="W618" s="27" t="s">
        <v>4207</v>
      </c>
      <c r="X618" s="25">
        <v>4375000.0</v>
      </c>
      <c r="Y618" s="25">
        <v>131250.0</v>
      </c>
      <c r="Z618" s="25">
        <v>4243750.0</v>
      </c>
      <c r="AA618" s="19">
        <f t="shared" si="1"/>
        <v>8</v>
      </c>
      <c r="AB618" s="19">
        <f t="shared" si="2"/>
        <v>8</v>
      </c>
      <c r="AC618" s="19"/>
    </row>
    <row r="619" ht="15.75" customHeight="1">
      <c r="A619" s="26">
        <v>45146.0</v>
      </c>
      <c r="B619" s="27" t="s">
        <v>201</v>
      </c>
      <c r="C619" s="27" t="s">
        <v>4498</v>
      </c>
      <c r="D619" s="27" t="s">
        <v>2701</v>
      </c>
      <c r="E619" s="27"/>
      <c r="F619" s="27"/>
      <c r="G619" s="27">
        <v>6.0</v>
      </c>
      <c r="H619" s="27"/>
      <c r="I619" s="34" t="s">
        <v>2702</v>
      </c>
      <c r="J619" s="27"/>
      <c r="K619" s="27"/>
      <c r="L619" s="27" t="s">
        <v>2703</v>
      </c>
      <c r="M619" s="27" t="s">
        <v>412</v>
      </c>
      <c r="N619" s="27" t="s">
        <v>67</v>
      </c>
      <c r="O619" s="14" t="b">
        <v>1</v>
      </c>
      <c r="P619" s="27" t="s">
        <v>2704</v>
      </c>
      <c r="Q619" s="27" t="s">
        <v>4499</v>
      </c>
      <c r="R619" s="27" t="s">
        <v>2705</v>
      </c>
      <c r="S619" s="27" t="s">
        <v>2706</v>
      </c>
      <c r="T619" s="27" t="s">
        <v>4386</v>
      </c>
      <c r="U619" s="26"/>
      <c r="V619" s="32">
        <v>45154.0</v>
      </c>
      <c r="W619" s="27" t="s">
        <v>4500</v>
      </c>
      <c r="X619" s="25">
        <v>3062000.0</v>
      </c>
      <c r="Y619" s="25">
        <v>0.0</v>
      </c>
      <c r="Z619" s="25">
        <v>3062000.0</v>
      </c>
      <c r="AA619" s="19">
        <f t="shared" si="1"/>
        <v>8</v>
      </c>
      <c r="AB619" s="19">
        <f t="shared" si="2"/>
        <v>8</v>
      </c>
      <c r="AC619" s="19"/>
    </row>
    <row r="620" ht="15.75" customHeight="1">
      <c r="A620" s="26">
        <v>45147.0</v>
      </c>
      <c r="B620" s="27" t="s">
        <v>201</v>
      </c>
      <c r="C620" s="27" t="s">
        <v>4501</v>
      </c>
      <c r="D620" s="27" t="s">
        <v>2708</v>
      </c>
      <c r="E620" s="27"/>
      <c r="F620" s="27"/>
      <c r="G620" s="27">
        <v>4.0</v>
      </c>
      <c r="H620" s="27"/>
      <c r="I620" s="34" t="s">
        <v>2709</v>
      </c>
      <c r="J620" s="27"/>
      <c r="K620" s="27"/>
      <c r="L620" s="27" t="s">
        <v>2710</v>
      </c>
      <c r="M620" s="27" t="s">
        <v>111</v>
      </c>
      <c r="N620" s="27" t="s">
        <v>67</v>
      </c>
      <c r="O620" s="14" t="b">
        <v>1</v>
      </c>
      <c r="P620" s="27" t="s">
        <v>2711</v>
      </c>
      <c r="Q620" s="27" t="s">
        <v>4207</v>
      </c>
      <c r="R620" s="27" t="s">
        <v>1785</v>
      </c>
      <c r="S620" s="27" t="s">
        <v>2712</v>
      </c>
      <c r="T620" s="27"/>
      <c r="U620" s="26"/>
      <c r="V620" s="32">
        <v>45149.0</v>
      </c>
      <c r="W620" s="27" t="s">
        <v>4207</v>
      </c>
      <c r="X620" s="25">
        <v>3062000.0</v>
      </c>
      <c r="Y620" s="25">
        <v>91860.0</v>
      </c>
      <c r="Z620" s="25">
        <v>2970140.0</v>
      </c>
      <c r="AA620" s="19">
        <f t="shared" si="1"/>
        <v>8</v>
      </c>
      <c r="AB620" s="19">
        <f t="shared" si="2"/>
        <v>8</v>
      </c>
      <c r="AC620" s="19"/>
    </row>
    <row r="621" ht="15.75" customHeight="1">
      <c r="A621" s="12">
        <v>45148.0</v>
      </c>
      <c r="B621" s="13" t="s">
        <v>28</v>
      </c>
      <c r="C621" s="14" t="s">
        <v>2713</v>
      </c>
      <c r="D621" s="322" t="s">
        <v>2714</v>
      </c>
      <c r="E621" s="14"/>
      <c r="F621" s="323">
        <v>42183.0</v>
      </c>
      <c r="G621" s="14">
        <v>3.0</v>
      </c>
      <c r="H621" s="14"/>
      <c r="I621" s="15" t="s">
        <v>2715</v>
      </c>
      <c r="J621" s="14"/>
      <c r="K621" s="14"/>
      <c r="L621" s="14"/>
      <c r="M621" s="14" t="s">
        <v>111</v>
      </c>
      <c r="N621" s="14" t="s">
        <v>34</v>
      </c>
      <c r="O621" s="14" t="b">
        <v>0</v>
      </c>
      <c r="P621" s="14"/>
      <c r="Q621" s="14"/>
      <c r="R621" s="14"/>
      <c r="S621" s="14" t="s">
        <v>2716</v>
      </c>
      <c r="T621" s="14"/>
      <c r="U621" s="17"/>
      <c r="V621" s="14"/>
      <c r="W621" s="14"/>
      <c r="X621" s="18"/>
      <c r="Y621" s="18"/>
      <c r="Z621" s="18"/>
      <c r="AA621" s="19">
        <f t="shared" si="1"/>
        <v>8</v>
      </c>
      <c r="AB621" s="19" t="str">
        <f t="shared" si="2"/>
        <v/>
      </c>
      <c r="AC621" s="19"/>
    </row>
    <row r="622" ht="15.75" customHeight="1">
      <c r="A622" s="12">
        <v>45148.0</v>
      </c>
      <c r="B622" s="14" t="s">
        <v>201</v>
      </c>
      <c r="C622" s="14" t="s">
        <v>4502</v>
      </c>
      <c r="D622" s="14" t="s">
        <v>2718</v>
      </c>
      <c r="E622" s="14"/>
      <c r="F622" s="14" t="s">
        <v>4503</v>
      </c>
      <c r="G622" s="14">
        <v>4.0</v>
      </c>
      <c r="H622" s="14"/>
      <c r="I622" s="15" t="s">
        <v>2719</v>
      </c>
      <c r="J622" s="14"/>
      <c r="K622" s="14"/>
      <c r="L622" s="14" t="s">
        <v>2720</v>
      </c>
      <c r="M622" s="14" t="s">
        <v>111</v>
      </c>
      <c r="N622" s="14" t="s">
        <v>565</v>
      </c>
      <c r="O622" s="14" t="b">
        <v>0</v>
      </c>
      <c r="P622" s="14"/>
      <c r="Q622" s="14"/>
      <c r="R622" s="14"/>
      <c r="S622" s="14" t="s">
        <v>4504</v>
      </c>
      <c r="T622" s="14" t="s">
        <v>4197</v>
      </c>
      <c r="U622" s="17">
        <v>45162.0</v>
      </c>
      <c r="V622" s="14"/>
      <c r="W622" s="14"/>
      <c r="X622" s="18"/>
      <c r="Y622" s="18"/>
      <c r="Z622" s="18"/>
      <c r="AA622" s="19">
        <f t="shared" si="1"/>
        <v>8</v>
      </c>
      <c r="AB622" s="19" t="str">
        <f t="shared" si="2"/>
        <v/>
      </c>
      <c r="AC622" s="19"/>
    </row>
    <row r="623" ht="15.75" customHeight="1">
      <c r="A623" s="12">
        <v>45078.0</v>
      </c>
      <c r="B623" s="13" t="s">
        <v>28</v>
      </c>
      <c r="C623" s="14" t="s">
        <v>2722</v>
      </c>
      <c r="D623" s="14" t="s">
        <v>2723</v>
      </c>
      <c r="E623" s="14"/>
      <c r="F623" s="14"/>
      <c r="G623" s="14" t="s">
        <v>176</v>
      </c>
      <c r="H623" s="14"/>
      <c r="I623" s="42" t="s">
        <v>2724</v>
      </c>
      <c r="J623" s="14"/>
      <c r="K623" s="14"/>
      <c r="L623" s="324" t="s">
        <v>4505</v>
      </c>
      <c r="M623" s="14" t="s">
        <v>111</v>
      </c>
      <c r="N623" s="14" t="s">
        <v>216</v>
      </c>
      <c r="O623" s="14" t="b">
        <v>0</v>
      </c>
      <c r="P623" s="14"/>
      <c r="Q623" s="14"/>
      <c r="R623" s="14"/>
      <c r="S623" s="14" t="s">
        <v>2726</v>
      </c>
      <c r="T623" s="14"/>
      <c r="U623" s="17"/>
      <c r="V623" s="14"/>
      <c r="W623" s="14"/>
      <c r="X623" s="18"/>
      <c r="Y623" s="18"/>
      <c r="Z623" s="18"/>
      <c r="AA623" s="19">
        <f t="shared" si="1"/>
        <v>6</v>
      </c>
      <c r="AB623" s="19" t="str">
        <f t="shared" si="2"/>
        <v/>
      </c>
      <c r="AC623" s="19"/>
    </row>
    <row r="624" ht="15.75" customHeight="1">
      <c r="A624" s="12">
        <v>45149.0</v>
      </c>
      <c r="B624" s="13" t="s">
        <v>28</v>
      </c>
      <c r="C624" s="14" t="s">
        <v>2727</v>
      </c>
      <c r="D624" s="14"/>
      <c r="E624" s="14"/>
      <c r="F624" s="14"/>
      <c r="G624" s="14"/>
      <c r="H624" s="14"/>
      <c r="I624" s="15" t="s">
        <v>2728</v>
      </c>
      <c r="J624" s="14"/>
      <c r="K624" s="14"/>
      <c r="L624" s="14" t="s">
        <v>2729</v>
      </c>
      <c r="M624" s="14" t="s">
        <v>111</v>
      </c>
      <c r="N624" s="14" t="s">
        <v>565</v>
      </c>
      <c r="O624" s="14" t="b">
        <v>0</v>
      </c>
      <c r="P624" s="14"/>
      <c r="Q624" s="14"/>
      <c r="R624" s="14"/>
      <c r="S624" s="14" t="s">
        <v>2730</v>
      </c>
      <c r="T624" s="14"/>
      <c r="U624" s="17"/>
      <c r="V624" s="14"/>
      <c r="W624" s="14"/>
      <c r="X624" s="18"/>
      <c r="Y624" s="18"/>
      <c r="Z624" s="18"/>
      <c r="AA624" s="19">
        <f t="shared" si="1"/>
        <v>8</v>
      </c>
      <c r="AB624" s="19" t="str">
        <f t="shared" si="2"/>
        <v/>
      </c>
      <c r="AC624" s="19"/>
    </row>
    <row r="625" ht="15.75" customHeight="1">
      <c r="A625" s="12">
        <v>45149.0</v>
      </c>
      <c r="B625" s="14" t="s">
        <v>73</v>
      </c>
      <c r="C625" s="14" t="s">
        <v>2731</v>
      </c>
      <c r="D625" s="14" t="s">
        <v>2732</v>
      </c>
      <c r="E625" s="14"/>
      <c r="F625" s="14" t="s">
        <v>2248</v>
      </c>
      <c r="G625" s="14">
        <v>4.0</v>
      </c>
      <c r="H625" s="14"/>
      <c r="I625" s="15" t="s">
        <v>2733</v>
      </c>
      <c r="J625" s="14"/>
      <c r="K625" s="14"/>
      <c r="L625" s="14"/>
      <c r="M625" s="14" t="s">
        <v>111</v>
      </c>
      <c r="N625" s="14" t="s">
        <v>13</v>
      </c>
      <c r="O625" s="14" t="b">
        <v>1</v>
      </c>
      <c r="P625" s="14" t="s">
        <v>2734</v>
      </c>
      <c r="Q625" s="14"/>
      <c r="R625" s="14"/>
      <c r="S625" s="14" t="s">
        <v>2735</v>
      </c>
      <c r="T625" s="14" t="s">
        <v>4197</v>
      </c>
      <c r="U625" s="17"/>
      <c r="V625" s="14"/>
      <c r="W625" s="14"/>
      <c r="X625" s="18"/>
      <c r="Y625" s="18"/>
      <c r="Z625" s="18"/>
      <c r="AA625" s="19">
        <f t="shared" si="1"/>
        <v>8</v>
      </c>
      <c r="AB625" s="19" t="str">
        <f t="shared" si="2"/>
        <v/>
      </c>
      <c r="AC625" s="19"/>
    </row>
    <row r="626" ht="15.75" customHeight="1">
      <c r="A626" s="12">
        <v>45151.0</v>
      </c>
      <c r="B626" s="13" t="s">
        <v>28</v>
      </c>
      <c r="C626" s="14" t="s">
        <v>2736</v>
      </c>
      <c r="D626" s="14" t="s">
        <v>2737</v>
      </c>
      <c r="E626" s="14"/>
      <c r="F626" s="14" t="s">
        <v>4506</v>
      </c>
      <c r="G626" s="14">
        <v>6.0</v>
      </c>
      <c r="H626" s="14"/>
      <c r="I626" s="15" t="s">
        <v>2738</v>
      </c>
      <c r="J626" s="14"/>
      <c r="K626" s="14"/>
      <c r="L626" s="14"/>
      <c r="M626" s="14" t="s">
        <v>111</v>
      </c>
      <c r="N626" s="14" t="s">
        <v>13</v>
      </c>
      <c r="O626" s="14" t="b">
        <v>1</v>
      </c>
      <c r="P626" s="14" t="s">
        <v>2739</v>
      </c>
      <c r="Q626" s="14"/>
      <c r="R626" s="14"/>
      <c r="S626" s="14" t="s">
        <v>2740</v>
      </c>
      <c r="T626" s="14" t="s">
        <v>4507</v>
      </c>
      <c r="U626" s="17"/>
      <c r="V626" s="14"/>
      <c r="W626" s="14"/>
      <c r="X626" s="18"/>
      <c r="Y626" s="18"/>
      <c r="Z626" s="18"/>
      <c r="AA626" s="19">
        <f t="shared" si="1"/>
        <v>8</v>
      </c>
      <c r="AB626" s="19" t="str">
        <f t="shared" si="2"/>
        <v/>
      </c>
      <c r="AC626" s="19"/>
    </row>
    <row r="627" ht="15.75" customHeight="1">
      <c r="A627" s="12">
        <v>45151.0</v>
      </c>
      <c r="B627" s="24" t="s">
        <v>28</v>
      </c>
      <c r="C627" s="14"/>
      <c r="D627" s="14" t="s">
        <v>2741</v>
      </c>
      <c r="E627" s="14"/>
      <c r="F627" s="14"/>
      <c r="G627" s="14"/>
      <c r="H627" s="14"/>
      <c r="I627" s="15" t="s">
        <v>2742</v>
      </c>
      <c r="J627" s="14"/>
      <c r="K627" s="14"/>
      <c r="L627" s="14" t="s">
        <v>2743</v>
      </c>
      <c r="M627" s="14" t="s">
        <v>111</v>
      </c>
      <c r="N627" s="14" t="s">
        <v>34</v>
      </c>
      <c r="O627" s="14" t="b">
        <v>0</v>
      </c>
      <c r="P627" s="14"/>
      <c r="Q627" s="14"/>
      <c r="R627" s="14"/>
      <c r="S627" s="14" t="s">
        <v>2744</v>
      </c>
      <c r="T627" s="14"/>
      <c r="U627" s="17"/>
      <c r="V627" s="14"/>
      <c r="W627" s="14"/>
      <c r="X627" s="18"/>
      <c r="Y627" s="18"/>
      <c r="Z627" s="18"/>
      <c r="AA627" s="19">
        <f t="shared" si="1"/>
        <v>8</v>
      </c>
      <c r="AB627" s="19" t="str">
        <f t="shared" si="2"/>
        <v/>
      </c>
      <c r="AC627" s="19"/>
    </row>
    <row r="628" ht="15.75" customHeight="1">
      <c r="A628" s="26">
        <v>45150.0</v>
      </c>
      <c r="B628" s="27" t="s">
        <v>201</v>
      </c>
      <c r="C628" s="27" t="s">
        <v>4508</v>
      </c>
      <c r="D628" s="27" t="s">
        <v>2746</v>
      </c>
      <c r="E628" s="27"/>
      <c r="F628" s="27" t="s">
        <v>4375</v>
      </c>
      <c r="G628" s="27">
        <v>7.0</v>
      </c>
      <c r="H628" s="27" t="s">
        <v>2747</v>
      </c>
      <c r="I628" s="34" t="s">
        <v>2748</v>
      </c>
      <c r="J628" s="27"/>
      <c r="K628" s="27"/>
      <c r="L628" s="27"/>
      <c r="M628" s="27" t="s">
        <v>111</v>
      </c>
      <c r="N628" s="27" t="s">
        <v>67</v>
      </c>
      <c r="O628" s="14" t="b">
        <v>1</v>
      </c>
      <c r="P628" s="34" t="s">
        <v>2749</v>
      </c>
      <c r="Q628" s="27"/>
      <c r="R628" s="27"/>
      <c r="S628" s="27" t="s">
        <v>4509</v>
      </c>
      <c r="T628" s="27" t="s">
        <v>4510</v>
      </c>
      <c r="U628" s="26"/>
      <c r="V628" s="32">
        <v>45160.0</v>
      </c>
      <c r="W628" s="27" t="s">
        <v>4207</v>
      </c>
      <c r="X628" s="25">
        <v>6124000.0</v>
      </c>
      <c r="Y628" s="25">
        <v>896120.0</v>
      </c>
      <c r="Z628" s="25">
        <v>5227880.0</v>
      </c>
      <c r="AA628" s="19">
        <f t="shared" si="1"/>
        <v>8</v>
      </c>
      <c r="AB628" s="19">
        <f t="shared" si="2"/>
        <v>8</v>
      </c>
      <c r="AC628" s="19"/>
    </row>
    <row r="629" ht="15.75" customHeight="1">
      <c r="A629" s="26">
        <v>45151.0</v>
      </c>
      <c r="B629" s="27" t="s">
        <v>201</v>
      </c>
      <c r="C629" s="27" t="s">
        <v>4508</v>
      </c>
      <c r="D629" s="27" t="s">
        <v>2352</v>
      </c>
      <c r="E629" s="27"/>
      <c r="F629" s="27" t="s">
        <v>4511</v>
      </c>
      <c r="G629" s="27">
        <v>3.0</v>
      </c>
      <c r="H629" s="27"/>
      <c r="I629" s="34" t="s">
        <v>2748</v>
      </c>
      <c r="J629" s="27"/>
      <c r="K629" s="27"/>
      <c r="L629" s="27"/>
      <c r="M629" s="27" t="s">
        <v>111</v>
      </c>
      <c r="N629" s="27" t="s">
        <v>67</v>
      </c>
      <c r="O629" s="14" t="b">
        <v>1</v>
      </c>
      <c r="P629" s="27" t="s">
        <v>2751</v>
      </c>
      <c r="Q629" s="27"/>
      <c r="R629" s="27"/>
      <c r="S629" s="27" t="s">
        <v>4512</v>
      </c>
      <c r="T629" s="27" t="s">
        <v>4197</v>
      </c>
      <c r="U629" s="26"/>
      <c r="V629" s="32">
        <v>45160.0</v>
      </c>
      <c r="W629" s="27" t="s">
        <v>4207</v>
      </c>
      <c r="X629" s="25">
        <v>6124000.0</v>
      </c>
      <c r="Y629" s="25">
        <v>896120.0</v>
      </c>
      <c r="Z629" s="25">
        <v>5227880.0</v>
      </c>
      <c r="AA629" s="19">
        <f t="shared" si="1"/>
        <v>8</v>
      </c>
      <c r="AB629" s="19">
        <f t="shared" si="2"/>
        <v>8</v>
      </c>
      <c r="AC629" s="19"/>
    </row>
    <row r="630" ht="15.75" customHeight="1">
      <c r="A630" s="12">
        <v>45152.0</v>
      </c>
      <c r="B630" s="13" t="s">
        <v>28</v>
      </c>
      <c r="C630" s="14" t="s">
        <v>2753</v>
      </c>
      <c r="D630" s="14"/>
      <c r="E630" s="14"/>
      <c r="F630" s="14"/>
      <c r="G630" s="14"/>
      <c r="H630" s="14"/>
      <c r="I630" s="15" t="s">
        <v>2754</v>
      </c>
      <c r="J630" s="14"/>
      <c r="K630" s="14"/>
      <c r="L630" s="14"/>
      <c r="M630" s="14" t="s">
        <v>111</v>
      </c>
      <c r="N630" s="14" t="s">
        <v>565</v>
      </c>
      <c r="O630" s="14" t="b">
        <v>0</v>
      </c>
      <c r="P630" s="14"/>
      <c r="Q630" s="14"/>
      <c r="R630" s="14"/>
      <c r="S630" s="14" t="s">
        <v>2755</v>
      </c>
      <c r="T630" s="14" t="s">
        <v>4197</v>
      </c>
      <c r="U630" s="17">
        <v>45161.0</v>
      </c>
      <c r="V630" s="14"/>
      <c r="W630" s="14"/>
      <c r="X630" s="18"/>
      <c r="Y630" s="18"/>
      <c r="Z630" s="18"/>
      <c r="AA630" s="19">
        <f t="shared" si="1"/>
        <v>8</v>
      </c>
      <c r="AB630" s="19" t="str">
        <f t="shared" si="2"/>
        <v/>
      </c>
      <c r="AC630" s="19"/>
    </row>
    <row r="631" ht="15.75" customHeight="1">
      <c r="A631" s="12">
        <v>45152.0</v>
      </c>
      <c r="B631" s="13" t="s">
        <v>28</v>
      </c>
      <c r="C631" s="14" t="s">
        <v>2756</v>
      </c>
      <c r="D631" s="14" t="s">
        <v>2757</v>
      </c>
      <c r="E631" s="14"/>
      <c r="F631" s="14" t="s">
        <v>4513</v>
      </c>
      <c r="G631" s="14">
        <v>4.0</v>
      </c>
      <c r="H631" s="14"/>
      <c r="I631" s="15" t="s">
        <v>2758</v>
      </c>
      <c r="J631" s="14"/>
      <c r="K631" s="14"/>
      <c r="L631" s="14"/>
      <c r="M631" s="14" t="s">
        <v>111</v>
      </c>
      <c r="N631" s="14" t="s">
        <v>13</v>
      </c>
      <c r="O631" s="14" t="b">
        <v>1</v>
      </c>
      <c r="P631" s="14" t="s">
        <v>2759</v>
      </c>
      <c r="Q631" s="14"/>
      <c r="R631" s="14"/>
      <c r="S631" s="14" t="s">
        <v>2760</v>
      </c>
      <c r="T631" s="14" t="s">
        <v>4197</v>
      </c>
      <c r="U631" s="17">
        <v>45169.0</v>
      </c>
      <c r="V631" s="14"/>
      <c r="W631" s="14"/>
      <c r="X631" s="18"/>
      <c r="Y631" s="18"/>
      <c r="Z631" s="18"/>
      <c r="AA631" s="19">
        <f t="shared" si="1"/>
        <v>8</v>
      </c>
      <c r="AB631" s="19" t="str">
        <f t="shared" si="2"/>
        <v/>
      </c>
      <c r="AC631" s="19"/>
    </row>
    <row r="632" ht="15.75" customHeight="1">
      <c r="A632" s="12">
        <v>45152.0</v>
      </c>
      <c r="B632" s="13" t="s">
        <v>28</v>
      </c>
      <c r="C632" s="14"/>
      <c r="D632" s="14" t="s">
        <v>2761</v>
      </c>
      <c r="E632" s="14"/>
      <c r="F632" s="14"/>
      <c r="G632" s="14"/>
      <c r="H632" s="14"/>
      <c r="I632" s="15" t="s">
        <v>2762</v>
      </c>
      <c r="J632" s="14"/>
      <c r="K632" s="14"/>
      <c r="L632" s="16" t="s">
        <v>4514</v>
      </c>
      <c r="M632" s="14" t="s">
        <v>111</v>
      </c>
      <c r="N632" s="14" t="s">
        <v>565</v>
      </c>
      <c r="O632" s="14" t="b">
        <v>0</v>
      </c>
      <c r="P632" s="14"/>
      <c r="Q632" s="14"/>
      <c r="R632" s="14"/>
      <c r="S632" s="14" t="s">
        <v>2764</v>
      </c>
      <c r="T632" s="14" t="s">
        <v>4096</v>
      </c>
      <c r="U632" s="17">
        <v>45161.0</v>
      </c>
      <c r="V632" s="14"/>
      <c r="W632" s="14"/>
      <c r="X632" s="18"/>
      <c r="Y632" s="18"/>
      <c r="Z632" s="18"/>
      <c r="AA632" s="19">
        <f t="shared" si="1"/>
        <v>8</v>
      </c>
      <c r="AB632" s="19" t="str">
        <f t="shared" si="2"/>
        <v/>
      </c>
      <c r="AC632" s="19"/>
    </row>
    <row r="633" ht="15.75" customHeight="1">
      <c r="A633" s="12">
        <v>45153.0</v>
      </c>
      <c r="B633" s="13" t="s">
        <v>28</v>
      </c>
      <c r="C633" s="14" t="s">
        <v>2765</v>
      </c>
      <c r="D633" s="14" t="s">
        <v>1168</v>
      </c>
      <c r="E633" s="14"/>
      <c r="F633" s="325" t="s">
        <v>4515</v>
      </c>
      <c r="G633" s="14"/>
      <c r="H633" s="14"/>
      <c r="I633" s="15" t="s">
        <v>2766</v>
      </c>
      <c r="J633" s="14"/>
      <c r="K633" s="14"/>
      <c r="L633" s="14" t="s">
        <v>2767</v>
      </c>
      <c r="M633" s="14" t="s">
        <v>111</v>
      </c>
      <c r="N633" s="14" t="s">
        <v>34</v>
      </c>
      <c r="O633" s="14" t="b">
        <v>1</v>
      </c>
      <c r="P633" s="14" t="s">
        <v>2768</v>
      </c>
      <c r="Q633" s="14"/>
      <c r="R633" s="14"/>
      <c r="S633" s="14" t="s">
        <v>2769</v>
      </c>
      <c r="T633" s="14" t="s">
        <v>4069</v>
      </c>
      <c r="U633" s="17"/>
      <c r="V633" s="14"/>
      <c r="W633" s="14"/>
      <c r="X633" s="18"/>
      <c r="Y633" s="18"/>
      <c r="Z633" s="18"/>
      <c r="AA633" s="19">
        <f t="shared" si="1"/>
        <v>8</v>
      </c>
      <c r="AB633" s="19" t="str">
        <f t="shared" si="2"/>
        <v/>
      </c>
      <c r="AC633" s="19"/>
    </row>
    <row r="634" ht="15.75" customHeight="1">
      <c r="A634" s="26">
        <v>45155.0</v>
      </c>
      <c r="B634" s="13" t="s">
        <v>28</v>
      </c>
      <c r="C634" s="326" t="s">
        <v>2770</v>
      </c>
      <c r="D634" s="27" t="s">
        <v>2771</v>
      </c>
      <c r="E634" s="27"/>
      <c r="F634" s="184" t="s">
        <v>4516</v>
      </c>
      <c r="G634" s="27"/>
      <c r="H634" s="27"/>
      <c r="I634" s="184" t="s">
        <v>2772</v>
      </c>
      <c r="J634" s="27"/>
      <c r="K634" s="27"/>
      <c r="L634" s="27"/>
      <c r="M634" s="27" t="s">
        <v>111</v>
      </c>
      <c r="N634" s="27" t="s">
        <v>67</v>
      </c>
      <c r="O634" s="14" t="b">
        <v>1</v>
      </c>
      <c r="P634" s="27" t="s">
        <v>2773</v>
      </c>
      <c r="Q634" s="27"/>
      <c r="R634" s="27"/>
      <c r="S634" s="27" t="s">
        <v>2774</v>
      </c>
      <c r="T634" s="27" t="s">
        <v>4517</v>
      </c>
      <c r="U634" s="26"/>
      <c r="V634" s="32">
        <v>45161.0</v>
      </c>
      <c r="W634" s="27" t="s">
        <v>4207</v>
      </c>
      <c r="X634" s="25">
        <v>6124000.0</v>
      </c>
      <c r="Y634" s="25">
        <v>796120.0</v>
      </c>
      <c r="Z634" s="25">
        <v>5327880.0</v>
      </c>
      <c r="AA634" s="19">
        <f t="shared" si="1"/>
        <v>8</v>
      </c>
      <c r="AB634" s="19">
        <f t="shared" si="2"/>
        <v>8</v>
      </c>
      <c r="AC634" s="19"/>
    </row>
    <row r="635" ht="15.75" customHeight="1">
      <c r="A635" s="187">
        <v>45156.0</v>
      </c>
      <c r="B635" s="87" t="s">
        <v>84</v>
      </c>
      <c r="C635" s="87" t="s">
        <v>4518</v>
      </c>
      <c r="D635" s="87" t="s">
        <v>2775</v>
      </c>
      <c r="E635" s="87"/>
      <c r="F635" s="87">
        <v>2014.0</v>
      </c>
      <c r="G635" s="87">
        <v>4.0</v>
      </c>
      <c r="H635" s="87"/>
      <c r="I635" s="327" t="s">
        <v>2776</v>
      </c>
      <c r="J635" s="87"/>
      <c r="K635" s="87"/>
      <c r="L635" s="87" t="s">
        <v>2777</v>
      </c>
      <c r="M635" s="87" t="s">
        <v>111</v>
      </c>
      <c r="N635" s="87" t="s">
        <v>67</v>
      </c>
      <c r="O635" s="14" t="b">
        <v>1</v>
      </c>
      <c r="P635" s="87" t="s">
        <v>2778</v>
      </c>
      <c r="Q635" s="87"/>
      <c r="R635" s="87"/>
      <c r="S635" s="87" t="s">
        <v>2779</v>
      </c>
      <c r="T635" s="87" t="s">
        <v>4197</v>
      </c>
      <c r="U635" s="187"/>
      <c r="V635" s="185">
        <v>45161.0</v>
      </c>
      <c r="W635" s="87" t="s">
        <v>4207</v>
      </c>
      <c r="X635" s="186">
        <v>6124000.0</v>
      </c>
      <c r="Y635" s="186">
        <v>612400.0</v>
      </c>
      <c r="Z635" s="186">
        <v>5511600.0</v>
      </c>
      <c r="AA635" s="19">
        <f t="shared" si="1"/>
        <v>8</v>
      </c>
      <c r="AB635" s="19">
        <f t="shared" si="2"/>
        <v>8</v>
      </c>
      <c r="AC635" s="19"/>
    </row>
    <row r="636" ht="15.75" customHeight="1">
      <c r="A636" s="12">
        <v>45157.0</v>
      </c>
      <c r="B636" s="13" t="s">
        <v>28</v>
      </c>
      <c r="C636" s="14"/>
      <c r="D636" s="328" t="s">
        <v>2780</v>
      </c>
      <c r="E636" s="329"/>
      <c r="F636" s="330" t="s">
        <v>4519</v>
      </c>
      <c r="G636" s="14"/>
      <c r="H636" s="14"/>
      <c r="I636" s="330" t="s">
        <v>2781</v>
      </c>
      <c r="J636" s="14"/>
      <c r="K636" s="14"/>
      <c r="L636" s="14" t="s">
        <v>2782</v>
      </c>
      <c r="M636" s="14" t="s">
        <v>111</v>
      </c>
      <c r="N636" s="14" t="s">
        <v>565</v>
      </c>
      <c r="O636" s="14" t="b">
        <v>0</v>
      </c>
      <c r="P636" s="14"/>
      <c r="Q636" s="14"/>
      <c r="R636" s="14"/>
      <c r="S636" s="14" t="s">
        <v>2783</v>
      </c>
      <c r="T636" s="14" t="s">
        <v>4069</v>
      </c>
      <c r="U636" s="17"/>
      <c r="V636" s="14"/>
      <c r="W636" s="14"/>
      <c r="X636" s="18"/>
      <c r="Y636" s="18"/>
      <c r="Z636" s="18"/>
      <c r="AA636" s="19">
        <f t="shared" si="1"/>
        <v>8</v>
      </c>
      <c r="AB636" s="19" t="str">
        <f t="shared" si="2"/>
        <v/>
      </c>
      <c r="AC636" s="19"/>
    </row>
    <row r="637" ht="15.75" customHeight="1">
      <c r="A637" s="12">
        <v>45157.0</v>
      </c>
      <c r="B637" s="14" t="s">
        <v>84</v>
      </c>
      <c r="C637" s="14" t="s">
        <v>4520</v>
      </c>
      <c r="D637" s="14" t="s">
        <v>2785</v>
      </c>
      <c r="E637" s="14"/>
      <c r="F637" s="14">
        <v>2010.0</v>
      </c>
      <c r="G637" s="14">
        <v>8.0</v>
      </c>
      <c r="H637" s="14"/>
      <c r="I637" s="15" t="s">
        <v>2786</v>
      </c>
      <c r="J637" s="14"/>
      <c r="K637" s="14"/>
      <c r="L637" s="14" t="s">
        <v>2787</v>
      </c>
      <c r="M637" s="14" t="s">
        <v>111</v>
      </c>
      <c r="N637" s="14" t="s">
        <v>13</v>
      </c>
      <c r="O637" s="14" t="b">
        <v>1</v>
      </c>
      <c r="P637" s="14" t="s">
        <v>2788</v>
      </c>
      <c r="Q637" s="14"/>
      <c r="R637" s="14"/>
      <c r="S637" s="14" t="s">
        <v>2789</v>
      </c>
      <c r="T637" s="14" t="s">
        <v>4197</v>
      </c>
      <c r="U637" s="17"/>
      <c r="V637" s="14"/>
      <c r="W637" s="14"/>
      <c r="X637" s="18"/>
      <c r="Y637" s="18"/>
      <c r="Z637" s="18"/>
      <c r="AA637" s="19">
        <f t="shared" si="1"/>
        <v>8</v>
      </c>
      <c r="AB637" s="19" t="str">
        <f t="shared" si="2"/>
        <v/>
      </c>
      <c r="AC637" s="19"/>
    </row>
    <row r="638" ht="15.75" customHeight="1">
      <c r="A638" s="12">
        <v>45157.0</v>
      </c>
      <c r="B638" s="14" t="s">
        <v>703</v>
      </c>
      <c r="C638" s="14" t="s">
        <v>2790</v>
      </c>
      <c r="D638" s="14"/>
      <c r="E638" s="14"/>
      <c r="F638" s="14"/>
      <c r="G638" s="14" t="s">
        <v>2791</v>
      </c>
      <c r="H638" s="14"/>
      <c r="I638" s="15" t="s">
        <v>2792</v>
      </c>
      <c r="J638" s="14"/>
      <c r="K638" s="14"/>
      <c r="L638" s="14"/>
      <c r="M638" s="14" t="s">
        <v>111</v>
      </c>
      <c r="N638" s="14" t="s">
        <v>34</v>
      </c>
      <c r="O638" s="14" t="b">
        <v>0</v>
      </c>
      <c r="P638" s="14"/>
      <c r="Q638" s="14"/>
      <c r="R638" s="14"/>
      <c r="S638" s="14" t="s">
        <v>2793</v>
      </c>
      <c r="T638" s="14"/>
      <c r="U638" s="17"/>
      <c r="V638" s="14"/>
      <c r="W638" s="14"/>
      <c r="X638" s="18"/>
      <c r="Y638" s="18"/>
      <c r="Z638" s="18"/>
      <c r="AA638" s="19">
        <f t="shared" si="1"/>
        <v>8</v>
      </c>
      <c r="AB638" s="19" t="str">
        <f t="shared" si="2"/>
        <v/>
      </c>
      <c r="AC638" s="19"/>
    </row>
    <row r="639" ht="15.75" customHeight="1">
      <c r="A639" s="12">
        <v>45157.0</v>
      </c>
      <c r="B639" s="14" t="s">
        <v>703</v>
      </c>
      <c r="C639" s="14" t="s">
        <v>2794</v>
      </c>
      <c r="D639" s="14"/>
      <c r="E639" s="14"/>
      <c r="F639" s="14"/>
      <c r="G639" s="14">
        <v>5.0</v>
      </c>
      <c r="H639" s="14"/>
      <c r="I639" s="15" t="s">
        <v>2795</v>
      </c>
      <c r="J639" s="14"/>
      <c r="K639" s="14"/>
      <c r="L639" s="14"/>
      <c r="M639" s="14" t="s">
        <v>111</v>
      </c>
      <c r="N639" s="14" t="s">
        <v>216</v>
      </c>
      <c r="O639" s="14" t="b">
        <v>0</v>
      </c>
      <c r="P639" s="14"/>
      <c r="Q639" s="14"/>
      <c r="R639" s="14"/>
      <c r="S639" s="14" t="s">
        <v>2796</v>
      </c>
      <c r="T639" s="14" t="s">
        <v>4096</v>
      </c>
      <c r="U639" s="17">
        <v>45162.0</v>
      </c>
      <c r="V639" s="14"/>
      <c r="W639" s="14"/>
      <c r="X639" s="18"/>
      <c r="Y639" s="18"/>
      <c r="Z639" s="18"/>
      <c r="AA639" s="19">
        <f t="shared" si="1"/>
        <v>8</v>
      </c>
      <c r="AB639" s="19" t="str">
        <f t="shared" si="2"/>
        <v/>
      </c>
      <c r="AC639" s="19"/>
    </row>
    <row r="640" ht="15.75" customHeight="1">
      <c r="A640" s="12">
        <v>45157.0</v>
      </c>
      <c r="B640" s="13" t="s">
        <v>28</v>
      </c>
      <c r="C640" s="14"/>
      <c r="D640" s="322" t="s">
        <v>2797</v>
      </c>
      <c r="E640" s="14"/>
      <c r="F640" s="325" t="s">
        <v>4521</v>
      </c>
      <c r="G640" s="14"/>
      <c r="H640" s="14"/>
      <c r="I640" s="325" t="s">
        <v>2798</v>
      </c>
      <c r="J640" s="14"/>
      <c r="K640" s="14"/>
      <c r="L640" s="14" t="s">
        <v>2799</v>
      </c>
      <c r="M640" s="14" t="s">
        <v>111</v>
      </c>
      <c r="N640" s="14" t="s">
        <v>565</v>
      </c>
      <c r="O640" s="14" t="b">
        <v>0</v>
      </c>
      <c r="P640" s="14"/>
      <c r="Q640" s="14"/>
      <c r="R640" s="14"/>
      <c r="S640" s="14" t="s">
        <v>2800</v>
      </c>
      <c r="T640" s="14"/>
      <c r="U640" s="17"/>
      <c r="V640" s="14"/>
      <c r="W640" s="14"/>
      <c r="X640" s="18"/>
      <c r="Y640" s="18"/>
      <c r="Z640" s="18"/>
      <c r="AA640" s="19">
        <f t="shared" si="1"/>
        <v>8</v>
      </c>
      <c r="AB640" s="19" t="str">
        <f t="shared" si="2"/>
        <v/>
      </c>
      <c r="AC640" s="19"/>
    </row>
    <row r="641" ht="15.75" customHeight="1">
      <c r="A641" s="12">
        <v>45159.0</v>
      </c>
      <c r="B641" s="13" t="s">
        <v>28</v>
      </c>
      <c r="C641" s="14" t="s">
        <v>2801</v>
      </c>
      <c r="D641" s="14"/>
      <c r="E641" s="14"/>
      <c r="F641" s="14"/>
      <c r="G641" s="14"/>
      <c r="H641" s="14"/>
      <c r="I641" s="14" t="s">
        <v>2802</v>
      </c>
      <c r="J641" s="14"/>
      <c r="K641" s="14"/>
      <c r="L641" s="14" t="s">
        <v>4522</v>
      </c>
      <c r="M641" s="14" t="s">
        <v>111</v>
      </c>
      <c r="N641" s="14" t="s">
        <v>34</v>
      </c>
      <c r="O641" s="14" t="b">
        <v>0</v>
      </c>
      <c r="P641" s="14"/>
      <c r="Q641" s="14"/>
      <c r="R641" s="14"/>
      <c r="S641" s="14" t="s">
        <v>2804</v>
      </c>
      <c r="T641" s="14"/>
      <c r="U641" s="17"/>
      <c r="V641" s="14"/>
      <c r="W641" s="14"/>
      <c r="X641" s="18"/>
      <c r="Y641" s="18"/>
      <c r="Z641" s="18"/>
      <c r="AA641" s="19">
        <f t="shared" si="1"/>
        <v>8</v>
      </c>
      <c r="AB641" s="19" t="str">
        <f t="shared" si="2"/>
        <v/>
      </c>
      <c r="AC641" s="19"/>
    </row>
    <row r="642" ht="15.75" customHeight="1">
      <c r="A642" s="12">
        <v>45159.0</v>
      </c>
      <c r="B642" s="13" t="s">
        <v>28</v>
      </c>
      <c r="C642" s="14" t="s">
        <v>2805</v>
      </c>
      <c r="D642" s="14"/>
      <c r="E642" s="14"/>
      <c r="F642" s="14"/>
      <c r="G642" s="14"/>
      <c r="H642" s="14"/>
      <c r="I642" s="14" t="s">
        <v>2806</v>
      </c>
      <c r="J642" s="14"/>
      <c r="K642" s="14"/>
      <c r="L642" s="14" t="s">
        <v>2807</v>
      </c>
      <c r="M642" s="14" t="s">
        <v>111</v>
      </c>
      <c r="N642" s="14" t="s">
        <v>216</v>
      </c>
      <c r="O642" s="14" t="b">
        <v>0</v>
      </c>
      <c r="P642" s="14"/>
      <c r="Q642" s="14"/>
      <c r="R642" s="14"/>
      <c r="S642" s="14" t="s">
        <v>2808</v>
      </c>
      <c r="T642" s="14"/>
      <c r="U642" s="17"/>
      <c r="V642" s="14"/>
      <c r="W642" s="14"/>
      <c r="X642" s="18"/>
      <c r="Y642" s="18"/>
      <c r="Z642" s="18"/>
      <c r="AA642" s="19">
        <f t="shared" si="1"/>
        <v>8</v>
      </c>
      <c r="AB642" s="19" t="str">
        <f t="shared" si="2"/>
        <v/>
      </c>
      <c r="AC642" s="19"/>
    </row>
    <row r="643" ht="15.75" customHeight="1">
      <c r="A643" s="12">
        <v>45159.0</v>
      </c>
      <c r="B643" s="13" t="s">
        <v>28</v>
      </c>
      <c r="C643" s="14" t="s">
        <v>2809</v>
      </c>
      <c r="D643" s="14" t="s">
        <v>2810</v>
      </c>
      <c r="E643" s="14"/>
      <c r="F643" s="14">
        <v>2007.0</v>
      </c>
      <c r="G643" s="14">
        <v>10.0</v>
      </c>
      <c r="H643" s="14"/>
      <c r="I643" s="14" t="s">
        <v>2811</v>
      </c>
      <c r="J643" s="14"/>
      <c r="K643" s="14"/>
      <c r="L643" s="14" t="s">
        <v>2812</v>
      </c>
      <c r="M643" s="14" t="s">
        <v>111</v>
      </c>
      <c r="N643" s="14" t="s">
        <v>565</v>
      </c>
      <c r="O643" s="14" t="b">
        <v>0</v>
      </c>
      <c r="P643" s="14"/>
      <c r="Q643" s="14"/>
      <c r="R643" s="14"/>
      <c r="S643" s="14" t="s">
        <v>2813</v>
      </c>
      <c r="T643" s="14" t="s">
        <v>4432</v>
      </c>
      <c r="U643" s="17">
        <v>45163.0</v>
      </c>
      <c r="V643" s="14"/>
      <c r="W643" s="14"/>
      <c r="X643" s="18"/>
      <c r="Y643" s="18"/>
      <c r="Z643" s="18"/>
      <c r="AA643" s="19">
        <f t="shared" si="1"/>
        <v>8</v>
      </c>
      <c r="AB643" s="19" t="str">
        <f t="shared" si="2"/>
        <v/>
      </c>
      <c r="AC643" s="19"/>
    </row>
    <row r="644" ht="15.75" customHeight="1">
      <c r="A644" s="26">
        <v>45159.0</v>
      </c>
      <c r="B644" s="13" t="s">
        <v>28</v>
      </c>
      <c r="C644" s="27" t="s">
        <v>2809</v>
      </c>
      <c r="D644" s="27" t="s">
        <v>2814</v>
      </c>
      <c r="E644" s="27"/>
      <c r="F644" s="27">
        <v>2013.0</v>
      </c>
      <c r="G644" s="27">
        <v>5.0</v>
      </c>
      <c r="H644" s="27"/>
      <c r="I644" s="27" t="s">
        <v>2811</v>
      </c>
      <c r="J644" s="27"/>
      <c r="K644" s="27"/>
      <c r="L644" s="27" t="s">
        <v>2815</v>
      </c>
      <c r="M644" s="27" t="s">
        <v>111</v>
      </c>
      <c r="N644" s="27" t="s">
        <v>67</v>
      </c>
      <c r="O644" s="14" t="b">
        <v>1</v>
      </c>
      <c r="P644" s="27" t="s">
        <v>2816</v>
      </c>
      <c r="Q644" s="27"/>
      <c r="R644" s="27"/>
      <c r="S644" s="27" t="s">
        <v>2817</v>
      </c>
      <c r="T644" s="27"/>
      <c r="U644" s="26"/>
      <c r="V644" s="32">
        <v>45162.0</v>
      </c>
      <c r="W644" s="27" t="s">
        <v>4207</v>
      </c>
      <c r="X644" s="25">
        <v>6124000.0</v>
      </c>
      <c r="Y644" s="25">
        <v>796120.0</v>
      </c>
      <c r="Z644" s="25">
        <v>5327880.0</v>
      </c>
      <c r="AA644" s="19">
        <f t="shared" si="1"/>
        <v>8</v>
      </c>
      <c r="AB644" s="19">
        <f t="shared" si="2"/>
        <v>8</v>
      </c>
      <c r="AC644" s="19"/>
    </row>
    <row r="645" ht="15.75" customHeight="1">
      <c r="A645" s="12">
        <v>45160.0</v>
      </c>
      <c r="B645" s="13" t="s">
        <v>28</v>
      </c>
      <c r="C645" s="14" t="s">
        <v>2818</v>
      </c>
      <c r="D645" s="14"/>
      <c r="E645" s="14"/>
      <c r="F645" s="14"/>
      <c r="G645" s="14"/>
      <c r="H645" s="14"/>
      <c r="I645" s="14" t="s">
        <v>2819</v>
      </c>
      <c r="J645" s="14"/>
      <c r="K645" s="14"/>
      <c r="L645" s="14" t="s">
        <v>91</v>
      </c>
      <c r="M645" s="14" t="s">
        <v>111</v>
      </c>
      <c r="N645" s="14" t="s">
        <v>565</v>
      </c>
      <c r="O645" s="14" t="b">
        <v>0</v>
      </c>
      <c r="P645" s="14"/>
      <c r="Q645" s="14"/>
      <c r="R645" s="14"/>
      <c r="S645" s="14"/>
      <c r="T645" s="14" t="s">
        <v>4096</v>
      </c>
      <c r="U645" s="17">
        <v>45161.0</v>
      </c>
      <c r="V645" s="14"/>
      <c r="W645" s="14"/>
      <c r="X645" s="18"/>
      <c r="Y645" s="18"/>
      <c r="Z645" s="18"/>
      <c r="AA645" s="19">
        <f t="shared" si="1"/>
        <v>8</v>
      </c>
      <c r="AB645" s="19" t="str">
        <f t="shared" si="2"/>
        <v/>
      </c>
      <c r="AC645" s="19"/>
    </row>
    <row r="646" ht="15.75" customHeight="1">
      <c r="A646" s="12">
        <v>45160.0</v>
      </c>
      <c r="B646" s="13" t="s">
        <v>28</v>
      </c>
      <c r="C646" s="14" t="s">
        <v>2820</v>
      </c>
      <c r="D646" s="14" t="s">
        <v>2821</v>
      </c>
      <c r="E646" s="14" t="s">
        <v>4523</v>
      </c>
      <c r="F646" s="14" t="s">
        <v>4524</v>
      </c>
      <c r="G646" s="14"/>
      <c r="H646" s="14"/>
      <c r="I646" s="14" t="s">
        <v>2822</v>
      </c>
      <c r="J646" s="14"/>
      <c r="K646" s="14"/>
      <c r="L646" s="14" t="s">
        <v>2823</v>
      </c>
      <c r="M646" s="14" t="s">
        <v>111</v>
      </c>
      <c r="N646" s="14" t="s">
        <v>13</v>
      </c>
      <c r="O646" s="14" t="b">
        <v>1</v>
      </c>
      <c r="P646" s="14" t="s">
        <v>2824</v>
      </c>
      <c r="Q646" s="14"/>
      <c r="R646" s="14"/>
      <c r="S646" s="14" t="s">
        <v>2825</v>
      </c>
      <c r="T646" s="14" t="s">
        <v>4432</v>
      </c>
      <c r="U646" s="17">
        <v>45161.0</v>
      </c>
      <c r="V646" s="14"/>
      <c r="W646" s="14"/>
      <c r="X646" s="18"/>
      <c r="Y646" s="18"/>
      <c r="Z646" s="18"/>
      <c r="AA646" s="19">
        <f t="shared" si="1"/>
        <v>8</v>
      </c>
      <c r="AB646" s="19" t="str">
        <f t="shared" si="2"/>
        <v/>
      </c>
      <c r="AC646" s="19"/>
    </row>
    <row r="647" ht="15.75" customHeight="1">
      <c r="A647" s="12">
        <v>45160.0</v>
      </c>
      <c r="B647" s="13" t="s">
        <v>28</v>
      </c>
      <c r="C647" s="14" t="s">
        <v>2826</v>
      </c>
      <c r="D647" s="14"/>
      <c r="E647" s="14"/>
      <c r="F647" s="14"/>
      <c r="G647" s="14"/>
      <c r="H647" s="14"/>
      <c r="I647" s="15" t="s">
        <v>2827</v>
      </c>
      <c r="J647" s="14"/>
      <c r="K647" s="14"/>
      <c r="L647" s="14"/>
      <c r="M647" s="14" t="s">
        <v>111</v>
      </c>
      <c r="N647" s="14" t="s">
        <v>216</v>
      </c>
      <c r="O647" s="14" t="b">
        <v>0</v>
      </c>
      <c r="P647" s="14"/>
      <c r="Q647" s="14"/>
      <c r="R647" s="14"/>
      <c r="S647" s="14" t="s">
        <v>2828</v>
      </c>
      <c r="T647" s="14" t="s">
        <v>4096</v>
      </c>
      <c r="U647" s="17">
        <v>45161.0</v>
      </c>
      <c r="V647" s="14"/>
      <c r="W647" s="14"/>
      <c r="X647" s="18"/>
      <c r="Y647" s="18"/>
      <c r="Z647" s="18"/>
      <c r="AA647" s="19">
        <f t="shared" si="1"/>
        <v>8</v>
      </c>
      <c r="AB647" s="19" t="str">
        <f t="shared" si="2"/>
        <v/>
      </c>
      <c r="AC647" s="19"/>
    </row>
    <row r="648" ht="15.75" customHeight="1">
      <c r="A648" s="12">
        <v>45160.0</v>
      </c>
      <c r="B648" s="13" t="s">
        <v>28</v>
      </c>
      <c r="C648" s="14" t="s">
        <v>2829</v>
      </c>
      <c r="D648" s="14"/>
      <c r="E648" s="14"/>
      <c r="F648" s="14"/>
      <c r="G648" s="14"/>
      <c r="H648" s="14"/>
      <c r="I648" s="15" t="s">
        <v>2830</v>
      </c>
      <c r="J648" s="14"/>
      <c r="K648" s="14"/>
      <c r="L648" s="14"/>
      <c r="M648" s="14" t="s">
        <v>111</v>
      </c>
      <c r="N648" s="14" t="s">
        <v>216</v>
      </c>
      <c r="O648" s="14" t="b">
        <v>0</v>
      </c>
      <c r="P648" s="14"/>
      <c r="Q648" s="14"/>
      <c r="R648" s="14"/>
      <c r="S648" s="14" t="s">
        <v>2828</v>
      </c>
      <c r="T648" s="14" t="s">
        <v>4096</v>
      </c>
      <c r="U648" s="17">
        <v>45161.0</v>
      </c>
      <c r="V648" s="14"/>
      <c r="W648" s="14"/>
      <c r="X648" s="18"/>
      <c r="Y648" s="18"/>
      <c r="Z648" s="18"/>
      <c r="AA648" s="19">
        <f t="shared" si="1"/>
        <v>8</v>
      </c>
      <c r="AB648" s="19" t="str">
        <f t="shared" si="2"/>
        <v/>
      </c>
      <c r="AC648" s="19"/>
    </row>
    <row r="649" ht="15.75" customHeight="1">
      <c r="A649" s="12">
        <v>45160.0</v>
      </c>
      <c r="B649" s="13" t="s">
        <v>28</v>
      </c>
      <c r="C649" s="14" t="s">
        <v>2831</v>
      </c>
      <c r="D649" s="14"/>
      <c r="E649" s="14"/>
      <c r="F649" s="14"/>
      <c r="G649" s="14"/>
      <c r="H649" s="14"/>
      <c r="I649" s="15" t="s">
        <v>2832</v>
      </c>
      <c r="J649" s="14"/>
      <c r="K649" s="14"/>
      <c r="L649" s="14" t="s">
        <v>2833</v>
      </c>
      <c r="M649" s="14" t="s">
        <v>111</v>
      </c>
      <c r="N649" s="14" t="s">
        <v>565</v>
      </c>
      <c r="O649" s="14" t="b">
        <v>0</v>
      </c>
      <c r="P649" s="14"/>
      <c r="Q649" s="14"/>
      <c r="R649" s="14"/>
      <c r="S649" s="14" t="s">
        <v>2834</v>
      </c>
      <c r="T649" s="14" t="s">
        <v>4096</v>
      </c>
      <c r="U649" s="17">
        <v>45161.0</v>
      </c>
      <c r="V649" s="14"/>
      <c r="W649" s="14"/>
      <c r="X649" s="18"/>
      <c r="Y649" s="18"/>
      <c r="Z649" s="18"/>
      <c r="AA649" s="19">
        <f t="shared" si="1"/>
        <v>8</v>
      </c>
      <c r="AB649" s="19" t="str">
        <f t="shared" si="2"/>
        <v/>
      </c>
      <c r="AC649" s="19"/>
    </row>
    <row r="650" ht="15.75" customHeight="1">
      <c r="A650" s="12">
        <v>45160.0</v>
      </c>
      <c r="B650" s="13" t="s">
        <v>28</v>
      </c>
      <c r="C650" s="14" t="s">
        <v>2835</v>
      </c>
      <c r="D650" s="14"/>
      <c r="E650" s="14"/>
      <c r="F650" s="14"/>
      <c r="G650" s="14"/>
      <c r="H650" s="14"/>
      <c r="I650" s="15" t="s">
        <v>2836</v>
      </c>
      <c r="J650" s="14"/>
      <c r="K650" s="14"/>
      <c r="L650" s="14"/>
      <c r="M650" s="14" t="s">
        <v>111</v>
      </c>
      <c r="N650" s="14" t="s">
        <v>216</v>
      </c>
      <c r="O650" s="14" t="b">
        <v>0</v>
      </c>
      <c r="P650" s="14"/>
      <c r="Q650" s="14"/>
      <c r="R650" s="14"/>
      <c r="S650" s="14" t="s">
        <v>2837</v>
      </c>
      <c r="T650" s="14" t="s">
        <v>4096</v>
      </c>
      <c r="U650" s="17">
        <v>45161.0</v>
      </c>
      <c r="V650" s="14"/>
      <c r="W650" s="14"/>
      <c r="X650" s="18"/>
      <c r="Y650" s="18"/>
      <c r="Z650" s="18"/>
      <c r="AA650" s="19">
        <f t="shared" si="1"/>
        <v>8</v>
      </c>
      <c r="AB650" s="19" t="str">
        <f t="shared" si="2"/>
        <v/>
      </c>
      <c r="AC650" s="19"/>
    </row>
    <row r="651" ht="15.75" customHeight="1">
      <c r="A651" s="12">
        <v>45160.0</v>
      </c>
      <c r="B651" s="14" t="s">
        <v>73</v>
      </c>
      <c r="C651" s="14" t="s">
        <v>2838</v>
      </c>
      <c r="D651" s="14" t="s">
        <v>2839</v>
      </c>
      <c r="E651" s="14"/>
      <c r="F651" s="14">
        <v>2012.0</v>
      </c>
      <c r="G651" s="14">
        <v>6.0</v>
      </c>
      <c r="H651" s="14"/>
      <c r="I651" s="15" t="s">
        <v>2840</v>
      </c>
      <c r="J651" s="14"/>
      <c r="K651" s="14"/>
      <c r="L651" s="14"/>
      <c r="M651" s="14" t="s">
        <v>111</v>
      </c>
      <c r="N651" s="14" t="s">
        <v>13</v>
      </c>
      <c r="O651" s="14" t="b">
        <v>1</v>
      </c>
      <c r="P651" s="14" t="s">
        <v>2841</v>
      </c>
      <c r="Q651" s="14"/>
      <c r="R651" s="14"/>
      <c r="S651" s="14" t="s">
        <v>2842</v>
      </c>
      <c r="T651" s="14" t="s">
        <v>4476</v>
      </c>
      <c r="U651" s="17">
        <v>45161.0</v>
      </c>
      <c r="V651" s="14"/>
      <c r="W651" s="14"/>
      <c r="X651" s="18"/>
      <c r="Y651" s="18"/>
      <c r="Z651" s="18"/>
      <c r="AA651" s="19">
        <f t="shared" si="1"/>
        <v>8</v>
      </c>
      <c r="AB651" s="19" t="str">
        <f t="shared" si="2"/>
        <v/>
      </c>
      <c r="AC651" s="19"/>
    </row>
    <row r="652" ht="15.75" customHeight="1">
      <c r="A652" s="12">
        <v>45161.0</v>
      </c>
      <c r="B652" s="13" t="s">
        <v>28</v>
      </c>
      <c r="C652" s="14" t="s">
        <v>2843</v>
      </c>
      <c r="D652" s="14"/>
      <c r="E652" s="14"/>
      <c r="F652" s="14"/>
      <c r="G652" s="14"/>
      <c r="H652" s="14"/>
      <c r="I652" s="15" t="s">
        <v>2844</v>
      </c>
      <c r="J652" s="14"/>
      <c r="K652" s="14"/>
      <c r="L652" s="14"/>
      <c r="M652" s="14" t="s">
        <v>111</v>
      </c>
      <c r="N652" s="14" t="s">
        <v>216</v>
      </c>
      <c r="O652" s="14" t="b">
        <v>0</v>
      </c>
      <c r="P652" s="14"/>
      <c r="Q652" s="14"/>
      <c r="R652" s="14"/>
      <c r="S652" s="278" t="s">
        <v>2845</v>
      </c>
      <c r="T652" s="14" t="s">
        <v>4096</v>
      </c>
      <c r="U652" s="17"/>
      <c r="V652" s="14"/>
      <c r="W652" s="14"/>
      <c r="X652" s="18"/>
      <c r="Y652" s="18"/>
      <c r="Z652" s="18"/>
      <c r="AA652" s="19">
        <f t="shared" si="1"/>
        <v>8</v>
      </c>
      <c r="AB652" s="19" t="str">
        <f t="shared" si="2"/>
        <v/>
      </c>
      <c r="AC652" s="19"/>
    </row>
    <row r="653" ht="15.75" customHeight="1">
      <c r="A653" s="12">
        <v>45161.0</v>
      </c>
      <c r="B653" s="14" t="s">
        <v>703</v>
      </c>
      <c r="C653" s="14" t="s">
        <v>66</v>
      </c>
      <c r="D653" s="14"/>
      <c r="E653" s="14"/>
      <c r="F653" s="14"/>
      <c r="G653" s="14"/>
      <c r="H653" s="14"/>
      <c r="I653" s="15" t="s">
        <v>2846</v>
      </c>
      <c r="J653" s="14"/>
      <c r="K653" s="14"/>
      <c r="L653" s="14"/>
      <c r="M653" s="14" t="s">
        <v>111</v>
      </c>
      <c r="N653" s="14" t="s">
        <v>216</v>
      </c>
      <c r="O653" s="14" t="b">
        <v>0</v>
      </c>
      <c r="P653" s="14"/>
      <c r="Q653" s="14"/>
      <c r="R653" s="14"/>
      <c r="S653" s="278" t="s">
        <v>2845</v>
      </c>
      <c r="T653" s="14" t="s">
        <v>4096</v>
      </c>
      <c r="U653" s="17"/>
      <c r="V653" s="14"/>
      <c r="W653" s="14"/>
      <c r="X653" s="18"/>
      <c r="Y653" s="18"/>
      <c r="Z653" s="18"/>
      <c r="AA653" s="19">
        <f t="shared" si="1"/>
        <v>8</v>
      </c>
      <c r="AB653" s="19" t="str">
        <f t="shared" si="2"/>
        <v/>
      </c>
      <c r="AC653" s="19"/>
    </row>
    <row r="654" ht="15.75" customHeight="1">
      <c r="A654" s="12">
        <v>45161.0</v>
      </c>
      <c r="B654" s="14" t="s">
        <v>703</v>
      </c>
      <c r="C654" s="14" t="s">
        <v>2847</v>
      </c>
      <c r="D654" s="14"/>
      <c r="E654" s="14"/>
      <c r="F654" s="14"/>
      <c r="G654" s="14"/>
      <c r="H654" s="14"/>
      <c r="I654" s="15" t="s">
        <v>2848</v>
      </c>
      <c r="J654" s="14"/>
      <c r="K654" s="14"/>
      <c r="L654" s="14"/>
      <c r="M654" s="14" t="s">
        <v>111</v>
      </c>
      <c r="N654" s="14" t="s">
        <v>216</v>
      </c>
      <c r="O654" s="14" t="b">
        <v>0</v>
      </c>
      <c r="P654" s="14"/>
      <c r="Q654" s="14"/>
      <c r="R654" s="14"/>
      <c r="S654" s="278" t="s">
        <v>2845</v>
      </c>
      <c r="T654" s="14" t="s">
        <v>4096</v>
      </c>
      <c r="U654" s="17"/>
      <c r="V654" s="14"/>
      <c r="W654" s="14"/>
      <c r="X654" s="18"/>
      <c r="Y654" s="18"/>
      <c r="Z654" s="18"/>
      <c r="AA654" s="19">
        <f t="shared" si="1"/>
        <v>8</v>
      </c>
      <c r="AB654" s="19" t="str">
        <f t="shared" si="2"/>
        <v/>
      </c>
      <c r="AC654" s="19"/>
    </row>
    <row r="655" ht="15.75" customHeight="1">
      <c r="A655" s="12">
        <v>45162.0</v>
      </c>
      <c r="B655" s="13" t="s">
        <v>28</v>
      </c>
      <c r="C655" s="14" t="s">
        <v>2849</v>
      </c>
      <c r="D655" s="14" t="s">
        <v>2850</v>
      </c>
      <c r="E655" s="14"/>
      <c r="F655" s="331" t="s">
        <v>4525</v>
      </c>
      <c r="G655" s="14">
        <v>5.0</v>
      </c>
      <c r="H655" s="14"/>
      <c r="I655" s="15" t="s">
        <v>2851</v>
      </c>
      <c r="J655" s="14"/>
      <c r="K655" s="14"/>
      <c r="L655" s="14" t="s">
        <v>2852</v>
      </c>
      <c r="M655" s="14" t="s">
        <v>111</v>
      </c>
      <c r="N655" s="14" t="s">
        <v>34</v>
      </c>
      <c r="O655" s="14" t="b">
        <v>1</v>
      </c>
      <c r="P655" s="14" t="s">
        <v>2853</v>
      </c>
      <c r="Q655" s="14"/>
      <c r="R655" s="14"/>
      <c r="S655" s="14" t="s">
        <v>2854</v>
      </c>
      <c r="T655" s="14" t="s">
        <v>4069</v>
      </c>
      <c r="U655" s="17"/>
      <c r="V655" s="14"/>
      <c r="W655" s="14"/>
      <c r="X655" s="18"/>
      <c r="Y655" s="18"/>
      <c r="Z655" s="18"/>
      <c r="AA655" s="19">
        <f t="shared" si="1"/>
        <v>8</v>
      </c>
      <c r="AB655" s="19" t="str">
        <f t="shared" si="2"/>
        <v/>
      </c>
      <c r="AC655" s="19"/>
    </row>
    <row r="656" ht="15.75" customHeight="1">
      <c r="A656" s="12">
        <v>45162.0</v>
      </c>
      <c r="B656" s="13" t="s">
        <v>28</v>
      </c>
      <c r="C656" s="14" t="s">
        <v>2855</v>
      </c>
      <c r="D656" s="14" t="s">
        <v>2855</v>
      </c>
      <c r="E656" s="14"/>
      <c r="F656" s="14"/>
      <c r="G656" s="14"/>
      <c r="H656" s="14"/>
      <c r="I656" s="15" t="s">
        <v>2856</v>
      </c>
      <c r="J656" s="14"/>
      <c r="K656" s="14"/>
      <c r="L656" s="14" t="s">
        <v>2857</v>
      </c>
      <c r="M656" s="14" t="s">
        <v>111</v>
      </c>
      <c r="N656" s="14" t="s">
        <v>565</v>
      </c>
      <c r="O656" s="14" t="b">
        <v>0</v>
      </c>
      <c r="P656" s="14"/>
      <c r="Q656" s="14"/>
      <c r="R656" s="14"/>
      <c r="S656" s="14"/>
      <c r="T656" s="14"/>
      <c r="U656" s="17"/>
      <c r="V656" s="14"/>
      <c r="W656" s="14"/>
      <c r="X656" s="18"/>
      <c r="Y656" s="18"/>
      <c r="Z656" s="18"/>
      <c r="AA656" s="19">
        <f t="shared" si="1"/>
        <v>8</v>
      </c>
      <c r="AB656" s="19" t="str">
        <f t="shared" si="2"/>
        <v/>
      </c>
      <c r="AC656" s="19"/>
    </row>
    <row r="657" ht="15.75" customHeight="1">
      <c r="A657" s="26">
        <v>45162.0</v>
      </c>
      <c r="B657" s="27" t="s">
        <v>201</v>
      </c>
      <c r="C657" s="27" t="s">
        <v>4526</v>
      </c>
      <c r="D657" s="27" t="s">
        <v>2858</v>
      </c>
      <c r="E657" s="27"/>
      <c r="F657" s="27">
        <v>2017.0</v>
      </c>
      <c r="G657" s="27"/>
      <c r="H657" s="27"/>
      <c r="I657" s="34" t="s">
        <v>2859</v>
      </c>
      <c r="J657" s="27"/>
      <c r="K657" s="27"/>
      <c r="L657" s="27"/>
      <c r="M657" s="27" t="s">
        <v>111</v>
      </c>
      <c r="N657" s="27" t="s">
        <v>67</v>
      </c>
      <c r="O657" s="14" t="b">
        <v>1</v>
      </c>
      <c r="P657" s="27" t="s">
        <v>2860</v>
      </c>
      <c r="Q657" s="27"/>
      <c r="R657" s="27"/>
      <c r="S657" s="27" t="s">
        <v>2861</v>
      </c>
      <c r="T657" s="27"/>
      <c r="U657" s="26"/>
      <c r="V657" s="32">
        <v>45180.0</v>
      </c>
      <c r="W657" s="27" t="s">
        <v>4207</v>
      </c>
      <c r="X657" s="25">
        <v>6124000.0</v>
      </c>
      <c r="Y657" s="25">
        <v>612000.0</v>
      </c>
      <c r="Z657" s="25">
        <v>5512000.0</v>
      </c>
      <c r="AA657" s="19">
        <f t="shared" si="1"/>
        <v>8</v>
      </c>
      <c r="AB657" s="19">
        <f t="shared" si="2"/>
        <v>9</v>
      </c>
      <c r="AC657" s="19"/>
    </row>
    <row r="658" ht="15.75" customHeight="1">
      <c r="A658" s="12">
        <v>45162.0</v>
      </c>
      <c r="B658" s="24" t="s">
        <v>28</v>
      </c>
      <c r="C658" s="14" t="s">
        <v>443</v>
      </c>
      <c r="D658" s="14"/>
      <c r="E658" s="14"/>
      <c r="F658" s="14"/>
      <c r="G658" s="14"/>
      <c r="H658" s="14"/>
      <c r="I658" s="15" t="s">
        <v>2862</v>
      </c>
      <c r="J658" s="14"/>
      <c r="K658" s="14"/>
      <c r="L658" s="14" t="s">
        <v>2863</v>
      </c>
      <c r="M658" s="14" t="s">
        <v>111</v>
      </c>
      <c r="N658" s="14" t="s">
        <v>565</v>
      </c>
      <c r="O658" s="14" t="b">
        <v>0</v>
      </c>
      <c r="P658" s="14"/>
      <c r="Q658" s="14"/>
      <c r="R658" s="14"/>
      <c r="S658" s="14" t="s">
        <v>2864</v>
      </c>
      <c r="T658" s="14" t="s">
        <v>4069</v>
      </c>
      <c r="U658" s="17"/>
      <c r="V658" s="14"/>
      <c r="W658" s="14"/>
      <c r="X658" s="18"/>
      <c r="Y658" s="18"/>
      <c r="Z658" s="18"/>
      <c r="AA658" s="19">
        <f t="shared" si="1"/>
        <v>8</v>
      </c>
      <c r="AB658" s="19" t="str">
        <f t="shared" si="2"/>
        <v/>
      </c>
      <c r="AC658" s="19"/>
    </row>
    <row r="659" ht="15.75" customHeight="1">
      <c r="A659" s="26">
        <v>45162.0</v>
      </c>
      <c r="B659" s="13" t="s">
        <v>28</v>
      </c>
      <c r="C659" s="27" t="s">
        <v>2865</v>
      </c>
      <c r="D659" s="27" t="s">
        <v>2866</v>
      </c>
      <c r="E659" s="27"/>
      <c r="F659" s="326" t="s">
        <v>4527</v>
      </c>
      <c r="G659" s="27">
        <v>5.0</v>
      </c>
      <c r="H659" s="27"/>
      <c r="I659" s="34" t="s">
        <v>2867</v>
      </c>
      <c r="J659" s="27"/>
      <c r="K659" s="27"/>
      <c r="L659" s="27"/>
      <c r="M659" s="27" t="s">
        <v>111</v>
      </c>
      <c r="N659" s="27" t="s">
        <v>67</v>
      </c>
      <c r="O659" s="14" t="b">
        <v>1</v>
      </c>
      <c r="P659" s="27" t="s">
        <v>2868</v>
      </c>
      <c r="Q659" s="27"/>
      <c r="R659" s="27"/>
      <c r="S659" s="27" t="s">
        <v>2869</v>
      </c>
      <c r="T659" s="27" t="s">
        <v>4476</v>
      </c>
      <c r="U659" s="26"/>
      <c r="V659" s="32">
        <v>45219.0</v>
      </c>
      <c r="W659" s="27" t="s">
        <v>4528</v>
      </c>
      <c r="X659" s="25">
        <v>3120000.0</v>
      </c>
      <c r="Y659" s="25">
        <v>624000.0</v>
      </c>
      <c r="Z659" s="25">
        <v>2496000.0</v>
      </c>
      <c r="AA659" s="19">
        <f t="shared" si="1"/>
        <v>8</v>
      </c>
      <c r="AB659" s="19">
        <f t="shared" si="2"/>
        <v>10</v>
      </c>
      <c r="AC659" s="19"/>
    </row>
    <row r="660" ht="15.75" customHeight="1">
      <c r="A660" s="12">
        <v>45162.0</v>
      </c>
      <c r="B660" s="13" t="s">
        <v>28</v>
      </c>
      <c r="C660" s="14" t="s">
        <v>2870</v>
      </c>
      <c r="D660" s="14" t="s">
        <v>2871</v>
      </c>
      <c r="E660" s="14"/>
      <c r="F660" s="332" t="s">
        <v>4529</v>
      </c>
      <c r="G660" s="14">
        <v>4.0</v>
      </c>
      <c r="H660" s="14"/>
      <c r="I660" s="15" t="s">
        <v>2872</v>
      </c>
      <c r="J660" s="14"/>
      <c r="K660" s="14"/>
      <c r="L660" s="14"/>
      <c r="M660" s="14" t="s">
        <v>111</v>
      </c>
      <c r="N660" s="14" t="s">
        <v>13</v>
      </c>
      <c r="O660" s="14" t="b">
        <v>1</v>
      </c>
      <c r="P660" s="14" t="s">
        <v>2873</v>
      </c>
      <c r="Q660" s="14"/>
      <c r="R660" s="14"/>
      <c r="S660" s="14" t="s">
        <v>2874</v>
      </c>
      <c r="T660" s="14" t="s">
        <v>4476</v>
      </c>
      <c r="U660" s="17">
        <v>45164.0</v>
      </c>
      <c r="V660" s="14"/>
      <c r="W660" s="14"/>
      <c r="X660" s="18"/>
      <c r="Y660" s="18"/>
      <c r="Z660" s="18"/>
      <c r="AA660" s="19">
        <f t="shared" si="1"/>
        <v>8</v>
      </c>
      <c r="AB660" s="19" t="str">
        <f t="shared" si="2"/>
        <v/>
      </c>
      <c r="AC660" s="19"/>
    </row>
    <row r="661" ht="15.75" customHeight="1">
      <c r="A661" s="12">
        <v>45163.0</v>
      </c>
      <c r="B661" s="13" t="s">
        <v>28</v>
      </c>
      <c r="C661" s="14" t="s">
        <v>2875</v>
      </c>
      <c r="D661" s="14" t="s">
        <v>2876</v>
      </c>
      <c r="E661" s="14"/>
      <c r="F661" s="14" t="s">
        <v>4530</v>
      </c>
      <c r="G661" s="14"/>
      <c r="H661" s="14"/>
      <c r="I661" s="15" t="s">
        <v>2877</v>
      </c>
      <c r="J661" s="14"/>
      <c r="K661" s="14"/>
      <c r="L661" s="14"/>
      <c r="M661" s="14" t="s">
        <v>111</v>
      </c>
      <c r="N661" s="14" t="s">
        <v>13</v>
      </c>
      <c r="O661" s="14" t="b">
        <v>1</v>
      </c>
      <c r="P661" s="14" t="s">
        <v>2878</v>
      </c>
      <c r="Q661" s="14"/>
      <c r="R661" s="14"/>
      <c r="S661" s="14" t="s">
        <v>2879</v>
      </c>
      <c r="T661" s="14" t="s">
        <v>4096</v>
      </c>
      <c r="U661" s="17">
        <v>45174.0</v>
      </c>
      <c r="V661" s="14"/>
      <c r="W661" s="14"/>
      <c r="X661" s="18"/>
      <c r="Y661" s="18"/>
      <c r="Z661" s="18"/>
      <c r="AA661" s="19">
        <f t="shared" si="1"/>
        <v>8</v>
      </c>
      <c r="AB661" s="19" t="str">
        <f t="shared" si="2"/>
        <v/>
      </c>
      <c r="AC661" s="19"/>
    </row>
    <row r="662" ht="15.75" customHeight="1">
      <c r="A662" s="12">
        <v>45163.0</v>
      </c>
      <c r="B662" s="13" t="s">
        <v>28</v>
      </c>
      <c r="C662" s="14" t="s">
        <v>2875</v>
      </c>
      <c r="D662" s="14" t="s">
        <v>2880</v>
      </c>
      <c r="E662" s="14"/>
      <c r="F662" s="14" t="s">
        <v>4513</v>
      </c>
      <c r="G662" s="14"/>
      <c r="H662" s="14"/>
      <c r="I662" s="15" t="s">
        <v>2877</v>
      </c>
      <c r="J662" s="14"/>
      <c r="K662" s="14"/>
      <c r="L662" s="14"/>
      <c r="M662" s="14" t="s">
        <v>111</v>
      </c>
      <c r="N662" s="14" t="s">
        <v>13</v>
      </c>
      <c r="O662" s="14" t="b">
        <v>1</v>
      </c>
      <c r="P662" s="14" t="s">
        <v>2881</v>
      </c>
      <c r="Q662" s="14"/>
      <c r="R662" s="14"/>
      <c r="S662" s="14" t="s">
        <v>2879</v>
      </c>
      <c r="T662" s="14" t="s">
        <v>4096</v>
      </c>
      <c r="U662" s="17">
        <v>45174.0</v>
      </c>
      <c r="V662" s="14"/>
      <c r="W662" s="14"/>
      <c r="X662" s="18"/>
      <c r="Y662" s="18"/>
      <c r="Z662" s="18"/>
      <c r="AA662" s="19">
        <f t="shared" si="1"/>
        <v>8</v>
      </c>
      <c r="AB662" s="19" t="str">
        <f t="shared" si="2"/>
        <v/>
      </c>
      <c r="AC662" s="19"/>
    </row>
    <row r="663" ht="15.75" customHeight="1">
      <c r="A663" s="12">
        <v>45163.0</v>
      </c>
      <c r="B663" s="14" t="s">
        <v>73</v>
      </c>
      <c r="C663" s="333" t="s">
        <v>2882</v>
      </c>
      <c r="D663" s="333"/>
      <c r="E663" s="333"/>
      <c r="F663" s="333">
        <v>2014.0</v>
      </c>
      <c r="G663" s="333">
        <v>2.0</v>
      </c>
      <c r="H663" s="333"/>
      <c r="I663" s="15">
        <v>9.05438184E8</v>
      </c>
      <c r="J663" s="333"/>
      <c r="K663" s="333"/>
      <c r="L663" s="333"/>
      <c r="M663" s="14" t="s">
        <v>111</v>
      </c>
      <c r="N663" s="14" t="s">
        <v>565</v>
      </c>
      <c r="O663" s="14" t="b">
        <v>0</v>
      </c>
      <c r="P663" s="333"/>
      <c r="Q663" s="333"/>
      <c r="R663" s="333"/>
      <c r="S663" s="333" t="s">
        <v>4531</v>
      </c>
      <c r="T663" s="333"/>
      <c r="U663" s="333"/>
      <c r="V663" s="333"/>
      <c r="W663" s="333"/>
      <c r="X663" s="334"/>
      <c r="Y663" s="334"/>
      <c r="Z663" s="334"/>
      <c r="AA663" s="19">
        <f t="shared" si="1"/>
        <v>8</v>
      </c>
      <c r="AB663" s="19" t="str">
        <f t="shared" si="2"/>
        <v/>
      </c>
      <c r="AC663" s="19"/>
    </row>
    <row r="664" ht="15.75" customHeight="1">
      <c r="A664" s="26">
        <v>45163.0</v>
      </c>
      <c r="B664" s="27" t="s">
        <v>201</v>
      </c>
      <c r="C664" s="27" t="s">
        <v>4532</v>
      </c>
      <c r="D664" s="27" t="s">
        <v>2885</v>
      </c>
      <c r="E664" s="27"/>
      <c r="F664" s="32">
        <v>41455.0</v>
      </c>
      <c r="G664" s="27">
        <v>5.0</v>
      </c>
      <c r="H664" s="27"/>
      <c r="I664" s="34" t="s">
        <v>2886</v>
      </c>
      <c r="J664" s="27"/>
      <c r="K664" s="27"/>
      <c r="L664" s="27" t="s">
        <v>4533</v>
      </c>
      <c r="M664" s="27" t="s">
        <v>111</v>
      </c>
      <c r="N664" s="27" t="s">
        <v>67</v>
      </c>
      <c r="O664" s="14" t="b">
        <v>1</v>
      </c>
      <c r="P664" s="27" t="s">
        <v>2888</v>
      </c>
      <c r="Q664" s="27"/>
      <c r="R664" s="27"/>
      <c r="S664" s="27" t="s">
        <v>2889</v>
      </c>
      <c r="T664" s="27" t="s">
        <v>4432</v>
      </c>
      <c r="U664" s="26">
        <v>45167.0</v>
      </c>
      <c r="V664" s="32">
        <v>45169.0</v>
      </c>
      <c r="W664" s="27" t="s">
        <v>4207</v>
      </c>
      <c r="X664" s="25">
        <v>3062000.0</v>
      </c>
      <c r="Y664" s="25">
        <v>398060.0</v>
      </c>
      <c r="Z664" s="25">
        <v>2664000.0</v>
      </c>
      <c r="AA664" s="19">
        <f t="shared" si="1"/>
        <v>8</v>
      </c>
      <c r="AB664" s="19">
        <f t="shared" si="2"/>
        <v>8</v>
      </c>
      <c r="AC664" s="19"/>
    </row>
    <row r="665" ht="15.75" customHeight="1">
      <c r="A665" s="12">
        <v>45164.0</v>
      </c>
      <c r="B665" s="13" t="s">
        <v>28</v>
      </c>
      <c r="C665" s="14" t="s">
        <v>2890</v>
      </c>
      <c r="D665" s="14" t="s">
        <v>2891</v>
      </c>
      <c r="E665" s="14"/>
      <c r="F665" s="59">
        <v>41821.0</v>
      </c>
      <c r="G665" s="14"/>
      <c r="H665" s="14"/>
      <c r="I665" s="15" t="s">
        <v>2892</v>
      </c>
      <c r="J665" s="14"/>
      <c r="K665" s="14"/>
      <c r="L665" s="14" t="s">
        <v>2893</v>
      </c>
      <c r="M665" s="14" t="s">
        <v>111</v>
      </c>
      <c r="N665" s="14" t="s">
        <v>565</v>
      </c>
      <c r="O665" s="14" t="b">
        <v>0</v>
      </c>
      <c r="P665" s="14"/>
      <c r="Q665" s="14"/>
      <c r="R665" s="14"/>
      <c r="S665" s="14" t="s">
        <v>2894</v>
      </c>
      <c r="T665" s="14"/>
      <c r="U665" s="17"/>
      <c r="V665" s="14"/>
      <c r="W665" s="14"/>
      <c r="X665" s="18"/>
      <c r="Y665" s="18"/>
      <c r="Z665" s="18"/>
      <c r="AA665" s="19">
        <f t="shared" si="1"/>
        <v>8</v>
      </c>
      <c r="AB665" s="19" t="str">
        <f t="shared" si="2"/>
        <v/>
      </c>
      <c r="AC665" s="19"/>
    </row>
    <row r="666" ht="15.75" customHeight="1">
      <c r="A666" s="12">
        <v>45164.0</v>
      </c>
      <c r="B666" s="24" t="s">
        <v>28</v>
      </c>
      <c r="C666" s="14" t="s">
        <v>2895</v>
      </c>
      <c r="D666" s="14"/>
      <c r="E666" s="14"/>
      <c r="F666" s="14"/>
      <c r="G666" s="14"/>
      <c r="H666" s="14"/>
      <c r="I666" s="15" t="s">
        <v>2896</v>
      </c>
      <c r="J666" s="14"/>
      <c r="K666" s="14"/>
      <c r="L666" s="14" t="s">
        <v>2897</v>
      </c>
      <c r="M666" s="14" t="s">
        <v>111</v>
      </c>
      <c r="N666" s="14" t="s">
        <v>34</v>
      </c>
      <c r="O666" s="14" t="b">
        <v>0</v>
      </c>
      <c r="P666" s="14"/>
      <c r="Q666" s="14"/>
      <c r="R666" s="14"/>
      <c r="S666" s="14" t="s">
        <v>2898</v>
      </c>
      <c r="T666" s="14"/>
      <c r="U666" s="17"/>
      <c r="V666" s="14"/>
      <c r="W666" s="14"/>
      <c r="X666" s="18"/>
      <c r="Y666" s="18"/>
      <c r="Z666" s="18"/>
      <c r="AA666" s="19">
        <f t="shared" si="1"/>
        <v>8</v>
      </c>
      <c r="AB666" s="19" t="str">
        <f t="shared" si="2"/>
        <v/>
      </c>
      <c r="AC666" s="19"/>
    </row>
    <row r="667" ht="15.75" customHeight="1">
      <c r="A667" s="12">
        <v>45164.0</v>
      </c>
      <c r="B667" s="13" t="s">
        <v>28</v>
      </c>
      <c r="C667" s="14" t="s">
        <v>2899</v>
      </c>
      <c r="D667" s="14" t="s">
        <v>2900</v>
      </c>
      <c r="E667" s="14"/>
      <c r="F667" s="132" t="s">
        <v>4534</v>
      </c>
      <c r="G667" s="14"/>
      <c r="H667" s="14"/>
      <c r="I667" s="15" t="s">
        <v>2901</v>
      </c>
      <c r="J667" s="14"/>
      <c r="K667" s="14"/>
      <c r="L667" s="14"/>
      <c r="M667" s="14" t="s">
        <v>111</v>
      </c>
      <c r="N667" s="14" t="s">
        <v>13</v>
      </c>
      <c r="O667" s="14" t="b">
        <v>1</v>
      </c>
      <c r="P667" s="14" t="s">
        <v>2902</v>
      </c>
      <c r="Q667" s="14"/>
      <c r="R667" s="14"/>
      <c r="S667" s="14" t="s">
        <v>2903</v>
      </c>
      <c r="T667" s="14"/>
      <c r="U667" s="17"/>
      <c r="V667" s="14"/>
      <c r="W667" s="14"/>
      <c r="X667" s="18"/>
      <c r="Y667" s="18"/>
      <c r="Z667" s="18"/>
      <c r="AA667" s="19">
        <f t="shared" si="1"/>
        <v>8</v>
      </c>
      <c r="AB667" s="19" t="str">
        <f t="shared" si="2"/>
        <v/>
      </c>
      <c r="AC667" s="19"/>
    </row>
    <row r="668" ht="15.75" customHeight="1">
      <c r="A668" s="12">
        <v>45164.0</v>
      </c>
      <c r="B668" s="13" t="s">
        <v>28</v>
      </c>
      <c r="C668" s="14" t="s">
        <v>2904</v>
      </c>
      <c r="D668" s="14" t="s">
        <v>2905</v>
      </c>
      <c r="E668" s="14"/>
      <c r="F668" s="14"/>
      <c r="G668" s="14"/>
      <c r="H668" s="14"/>
      <c r="I668" s="15" t="s">
        <v>2906</v>
      </c>
      <c r="J668" s="14"/>
      <c r="K668" s="14"/>
      <c r="L668" s="14" t="s">
        <v>2907</v>
      </c>
      <c r="M668" s="14" t="s">
        <v>111</v>
      </c>
      <c r="N668" s="14" t="s">
        <v>216</v>
      </c>
      <c r="O668" s="14" t="b">
        <v>0</v>
      </c>
      <c r="P668" s="14"/>
      <c r="Q668" s="14"/>
      <c r="R668" s="14"/>
      <c r="S668" s="14" t="s">
        <v>2908</v>
      </c>
      <c r="T668" s="14"/>
      <c r="U668" s="17"/>
      <c r="V668" s="14"/>
      <c r="W668" s="14"/>
      <c r="X668" s="18"/>
      <c r="Y668" s="18"/>
      <c r="Z668" s="18"/>
      <c r="AA668" s="19">
        <f t="shared" si="1"/>
        <v>8</v>
      </c>
      <c r="AB668" s="19" t="str">
        <f t="shared" si="2"/>
        <v/>
      </c>
      <c r="AC668" s="19"/>
    </row>
    <row r="669" ht="15.75" customHeight="1">
      <c r="A669" s="12">
        <v>45164.0</v>
      </c>
      <c r="B669" s="13" t="s">
        <v>28</v>
      </c>
      <c r="C669" s="15" t="s">
        <v>2909</v>
      </c>
      <c r="D669" s="15" t="s">
        <v>2910</v>
      </c>
      <c r="E669" s="15"/>
      <c r="F669" s="42" t="s">
        <v>4535</v>
      </c>
      <c r="G669" s="15"/>
      <c r="H669" s="15"/>
      <c r="I669" s="42" t="s">
        <v>2912</v>
      </c>
      <c r="J669" s="15"/>
      <c r="K669" s="15"/>
      <c r="L669" s="15"/>
      <c r="M669" s="14" t="s">
        <v>111</v>
      </c>
      <c r="N669" s="14" t="s">
        <v>13</v>
      </c>
      <c r="O669" s="14" t="b">
        <v>1</v>
      </c>
      <c r="P669" s="83" t="s">
        <v>2913</v>
      </c>
      <c r="Q669" s="14"/>
      <c r="R669" s="14"/>
      <c r="S669" s="14" t="s">
        <v>2914</v>
      </c>
      <c r="T669" s="14"/>
      <c r="U669" s="17"/>
      <c r="V669" s="14"/>
      <c r="W669" s="14"/>
      <c r="X669" s="18"/>
      <c r="Y669" s="18"/>
      <c r="Z669" s="18"/>
      <c r="AA669" s="19">
        <f t="shared" si="1"/>
        <v>8</v>
      </c>
      <c r="AB669" s="19" t="str">
        <f t="shared" si="2"/>
        <v/>
      </c>
      <c r="AC669" s="19"/>
    </row>
    <row r="670" ht="15.75" customHeight="1">
      <c r="A670" s="12">
        <v>45165.0</v>
      </c>
      <c r="B670" s="13" t="s">
        <v>28</v>
      </c>
      <c r="C670" s="14" t="s">
        <v>2915</v>
      </c>
      <c r="D670" s="14"/>
      <c r="E670" s="14"/>
      <c r="F670" s="14"/>
      <c r="G670" s="14"/>
      <c r="H670" s="14"/>
      <c r="I670" s="15" t="s">
        <v>2916</v>
      </c>
      <c r="J670" s="14"/>
      <c r="K670" s="14"/>
      <c r="L670" s="14" t="s">
        <v>4536</v>
      </c>
      <c r="M670" s="14" t="s">
        <v>111</v>
      </c>
      <c r="N670" s="14" t="s">
        <v>565</v>
      </c>
      <c r="O670" s="14" t="b">
        <v>0</v>
      </c>
      <c r="P670" s="14"/>
      <c r="Q670" s="14"/>
      <c r="R670" s="14"/>
      <c r="S670" s="14" t="s">
        <v>2918</v>
      </c>
      <c r="T670" s="14" t="s">
        <v>4096</v>
      </c>
      <c r="U670" s="17"/>
      <c r="V670" s="14"/>
      <c r="W670" s="14"/>
      <c r="X670" s="18"/>
      <c r="Y670" s="18"/>
      <c r="Z670" s="18"/>
      <c r="AA670" s="19">
        <f t="shared" si="1"/>
        <v>8</v>
      </c>
      <c r="AB670" s="19" t="str">
        <f t="shared" si="2"/>
        <v/>
      </c>
      <c r="AC670" s="19"/>
    </row>
    <row r="671" ht="15.75" customHeight="1">
      <c r="A671" s="26">
        <v>45165.0</v>
      </c>
      <c r="B671" s="13" t="s">
        <v>28</v>
      </c>
      <c r="C671" s="27" t="s">
        <v>2919</v>
      </c>
      <c r="D671" s="27" t="s">
        <v>2920</v>
      </c>
      <c r="E671" s="27"/>
      <c r="F671" s="27">
        <v>2015.0</v>
      </c>
      <c r="G671" s="27">
        <v>3.0</v>
      </c>
      <c r="H671" s="27"/>
      <c r="I671" s="34" t="s">
        <v>2921</v>
      </c>
      <c r="J671" s="27"/>
      <c r="K671" s="27"/>
      <c r="L671" s="27"/>
      <c r="M671" s="27" t="s">
        <v>111</v>
      </c>
      <c r="N671" s="27" t="s">
        <v>67</v>
      </c>
      <c r="O671" s="14" t="b">
        <v>1</v>
      </c>
      <c r="P671" s="27" t="s">
        <v>2922</v>
      </c>
      <c r="Q671" s="27"/>
      <c r="R671" s="27"/>
      <c r="S671" s="27" t="s">
        <v>2923</v>
      </c>
      <c r="T671" s="27" t="s">
        <v>4096</v>
      </c>
      <c r="U671" s="26"/>
      <c r="V671" s="32">
        <v>45183.0</v>
      </c>
      <c r="W671" s="27" t="s">
        <v>4207</v>
      </c>
      <c r="X671" s="25">
        <v>3062000.0</v>
      </c>
      <c r="Y671" s="25">
        <v>398000.0</v>
      </c>
      <c r="Z671" s="25">
        <v>2664000.0</v>
      </c>
      <c r="AA671" s="19">
        <f t="shared" si="1"/>
        <v>8</v>
      </c>
      <c r="AB671" s="19">
        <f t="shared" si="2"/>
        <v>9</v>
      </c>
      <c r="AC671" s="19"/>
    </row>
    <row r="672" ht="15.75" customHeight="1">
      <c r="A672" s="12">
        <v>45166.0</v>
      </c>
      <c r="B672" s="13" t="s">
        <v>28</v>
      </c>
      <c r="C672" s="14"/>
      <c r="D672" s="14" t="s">
        <v>2924</v>
      </c>
      <c r="E672" s="59"/>
      <c r="F672" s="59">
        <v>41381.0</v>
      </c>
      <c r="G672" s="14"/>
      <c r="H672" s="14"/>
      <c r="I672" s="15">
        <v>9.03926853E8</v>
      </c>
      <c r="J672" s="14"/>
      <c r="K672" s="14"/>
      <c r="L672" s="14" t="s">
        <v>2925</v>
      </c>
      <c r="M672" s="14" t="s">
        <v>111</v>
      </c>
      <c r="N672" s="14" t="s">
        <v>34</v>
      </c>
      <c r="O672" s="14" t="b">
        <v>0</v>
      </c>
      <c r="P672" s="14"/>
      <c r="Q672" s="14"/>
      <c r="R672" s="14"/>
      <c r="S672" s="14" t="s">
        <v>2926</v>
      </c>
      <c r="T672" s="14" t="s">
        <v>4069</v>
      </c>
      <c r="U672" s="17"/>
      <c r="V672" s="14"/>
      <c r="W672" s="14"/>
      <c r="X672" s="18"/>
      <c r="Y672" s="18"/>
      <c r="Z672" s="18"/>
      <c r="AA672" s="19">
        <f t="shared" si="1"/>
        <v>8</v>
      </c>
      <c r="AB672" s="19" t="str">
        <f t="shared" si="2"/>
        <v/>
      </c>
      <c r="AC672" s="19"/>
    </row>
    <row r="673" ht="15.75" customHeight="1">
      <c r="A673" s="12">
        <v>45166.0</v>
      </c>
      <c r="B673" s="13" t="s">
        <v>28</v>
      </c>
      <c r="C673" s="14" t="s">
        <v>2927</v>
      </c>
      <c r="D673" s="14"/>
      <c r="E673" s="14"/>
      <c r="F673" s="14"/>
      <c r="G673" s="14"/>
      <c r="H673" s="14"/>
      <c r="I673" s="15" t="s">
        <v>2928</v>
      </c>
      <c r="J673" s="14"/>
      <c r="K673" s="14"/>
      <c r="L673" s="14" t="s">
        <v>2929</v>
      </c>
      <c r="M673" s="14" t="s">
        <v>111</v>
      </c>
      <c r="N673" s="14" t="s">
        <v>565</v>
      </c>
      <c r="O673" s="14" t="b">
        <v>0</v>
      </c>
      <c r="P673" s="14"/>
      <c r="Q673" s="14"/>
      <c r="R673" s="14"/>
      <c r="S673" s="14" t="s">
        <v>2930</v>
      </c>
      <c r="T673" s="14"/>
      <c r="U673" s="17"/>
      <c r="V673" s="14"/>
      <c r="W673" s="14"/>
      <c r="X673" s="18"/>
      <c r="Y673" s="18"/>
      <c r="Z673" s="18"/>
      <c r="AA673" s="19">
        <f t="shared" si="1"/>
        <v>8</v>
      </c>
      <c r="AB673" s="19" t="str">
        <f t="shared" si="2"/>
        <v/>
      </c>
      <c r="AC673" s="19"/>
    </row>
    <row r="674" ht="15.75" customHeight="1">
      <c r="A674" s="12">
        <v>45166.0</v>
      </c>
      <c r="B674" s="13" t="s">
        <v>28</v>
      </c>
      <c r="C674" s="14" t="s">
        <v>2931</v>
      </c>
      <c r="D674" s="14"/>
      <c r="E674" s="14"/>
      <c r="F674" s="14"/>
      <c r="G674" s="14"/>
      <c r="H674" s="14"/>
      <c r="I674" s="15" t="s">
        <v>2932</v>
      </c>
      <c r="J674" s="14"/>
      <c r="K674" s="14"/>
      <c r="L674" s="14"/>
      <c r="M674" s="14" t="s">
        <v>111</v>
      </c>
      <c r="N674" s="14" t="s">
        <v>565</v>
      </c>
      <c r="O674" s="14" t="b">
        <v>0</v>
      </c>
      <c r="P674" s="14"/>
      <c r="Q674" s="14"/>
      <c r="R674" s="14"/>
      <c r="S674" s="14" t="s">
        <v>2933</v>
      </c>
      <c r="T674" s="14"/>
      <c r="U674" s="17"/>
      <c r="V674" s="14"/>
      <c r="W674" s="14"/>
      <c r="X674" s="18"/>
      <c r="Y674" s="18"/>
      <c r="Z674" s="18"/>
      <c r="AA674" s="19">
        <f t="shared" si="1"/>
        <v>8</v>
      </c>
      <c r="AB674" s="19" t="str">
        <f t="shared" si="2"/>
        <v/>
      </c>
      <c r="AC674" s="19"/>
    </row>
    <row r="675" ht="15.75" customHeight="1">
      <c r="A675" s="12">
        <v>45166.0</v>
      </c>
      <c r="B675" s="13" t="s">
        <v>28</v>
      </c>
      <c r="C675" s="14" t="s">
        <v>2934</v>
      </c>
      <c r="D675" s="14" t="s">
        <v>2935</v>
      </c>
      <c r="E675" s="14"/>
      <c r="F675" s="14" t="s">
        <v>4537</v>
      </c>
      <c r="G675" s="14"/>
      <c r="H675" s="14"/>
      <c r="I675" s="15" t="s">
        <v>2936</v>
      </c>
      <c r="J675" s="14"/>
      <c r="K675" s="197">
        <v>9.12384616E8</v>
      </c>
      <c r="L675" s="14" t="s">
        <v>2937</v>
      </c>
      <c r="M675" s="14" t="s">
        <v>111</v>
      </c>
      <c r="N675" s="14" t="s">
        <v>565</v>
      </c>
      <c r="O675" s="14" t="b">
        <v>0</v>
      </c>
      <c r="P675" s="14"/>
      <c r="Q675" s="14"/>
      <c r="R675" s="14"/>
      <c r="S675" s="14" t="s">
        <v>2938</v>
      </c>
      <c r="T675" s="14" t="s">
        <v>4197</v>
      </c>
      <c r="U675" s="17"/>
      <c r="V675" s="14"/>
      <c r="W675" s="14"/>
      <c r="X675" s="18"/>
      <c r="Y675" s="18"/>
      <c r="Z675" s="18"/>
      <c r="AA675" s="19">
        <f t="shared" si="1"/>
        <v>8</v>
      </c>
      <c r="AB675" s="19" t="str">
        <f t="shared" si="2"/>
        <v/>
      </c>
      <c r="AC675" s="19"/>
    </row>
    <row r="676" ht="15.75" customHeight="1">
      <c r="A676" s="12">
        <v>45166.0</v>
      </c>
      <c r="B676" s="13" t="s">
        <v>28</v>
      </c>
      <c r="C676" s="14" t="s">
        <v>2939</v>
      </c>
      <c r="D676" s="14"/>
      <c r="E676" s="14"/>
      <c r="F676" s="14"/>
      <c r="G676" s="14"/>
      <c r="H676" s="14"/>
      <c r="I676" s="15" t="s">
        <v>2940</v>
      </c>
      <c r="J676" s="14"/>
      <c r="K676" s="14"/>
      <c r="L676" s="14" t="s">
        <v>2941</v>
      </c>
      <c r="M676" s="14" t="s">
        <v>111</v>
      </c>
      <c r="N676" s="14" t="s">
        <v>216</v>
      </c>
      <c r="O676" s="14" t="b">
        <v>0</v>
      </c>
      <c r="P676" s="14"/>
      <c r="Q676" s="14"/>
      <c r="R676" s="14"/>
      <c r="S676" s="14" t="s">
        <v>2942</v>
      </c>
      <c r="T676" s="14" t="s">
        <v>4096</v>
      </c>
      <c r="U676" s="17"/>
      <c r="V676" s="14"/>
      <c r="W676" s="14"/>
      <c r="X676" s="18"/>
      <c r="Y676" s="18"/>
      <c r="Z676" s="18"/>
      <c r="AA676" s="19">
        <f t="shared" si="1"/>
        <v>8</v>
      </c>
      <c r="AB676" s="19" t="str">
        <f t="shared" si="2"/>
        <v/>
      </c>
      <c r="AC676" s="19"/>
    </row>
    <row r="677" ht="15.75" customHeight="1">
      <c r="A677" s="12">
        <v>45167.0</v>
      </c>
      <c r="B677" s="13" t="s">
        <v>28</v>
      </c>
      <c r="C677" s="14" t="s">
        <v>2943</v>
      </c>
      <c r="D677" s="14"/>
      <c r="E677" s="14"/>
      <c r="F677" s="14"/>
      <c r="G677" s="14"/>
      <c r="H677" s="14"/>
      <c r="I677" s="15" t="s">
        <v>2944</v>
      </c>
      <c r="J677" s="14"/>
      <c r="K677" s="14"/>
      <c r="L677" s="14" t="s">
        <v>2941</v>
      </c>
      <c r="M677" s="14" t="s">
        <v>111</v>
      </c>
      <c r="N677" s="14" t="s">
        <v>216</v>
      </c>
      <c r="O677" s="14" t="b">
        <v>0</v>
      </c>
      <c r="P677" s="14"/>
      <c r="Q677" s="14"/>
      <c r="R677" s="14"/>
      <c r="S677" s="14" t="s">
        <v>2942</v>
      </c>
      <c r="T677" s="14" t="s">
        <v>4096</v>
      </c>
      <c r="U677" s="17"/>
      <c r="V677" s="14"/>
      <c r="W677" s="14"/>
      <c r="X677" s="18"/>
      <c r="Y677" s="18"/>
      <c r="Z677" s="18"/>
      <c r="AA677" s="19">
        <f t="shared" si="1"/>
        <v>8</v>
      </c>
      <c r="AB677" s="19" t="str">
        <f t="shared" si="2"/>
        <v/>
      </c>
      <c r="AC677" s="19"/>
    </row>
    <row r="678" ht="15.75" customHeight="1">
      <c r="A678" s="12">
        <v>45167.0</v>
      </c>
      <c r="B678" s="13" t="s">
        <v>28</v>
      </c>
      <c r="C678" s="14" t="s">
        <v>2945</v>
      </c>
      <c r="D678" s="14" t="s">
        <v>2946</v>
      </c>
      <c r="E678" s="14"/>
      <c r="F678" s="142">
        <v>40950.0</v>
      </c>
      <c r="G678" s="14">
        <v>6.0</v>
      </c>
      <c r="H678" s="14"/>
      <c r="I678" s="15" t="s">
        <v>2947</v>
      </c>
      <c r="J678" s="14"/>
      <c r="K678" s="14"/>
      <c r="L678" s="14"/>
      <c r="M678" s="14" t="s">
        <v>111</v>
      </c>
      <c r="N678" s="14" t="s">
        <v>13</v>
      </c>
      <c r="O678" s="14" t="b">
        <v>1</v>
      </c>
      <c r="P678" s="14" t="s">
        <v>2948</v>
      </c>
      <c r="Q678" s="14"/>
      <c r="R678" s="14"/>
      <c r="S678" s="14" t="s">
        <v>2949</v>
      </c>
      <c r="T678" s="14" t="s">
        <v>4432</v>
      </c>
      <c r="U678" s="17"/>
      <c r="V678" s="14"/>
      <c r="W678" s="14"/>
      <c r="X678" s="18"/>
      <c r="Y678" s="18"/>
      <c r="Z678" s="18"/>
      <c r="AA678" s="19">
        <f t="shared" si="1"/>
        <v>8</v>
      </c>
      <c r="AB678" s="19" t="str">
        <f t="shared" si="2"/>
        <v/>
      </c>
      <c r="AC678" s="19"/>
    </row>
    <row r="679" ht="15.75" customHeight="1">
      <c r="A679" s="12">
        <v>45167.0</v>
      </c>
      <c r="B679" s="13" t="s">
        <v>28</v>
      </c>
      <c r="C679" s="14" t="s">
        <v>2945</v>
      </c>
      <c r="D679" s="14" t="s">
        <v>2950</v>
      </c>
      <c r="E679" s="14" t="s">
        <v>4538</v>
      </c>
      <c r="F679" s="142">
        <v>41831.0</v>
      </c>
      <c r="G679" s="14">
        <v>4.0</v>
      </c>
      <c r="H679" s="14"/>
      <c r="I679" s="15" t="s">
        <v>2947</v>
      </c>
      <c r="J679" s="14"/>
      <c r="K679" s="14"/>
      <c r="L679" s="14"/>
      <c r="M679" s="14" t="s">
        <v>111</v>
      </c>
      <c r="N679" s="14" t="s">
        <v>13</v>
      </c>
      <c r="O679" s="14" t="b">
        <v>1</v>
      </c>
      <c r="P679" s="14" t="s">
        <v>2951</v>
      </c>
      <c r="Q679" s="14"/>
      <c r="R679" s="14"/>
      <c r="S679" s="14" t="s">
        <v>2949</v>
      </c>
      <c r="T679" s="14" t="s">
        <v>4432</v>
      </c>
      <c r="U679" s="17"/>
      <c r="V679" s="14"/>
      <c r="W679" s="14"/>
      <c r="X679" s="18"/>
      <c r="Y679" s="18"/>
      <c r="Z679" s="18"/>
      <c r="AA679" s="19">
        <f t="shared" si="1"/>
        <v>8</v>
      </c>
      <c r="AB679" s="19" t="str">
        <f t="shared" si="2"/>
        <v/>
      </c>
      <c r="AC679" s="19"/>
    </row>
    <row r="680" ht="15.75" customHeight="1">
      <c r="A680" s="12">
        <v>45168.0</v>
      </c>
      <c r="B680" s="13" t="s">
        <v>28</v>
      </c>
      <c r="C680" s="14" t="s">
        <v>2952</v>
      </c>
      <c r="D680" s="14"/>
      <c r="E680" s="14"/>
      <c r="F680" s="14"/>
      <c r="G680" s="14"/>
      <c r="H680" s="14"/>
      <c r="I680" s="15" t="s">
        <v>2953</v>
      </c>
      <c r="J680" s="14"/>
      <c r="K680" s="14"/>
      <c r="L680" s="14"/>
      <c r="M680" s="14" t="s">
        <v>111</v>
      </c>
      <c r="N680" s="14" t="s">
        <v>565</v>
      </c>
      <c r="O680" s="14" t="b">
        <v>0</v>
      </c>
      <c r="P680" s="14"/>
      <c r="Q680" s="14"/>
      <c r="R680" s="14"/>
      <c r="S680" s="14" t="s">
        <v>2954</v>
      </c>
      <c r="T680" s="14" t="s">
        <v>4432</v>
      </c>
      <c r="U680" s="17"/>
      <c r="V680" s="14"/>
      <c r="W680" s="14"/>
      <c r="X680" s="18"/>
      <c r="Y680" s="18"/>
      <c r="Z680" s="18"/>
      <c r="AA680" s="19">
        <f t="shared" si="1"/>
        <v>8</v>
      </c>
      <c r="AB680" s="19" t="str">
        <f t="shared" si="2"/>
        <v/>
      </c>
      <c r="AC680" s="19"/>
    </row>
    <row r="681" ht="15.75" customHeight="1">
      <c r="A681" s="26">
        <v>45169.0</v>
      </c>
      <c r="B681" s="13" t="s">
        <v>28</v>
      </c>
      <c r="C681" s="27" t="s">
        <v>2955</v>
      </c>
      <c r="D681" s="27" t="s">
        <v>2956</v>
      </c>
      <c r="E681" s="27"/>
      <c r="F681" s="27">
        <v>2014.0</v>
      </c>
      <c r="G681" s="27">
        <v>4.0</v>
      </c>
      <c r="H681" s="27"/>
      <c r="I681" s="34" t="s">
        <v>2957</v>
      </c>
      <c r="J681" s="27"/>
      <c r="K681" s="27"/>
      <c r="L681" s="27"/>
      <c r="M681" s="27" t="s">
        <v>111</v>
      </c>
      <c r="N681" s="27" t="s">
        <v>67</v>
      </c>
      <c r="O681" s="14" t="b">
        <v>1</v>
      </c>
      <c r="P681" s="27" t="s">
        <v>2958</v>
      </c>
      <c r="Q681" s="27" t="s">
        <v>4432</v>
      </c>
      <c r="R681" s="27"/>
      <c r="S681" s="27" t="s">
        <v>2959</v>
      </c>
      <c r="T681" s="27"/>
      <c r="U681" s="26"/>
      <c r="V681" s="32">
        <v>45177.0</v>
      </c>
      <c r="W681" s="27" t="s">
        <v>4207</v>
      </c>
      <c r="X681" s="25">
        <v>3062000.0</v>
      </c>
      <c r="Y681" s="25">
        <v>398000.0</v>
      </c>
      <c r="Z681" s="25">
        <v>2664000.0</v>
      </c>
      <c r="AA681" s="19">
        <f t="shared" si="1"/>
        <v>8</v>
      </c>
      <c r="AB681" s="19">
        <f t="shared" si="2"/>
        <v>9</v>
      </c>
      <c r="AC681" s="19"/>
    </row>
    <row r="682" ht="15.75" customHeight="1">
      <c r="A682" s="12">
        <v>45170.0</v>
      </c>
      <c r="B682" s="13" t="s">
        <v>28</v>
      </c>
      <c r="C682" s="14" t="s">
        <v>2960</v>
      </c>
      <c r="D682" s="14"/>
      <c r="E682" s="14"/>
      <c r="F682" s="14"/>
      <c r="G682" s="14"/>
      <c r="H682" s="14"/>
      <c r="I682" s="15" t="s">
        <v>2961</v>
      </c>
      <c r="J682" s="14"/>
      <c r="K682" s="14"/>
      <c r="L682" s="14"/>
      <c r="M682" s="14" t="s">
        <v>111</v>
      </c>
      <c r="N682" s="14" t="s">
        <v>216</v>
      </c>
      <c r="O682" s="14" t="b">
        <v>0</v>
      </c>
      <c r="P682" s="14"/>
      <c r="Q682" s="14"/>
      <c r="R682" s="14"/>
      <c r="S682" s="14" t="s">
        <v>2962</v>
      </c>
      <c r="T682" s="14"/>
      <c r="U682" s="17"/>
      <c r="V682" s="14"/>
      <c r="W682" s="14"/>
      <c r="X682" s="18"/>
      <c r="Y682" s="18"/>
      <c r="Z682" s="18"/>
      <c r="AA682" s="19">
        <f t="shared" si="1"/>
        <v>9</v>
      </c>
      <c r="AB682" s="19" t="str">
        <f t="shared" si="2"/>
        <v/>
      </c>
      <c r="AC682" s="19"/>
    </row>
    <row r="683" ht="15.75" customHeight="1">
      <c r="A683" s="26">
        <v>45171.0</v>
      </c>
      <c r="B683" s="27" t="s">
        <v>84</v>
      </c>
      <c r="C683" s="27" t="s">
        <v>2963</v>
      </c>
      <c r="D683" s="27" t="s">
        <v>2964</v>
      </c>
      <c r="E683" s="27"/>
      <c r="F683" s="27">
        <v>2015.0</v>
      </c>
      <c r="G683" s="27">
        <v>3.0</v>
      </c>
      <c r="H683" s="27"/>
      <c r="I683" s="34" t="s">
        <v>2965</v>
      </c>
      <c r="J683" s="27"/>
      <c r="K683" s="27"/>
      <c r="L683" s="27" t="s">
        <v>2966</v>
      </c>
      <c r="M683" s="27" t="s">
        <v>111</v>
      </c>
      <c r="N683" s="27" t="s">
        <v>67</v>
      </c>
      <c r="O683" s="14" t="b">
        <v>1</v>
      </c>
      <c r="P683" s="27" t="s">
        <v>2967</v>
      </c>
      <c r="Q683" s="27" t="s">
        <v>4432</v>
      </c>
      <c r="R683" s="27"/>
      <c r="S683" s="27" t="s">
        <v>2968</v>
      </c>
      <c r="T683" s="27" t="s">
        <v>4432</v>
      </c>
      <c r="U683" s="26">
        <v>45176.0</v>
      </c>
      <c r="V683" s="32">
        <v>45181.0</v>
      </c>
      <c r="W683" s="27" t="s">
        <v>4207</v>
      </c>
      <c r="X683" s="25">
        <v>3062000.0</v>
      </c>
      <c r="Y683" s="25">
        <v>398000.0</v>
      </c>
      <c r="Z683" s="25">
        <v>2664000.0</v>
      </c>
      <c r="AA683" s="19">
        <f t="shared" si="1"/>
        <v>9</v>
      </c>
      <c r="AB683" s="19">
        <f t="shared" si="2"/>
        <v>9</v>
      </c>
      <c r="AC683" s="19"/>
    </row>
    <row r="684" ht="15.75" customHeight="1">
      <c r="A684" s="26">
        <v>45174.0</v>
      </c>
      <c r="B684" s="27" t="s">
        <v>201</v>
      </c>
      <c r="C684" s="27" t="s">
        <v>4539</v>
      </c>
      <c r="D684" s="27" t="s">
        <v>2970</v>
      </c>
      <c r="E684" s="27"/>
      <c r="F684" s="27"/>
      <c r="G684" s="27"/>
      <c r="H684" s="27"/>
      <c r="I684" s="34" t="s">
        <v>2971</v>
      </c>
      <c r="J684" s="27"/>
      <c r="K684" s="27"/>
      <c r="L684" s="27" t="s">
        <v>2972</v>
      </c>
      <c r="M684" s="27" t="s">
        <v>111</v>
      </c>
      <c r="N684" s="27" t="s">
        <v>67</v>
      </c>
      <c r="O684" s="14" t="b">
        <v>1</v>
      </c>
      <c r="P684" s="27" t="s">
        <v>2973</v>
      </c>
      <c r="Q684" s="27" t="s">
        <v>4432</v>
      </c>
      <c r="R684" s="27"/>
      <c r="S684" s="27" t="s">
        <v>2974</v>
      </c>
      <c r="T684" s="27"/>
      <c r="U684" s="26"/>
      <c r="V684" s="32">
        <v>45178.0</v>
      </c>
      <c r="W684" s="27" t="s">
        <v>4194</v>
      </c>
      <c r="X684" s="25">
        <v>5116000.0</v>
      </c>
      <c r="Y684" s="25">
        <v>767000.0</v>
      </c>
      <c r="Z684" s="25">
        <v>4349000.0</v>
      </c>
      <c r="AA684" s="19">
        <f t="shared" si="1"/>
        <v>9</v>
      </c>
      <c r="AB684" s="19">
        <f t="shared" si="2"/>
        <v>9</v>
      </c>
      <c r="AC684" s="19"/>
    </row>
    <row r="685" ht="15.75" customHeight="1">
      <c r="A685" s="26">
        <v>45174.0</v>
      </c>
      <c r="B685" s="13" t="s">
        <v>28</v>
      </c>
      <c r="C685" s="27" t="s">
        <v>2975</v>
      </c>
      <c r="D685" s="27" t="s">
        <v>2976</v>
      </c>
      <c r="E685" s="27"/>
      <c r="F685" s="27">
        <v>2012.0</v>
      </c>
      <c r="G685" s="27"/>
      <c r="H685" s="27"/>
      <c r="I685" s="34" t="s">
        <v>2977</v>
      </c>
      <c r="J685" s="27"/>
      <c r="K685" s="27"/>
      <c r="L685" s="326"/>
      <c r="M685" s="27" t="s">
        <v>111</v>
      </c>
      <c r="N685" s="27" t="s">
        <v>67</v>
      </c>
      <c r="O685" s="14" t="b">
        <v>1</v>
      </c>
      <c r="P685" s="27" t="s">
        <v>2978</v>
      </c>
      <c r="Q685" s="27"/>
      <c r="R685" s="27"/>
      <c r="S685" s="27" t="s">
        <v>2979</v>
      </c>
      <c r="T685" s="27" t="s">
        <v>4432</v>
      </c>
      <c r="U685" s="26"/>
      <c r="V685" s="32">
        <v>45176.0</v>
      </c>
      <c r="W685" s="27" t="s">
        <v>4207</v>
      </c>
      <c r="X685" s="25">
        <v>6124000.0</v>
      </c>
      <c r="Y685" s="25">
        <v>796000.0</v>
      </c>
      <c r="Z685" s="25">
        <v>5328000.0</v>
      </c>
      <c r="AA685" s="19">
        <f t="shared" si="1"/>
        <v>9</v>
      </c>
      <c r="AB685" s="19">
        <f t="shared" si="2"/>
        <v>9</v>
      </c>
      <c r="AC685" s="19"/>
    </row>
    <row r="686" ht="15.75" customHeight="1">
      <c r="A686" s="12">
        <v>45175.0</v>
      </c>
      <c r="B686" s="13" t="s">
        <v>28</v>
      </c>
      <c r="C686" s="14" t="s">
        <v>2980</v>
      </c>
      <c r="D686" s="14" t="s">
        <v>2981</v>
      </c>
      <c r="E686" s="14"/>
      <c r="F686" s="14">
        <v>2012.0</v>
      </c>
      <c r="G686" s="14">
        <v>6.0</v>
      </c>
      <c r="H686" s="14"/>
      <c r="I686" s="15" t="s">
        <v>2982</v>
      </c>
      <c r="J686" s="14"/>
      <c r="K686" s="14"/>
      <c r="L686" s="14" t="s">
        <v>2983</v>
      </c>
      <c r="M686" s="14" t="s">
        <v>111</v>
      </c>
      <c r="N686" s="14" t="s">
        <v>565</v>
      </c>
      <c r="O686" s="14" t="b">
        <v>0</v>
      </c>
      <c r="P686" s="14"/>
      <c r="Q686" s="14"/>
      <c r="R686" s="14"/>
      <c r="S686" s="285" t="s">
        <v>2984</v>
      </c>
      <c r="T686" s="335"/>
      <c r="U686" s="17"/>
      <c r="V686" s="14"/>
      <c r="W686" s="14"/>
      <c r="X686" s="18"/>
      <c r="Y686" s="18"/>
      <c r="Z686" s="18"/>
      <c r="AA686" s="19">
        <f t="shared" si="1"/>
        <v>9</v>
      </c>
      <c r="AB686" s="19" t="str">
        <f t="shared" si="2"/>
        <v/>
      </c>
      <c r="AC686" s="19"/>
    </row>
    <row r="687" ht="15.75" customHeight="1">
      <c r="A687" s="12">
        <v>45175.0</v>
      </c>
      <c r="B687" s="13" t="s">
        <v>28</v>
      </c>
      <c r="C687" s="198"/>
      <c r="D687" s="14" t="s">
        <v>2985</v>
      </c>
      <c r="E687" s="329"/>
      <c r="F687" s="142">
        <v>41054.0</v>
      </c>
      <c r="G687" s="14"/>
      <c r="H687" s="14"/>
      <c r="I687" s="15" t="s">
        <v>2986</v>
      </c>
      <c r="J687" s="14"/>
      <c r="K687" s="14"/>
      <c r="L687" s="14" t="s">
        <v>2987</v>
      </c>
      <c r="M687" s="14" t="s">
        <v>111</v>
      </c>
      <c r="N687" s="14" t="s">
        <v>216</v>
      </c>
      <c r="O687" s="14" t="b">
        <v>0</v>
      </c>
      <c r="P687" s="14"/>
      <c r="Q687" s="14"/>
      <c r="R687" s="14"/>
      <c r="S687" s="336" t="s">
        <v>2988</v>
      </c>
      <c r="T687" s="337"/>
      <c r="U687" s="17"/>
      <c r="V687" s="14"/>
      <c r="W687" s="14"/>
      <c r="X687" s="18"/>
      <c r="Y687" s="18"/>
      <c r="Z687" s="18"/>
      <c r="AA687" s="19">
        <f t="shared" si="1"/>
        <v>9</v>
      </c>
      <c r="AB687" s="19" t="str">
        <f t="shared" si="2"/>
        <v/>
      </c>
      <c r="AC687" s="19"/>
    </row>
    <row r="688" ht="15.75" customHeight="1">
      <c r="A688" s="12">
        <v>45175.0</v>
      </c>
      <c r="B688" s="14" t="s">
        <v>84</v>
      </c>
      <c r="C688" s="14" t="s">
        <v>2989</v>
      </c>
      <c r="D688" s="14" t="s">
        <v>2990</v>
      </c>
      <c r="E688" s="14"/>
      <c r="F688" s="142"/>
      <c r="G688" s="14"/>
      <c r="H688" s="14"/>
      <c r="I688" s="15" t="s">
        <v>2991</v>
      </c>
      <c r="J688" s="14"/>
      <c r="K688" s="14"/>
      <c r="L688" s="14" t="s">
        <v>2992</v>
      </c>
      <c r="M688" s="14" t="s">
        <v>111</v>
      </c>
      <c r="N688" s="14" t="s">
        <v>34</v>
      </c>
      <c r="O688" s="14" t="b">
        <v>0</v>
      </c>
      <c r="P688" s="14"/>
      <c r="Q688" s="14"/>
      <c r="R688" s="14"/>
      <c r="S688" s="336" t="s">
        <v>2993</v>
      </c>
      <c r="T688" s="338" t="s">
        <v>4069</v>
      </c>
      <c r="U688" s="17"/>
      <c r="V688" s="14"/>
      <c r="W688" s="14"/>
      <c r="X688" s="18"/>
      <c r="Y688" s="18"/>
      <c r="Z688" s="18"/>
      <c r="AA688" s="19">
        <f t="shared" si="1"/>
        <v>9</v>
      </c>
      <c r="AB688" s="19" t="str">
        <f t="shared" si="2"/>
        <v/>
      </c>
      <c r="AC688" s="19"/>
    </row>
    <row r="689" ht="15.75" customHeight="1">
      <c r="A689" s="26">
        <v>45175.0</v>
      </c>
      <c r="B689" s="27" t="s">
        <v>60</v>
      </c>
      <c r="C689" s="27" t="s">
        <v>4540</v>
      </c>
      <c r="D689" s="27" t="s">
        <v>4540</v>
      </c>
      <c r="E689" s="27"/>
      <c r="F689" s="32">
        <v>41011.0</v>
      </c>
      <c r="G689" s="27">
        <v>6.0</v>
      </c>
      <c r="H689" s="27"/>
      <c r="I689" s="34" t="s">
        <v>2996</v>
      </c>
      <c r="J689" s="27"/>
      <c r="K689" s="27"/>
      <c r="L689" s="27" t="s">
        <v>2997</v>
      </c>
      <c r="M689" s="27" t="s">
        <v>111</v>
      </c>
      <c r="N689" s="27" t="s">
        <v>67</v>
      </c>
      <c r="O689" s="14" t="b">
        <v>1</v>
      </c>
      <c r="P689" s="27" t="s">
        <v>2998</v>
      </c>
      <c r="Q689" s="27"/>
      <c r="R689" s="27"/>
      <c r="S689" s="200" t="s">
        <v>2999</v>
      </c>
      <c r="T689" s="339" t="s">
        <v>4432</v>
      </c>
      <c r="U689" s="26"/>
      <c r="V689" s="32">
        <v>45177.0</v>
      </c>
      <c r="W689" s="27" t="s">
        <v>4207</v>
      </c>
      <c r="X689" s="25">
        <v>3062000.0</v>
      </c>
      <c r="Y689" s="25">
        <v>398000.0</v>
      </c>
      <c r="Z689" s="25">
        <v>2664000.0</v>
      </c>
      <c r="AA689" s="19">
        <f t="shared" si="1"/>
        <v>9</v>
      </c>
      <c r="AB689" s="19">
        <f t="shared" si="2"/>
        <v>9</v>
      </c>
      <c r="AC689" s="19"/>
    </row>
    <row r="690" ht="15.75" customHeight="1">
      <c r="A690" s="26">
        <v>45175.0</v>
      </c>
      <c r="B690" s="13" t="s">
        <v>28</v>
      </c>
      <c r="C690" s="27" t="s">
        <v>3000</v>
      </c>
      <c r="D690" s="27" t="s">
        <v>3001</v>
      </c>
      <c r="E690" s="27"/>
      <c r="F690" s="27">
        <v>2015.0</v>
      </c>
      <c r="G690" s="27">
        <v>3.0</v>
      </c>
      <c r="H690" s="27"/>
      <c r="I690" s="34" t="s">
        <v>3002</v>
      </c>
      <c r="J690" s="27"/>
      <c r="K690" s="27"/>
      <c r="L690" s="27" t="s">
        <v>91</v>
      </c>
      <c r="M690" s="27" t="s">
        <v>111</v>
      </c>
      <c r="N690" s="27" t="s">
        <v>67</v>
      </c>
      <c r="O690" s="14" t="b">
        <v>1</v>
      </c>
      <c r="P690" s="27" t="s">
        <v>3003</v>
      </c>
      <c r="Q690" s="27"/>
      <c r="R690" s="27"/>
      <c r="S690" s="340" t="s">
        <v>3004</v>
      </c>
      <c r="T690" s="341"/>
      <c r="U690" s="26"/>
      <c r="V690" s="32">
        <v>45178.0</v>
      </c>
      <c r="W690" s="27" t="s">
        <v>4207</v>
      </c>
      <c r="X690" s="25">
        <v>3062000.0</v>
      </c>
      <c r="Y690" s="25">
        <v>398000.0</v>
      </c>
      <c r="Z690" s="25">
        <v>2664000.0</v>
      </c>
      <c r="AA690" s="19">
        <f t="shared" si="1"/>
        <v>9</v>
      </c>
      <c r="AB690" s="19">
        <f t="shared" si="2"/>
        <v>9</v>
      </c>
      <c r="AC690" s="19"/>
    </row>
    <row r="691" ht="15.75" customHeight="1">
      <c r="A691" s="12">
        <v>45175.0</v>
      </c>
      <c r="B691" s="14" t="s">
        <v>73</v>
      </c>
      <c r="C691" s="14" t="s">
        <v>3005</v>
      </c>
      <c r="D691" s="14" t="s">
        <v>3006</v>
      </c>
      <c r="E691" s="14"/>
      <c r="F691" s="14">
        <v>2011.0</v>
      </c>
      <c r="G691" s="14">
        <v>7.0</v>
      </c>
      <c r="H691" s="14"/>
      <c r="I691" s="15" t="s">
        <v>3007</v>
      </c>
      <c r="J691" s="14"/>
      <c r="K691" s="14"/>
      <c r="L691" s="14" t="s">
        <v>3008</v>
      </c>
      <c r="M691" s="14" t="s">
        <v>111</v>
      </c>
      <c r="N691" s="14" t="s">
        <v>565</v>
      </c>
      <c r="O691" s="14" t="b">
        <v>0</v>
      </c>
      <c r="P691" s="14"/>
      <c r="Q691" s="14"/>
      <c r="R691" s="14"/>
      <c r="S691" s="336" t="s">
        <v>3009</v>
      </c>
      <c r="T691" s="338" t="s">
        <v>4432</v>
      </c>
      <c r="U691" s="17"/>
      <c r="V691" s="14"/>
      <c r="W691" s="14"/>
      <c r="X691" s="18"/>
      <c r="Y691" s="18"/>
      <c r="Z691" s="18"/>
      <c r="AA691" s="19">
        <f t="shared" si="1"/>
        <v>9</v>
      </c>
      <c r="AB691" s="19" t="str">
        <f t="shared" si="2"/>
        <v/>
      </c>
      <c r="AC691" s="19"/>
    </row>
    <row r="692" ht="15.75" customHeight="1">
      <c r="A692" s="12">
        <v>45175.0</v>
      </c>
      <c r="B692" s="13" t="s">
        <v>28</v>
      </c>
      <c r="C692" s="14" t="s">
        <v>3010</v>
      </c>
      <c r="D692" s="14" t="s">
        <v>3011</v>
      </c>
      <c r="E692" s="14"/>
      <c r="F692" s="14" t="s">
        <v>4349</v>
      </c>
      <c r="G692" s="14"/>
      <c r="H692" s="14"/>
      <c r="I692" s="15" t="s">
        <v>3012</v>
      </c>
      <c r="J692" s="14"/>
      <c r="K692" s="14"/>
      <c r="L692" s="14" t="s">
        <v>91</v>
      </c>
      <c r="M692" s="14" t="s">
        <v>111</v>
      </c>
      <c r="N692" s="14" t="s">
        <v>13</v>
      </c>
      <c r="O692" s="14" t="b">
        <v>1</v>
      </c>
      <c r="P692" s="15" t="s">
        <v>3013</v>
      </c>
      <c r="Q692" s="14"/>
      <c r="R692" s="14"/>
      <c r="S692" s="336" t="s">
        <v>3014</v>
      </c>
      <c r="T692" s="337"/>
      <c r="U692" s="17"/>
      <c r="V692" s="14"/>
      <c r="W692" s="14"/>
      <c r="X692" s="18"/>
      <c r="Y692" s="18"/>
      <c r="Z692" s="18"/>
      <c r="AA692" s="19">
        <f t="shared" si="1"/>
        <v>9</v>
      </c>
      <c r="AB692" s="19" t="str">
        <f t="shared" si="2"/>
        <v/>
      </c>
      <c r="AC692" s="19" t="s">
        <v>373</v>
      </c>
    </row>
    <row r="693" ht="15.75" customHeight="1">
      <c r="A693" s="26">
        <v>45175.0</v>
      </c>
      <c r="B693" s="13" t="s">
        <v>28</v>
      </c>
      <c r="C693" s="27" t="s">
        <v>3015</v>
      </c>
      <c r="D693" s="27" t="s">
        <v>3016</v>
      </c>
      <c r="E693" s="27"/>
      <c r="F693" s="27">
        <v>2014.0</v>
      </c>
      <c r="G693" s="27">
        <v>4.0</v>
      </c>
      <c r="H693" s="27"/>
      <c r="I693" s="34" t="s">
        <v>3017</v>
      </c>
      <c r="J693" s="27"/>
      <c r="K693" s="27"/>
      <c r="L693" s="27" t="s">
        <v>91</v>
      </c>
      <c r="M693" s="27" t="s">
        <v>111</v>
      </c>
      <c r="N693" s="27" t="s">
        <v>67</v>
      </c>
      <c r="O693" s="14" t="b">
        <v>1</v>
      </c>
      <c r="P693" s="27" t="s">
        <v>3018</v>
      </c>
      <c r="Q693" s="27"/>
      <c r="R693" s="27"/>
      <c r="S693" s="340" t="s">
        <v>3019</v>
      </c>
      <c r="T693" s="342" t="s">
        <v>4432</v>
      </c>
      <c r="U693" s="26"/>
      <c r="V693" s="32">
        <v>45178.0</v>
      </c>
      <c r="W693" s="27" t="s">
        <v>4207</v>
      </c>
      <c r="X693" s="25">
        <v>6124000.0</v>
      </c>
      <c r="Y693" s="25">
        <v>1102000.0</v>
      </c>
      <c r="Z693" s="25">
        <v>5022000.0</v>
      </c>
      <c r="AA693" s="19">
        <f t="shared" si="1"/>
        <v>9</v>
      </c>
      <c r="AB693" s="19">
        <f t="shared" si="2"/>
        <v>9</v>
      </c>
      <c r="AC693" s="19"/>
    </row>
    <row r="694" ht="15.75" customHeight="1">
      <c r="A694" s="26">
        <v>45176.0</v>
      </c>
      <c r="B694" s="27" t="s">
        <v>201</v>
      </c>
      <c r="C694" s="27" t="s">
        <v>3020</v>
      </c>
      <c r="D694" s="27" t="s">
        <v>3021</v>
      </c>
      <c r="E694" s="27"/>
      <c r="F694" s="27" t="s">
        <v>4178</v>
      </c>
      <c r="G694" s="27" t="s">
        <v>1073</v>
      </c>
      <c r="H694" s="27"/>
      <c r="I694" s="34" t="s">
        <v>3022</v>
      </c>
      <c r="J694" s="27"/>
      <c r="K694" s="27"/>
      <c r="L694" s="27" t="s">
        <v>91</v>
      </c>
      <c r="M694" s="27" t="s">
        <v>111</v>
      </c>
      <c r="N694" s="27" t="s">
        <v>67</v>
      </c>
      <c r="O694" s="14" t="b">
        <v>0</v>
      </c>
      <c r="P694" s="27" t="s">
        <v>3023</v>
      </c>
      <c r="Q694" s="27"/>
      <c r="R694" s="27"/>
      <c r="S694" s="340" t="s">
        <v>3024</v>
      </c>
      <c r="T694" s="342" t="s">
        <v>4432</v>
      </c>
      <c r="U694" s="26"/>
      <c r="V694" s="32">
        <v>45184.0</v>
      </c>
      <c r="W694" s="27" t="s">
        <v>4207</v>
      </c>
      <c r="X694" s="25">
        <v>6124000.0</v>
      </c>
      <c r="Y694" s="25">
        <v>796000.0</v>
      </c>
      <c r="Z694" s="25">
        <v>5328000.0</v>
      </c>
      <c r="AA694" s="19">
        <f t="shared" si="1"/>
        <v>9</v>
      </c>
      <c r="AB694" s="19">
        <f t="shared" si="2"/>
        <v>9</v>
      </c>
      <c r="AC694" s="19"/>
    </row>
    <row r="695" ht="15.75" customHeight="1">
      <c r="A695" s="26">
        <v>45176.0</v>
      </c>
      <c r="B695" s="13" t="s">
        <v>28</v>
      </c>
      <c r="C695" s="27" t="s">
        <v>2765</v>
      </c>
      <c r="D695" s="27" t="s">
        <v>3025</v>
      </c>
      <c r="E695" s="27"/>
      <c r="F695" s="27" t="s">
        <v>4541</v>
      </c>
      <c r="G695" s="27" t="s">
        <v>474</v>
      </c>
      <c r="H695" s="27"/>
      <c r="I695" s="34" t="s">
        <v>3026</v>
      </c>
      <c r="J695" s="27"/>
      <c r="K695" s="27"/>
      <c r="L695" s="27" t="s">
        <v>3027</v>
      </c>
      <c r="M695" s="27" t="s">
        <v>111</v>
      </c>
      <c r="N695" s="27" t="s">
        <v>67</v>
      </c>
      <c r="O695" s="14" t="b">
        <v>0</v>
      </c>
      <c r="P695" s="27" t="s">
        <v>3028</v>
      </c>
      <c r="Q695" s="27"/>
      <c r="R695" s="27"/>
      <c r="S695" s="340" t="s">
        <v>3029</v>
      </c>
      <c r="T695" s="342" t="s">
        <v>4432</v>
      </c>
      <c r="U695" s="26"/>
      <c r="V695" s="32">
        <v>45179.0</v>
      </c>
      <c r="W695" s="27" t="s">
        <v>4542</v>
      </c>
      <c r="X695" s="25">
        <v>4800000.0</v>
      </c>
      <c r="Y695" s="25">
        <v>624000.0</v>
      </c>
      <c r="Z695" s="25">
        <v>4176000.0</v>
      </c>
      <c r="AA695" s="19">
        <f t="shared" si="1"/>
        <v>9</v>
      </c>
      <c r="AB695" s="19">
        <f t="shared" si="2"/>
        <v>9</v>
      </c>
      <c r="AC695" s="19"/>
    </row>
    <row r="696" ht="15.75" customHeight="1">
      <c r="A696" s="12">
        <v>45176.0</v>
      </c>
      <c r="B696" s="13" t="s">
        <v>28</v>
      </c>
      <c r="C696" s="14" t="s">
        <v>3030</v>
      </c>
      <c r="D696" s="14" t="s">
        <v>3031</v>
      </c>
      <c r="E696" s="14"/>
      <c r="F696" s="14" t="s">
        <v>4543</v>
      </c>
      <c r="G696" s="14"/>
      <c r="H696" s="14"/>
      <c r="I696" s="15" t="s">
        <v>3032</v>
      </c>
      <c r="J696" s="14"/>
      <c r="K696" s="14"/>
      <c r="L696" s="14" t="s">
        <v>3033</v>
      </c>
      <c r="M696" s="14" t="s">
        <v>111</v>
      </c>
      <c r="N696" s="14" t="s">
        <v>34</v>
      </c>
      <c r="O696" s="14" t="b">
        <v>0</v>
      </c>
      <c r="P696" s="14"/>
      <c r="Q696" s="14"/>
      <c r="R696" s="14"/>
      <c r="S696" s="14" t="s">
        <v>3034</v>
      </c>
      <c r="T696" s="14" t="s">
        <v>4069</v>
      </c>
      <c r="U696" s="17"/>
      <c r="V696" s="14"/>
      <c r="W696" s="14"/>
      <c r="X696" s="18"/>
      <c r="Y696" s="18"/>
      <c r="Z696" s="18"/>
      <c r="AA696" s="19">
        <f t="shared" si="1"/>
        <v>9</v>
      </c>
      <c r="AB696" s="19" t="str">
        <f t="shared" si="2"/>
        <v/>
      </c>
      <c r="AC696" s="19"/>
    </row>
    <row r="697" ht="15.75" customHeight="1">
      <c r="A697" s="12">
        <v>45177.0</v>
      </c>
      <c r="B697" s="13" t="s">
        <v>28</v>
      </c>
      <c r="C697" s="14" t="s">
        <v>3035</v>
      </c>
      <c r="D697" s="14" t="s">
        <v>3036</v>
      </c>
      <c r="E697" s="14"/>
      <c r="F697" s="14">
        <v>2009.0</v>
      </c>
      <c r="G697" s="14">
        <v>8.0</v>
      </c>
      <c r="H697" s="14"/>
      <c r="I697" s="15" t="s">
        <v>3037</v>
      </c>
      <c r="J697" s="14"/>
      <c r="K697" s="14"/>
      <c r="L697" s="14" t="s">
        <v>3038</v>
      </c>
      <c r="M697" s="14" t="s">
        <v>111</v>
      </c>
      <c r="N697" s="14" t="s">
        <v>13</v>
      </c>
      <c r="O697" s="14" t="b">
        <v>1</v>
      </c>
      <c r="P697" s="14" t="s">
        <v>3039</v>
      </c>
      <c r="Q697" s="14"/>
      <c r="R697" s="14"/>
      <c r="S697" s="14" t="s">
        <v>3040</v>
      </c>
      <c r="T697" s="14"/>
      <c r="U697" s="17"/>
      <c r="V697" s="14"/>
      <c r="W697" s="14"/>
      <c r="X697" s="18"/>
      <c r="Y697" s="18"/>
      <c r="Z697" s="18"/>
      <c r="AA697" s="19">
        <f t="shared" si="1"/>
        <v>9</v>
      </c>
      <c r="AB697" s="19" t="str">
        <f t="shared" si="2"/>
        <v/>
      </c>
      <c r="AC697" s="19" t="s">
        <v>373</v>
      </c>
    </row>
    <row r="698" ht="15.75" customHeight="1">
      <c r="A698" s="12">
        <v>45180.0</v>
      </c>
      <c r="B698" s="13" t="s">
        <v>28</v>
      </c>
      <c r="C698" s="14" t="s">
        <v>3041</v>
      </c>
      <c r="D698" s="14" t="s">
        <v>3042</v>
      </c>
      <c r="E698" s="14"/>
      <c r="F698" s="14"/>
      <c r="G698" s="14"/>
      <c r="H698" s="14"/>
      <c r="I698" s="15" t="s">
        <v>3043</v>
      </c>
      <c r="J698" s="14"/>
      <c r="K698" s="14"/>
      <c r="L698" s="14"/>
      <c r="M698" s="14" t="s">
        <v>111</v>
      </c>
      <c r="N698" s="14" t="s">
        <v>216</v>
      </c>
      <c r="O698" s="14" t="b">
        <v>0</v>
      </c>
      <c r="P698" s="14"/>
      <c r="Q698" s="14"/>
      <c r="R698" s="14"/>
      <c r="S698" s="14" t="s">
        <v>3044</v>
      </c>
      <c r="T698" s="14"/>
      <c r="U698" s="17"/>
      <c r="V698" s="14"/>
      <c r="W698" s="14"/>
      <c r="X698" s="18"/>
      <c r="Y698" s="18"/>
      <c r="Z698" s="18"/>
      <c r="AA698" s="19">
        <f t="shared" si="1"/>
        <v>9</v>
      </c>
      <c r="AB698" s="19" t="str">
        <f t="shared" si="2"/>
        <v/>
      </c>
      <c r="AC698" s="19"/>
    </row>
    <row r="699" ht="15.75" customHeight="1">
      <c r="A699" s="12">
        <v>45180.0</v>
      </c>
      <c r="B699" s="14" t="s">
        <v>201</v>
      </c>
      <c r="C699" s="14" t="s">
        <v>4544</v>
      </c>
      <c r="D699" s="14"/>
      <c r="E699" s="14"/>
      <c r="F699" s="14"/>
      <c r="G699" s="14"/>
      <c r="H699" s="14"/>
      <c r="I699" s="15" t="s">
        <v>3045</v>
      </c>
      <c r="J699" s="14"/>
      <c r="K699" s="14"/>
      <c r="L699" s="14"/>
      <c r="M699" s="14" t="s">
        <v>111</v>
      </c>
      <c r="N699" s="14" t="s">
        <v>34</v>
      </c>
      <c r="O699" s="14" t="b">
        <v>0</v>
      </c>
      <c r="P699" s="14"/>
      <c r="Q699" s="14"/>
      <c r="R699" s="14"/>
      <c r="S699" s="14" t="s">
        <v>3046</v>
      </c>
      <c r="T699" s="14"/>
      <c r="U699" s="17"/>
      <c r="V699" s="14"/>
      <c r="W699" s="14"/>
      <c r="X699" s="18"/>
      <c r="Y699" s="18"/>
      <c r="Z699" s="18"/>
      <c r="AA699" s="19">
        <f t="shared" si="1"/>
        <v>9</v>
      </c>
      <c r="AB699" s="19" t="str">
        <f t="shared" si="2"/>
        <v/>
      </c>
      <c r="AC699" s="19"/>
    </row>
    <row r="700" ht="15.75" customHeight="1">
      <c r="A700" s="12">
        <v>45180.0</v>
      </c>
      <c r="B700" s="13" t="s">
        <v>28</v>
      </c>
      <c r="C700" s="14"/>
      <c r="D700" s="14" t="s">
        <v>3047</v>
      </c>
      <c r="E700" s="14"/>
      <c r="F700" s="14"/>
      <c r="G700" s="14"/>
      <c r="H700" s="14"/>
      <c r="I700" s="116" t="s">
        <v>3048</v>
      </c>
      <c r="J700" s="14"/>
      <c r="K700" s="14"/>
      <c r="L700" s="204" t="s">
        <v>4545</v>
      </c>
      <c r="M700" s="14" t="s">
        <v>111</v>
      </c>
      <c r="N700" s="14" t="s">
        <v>216</v>
      </c>
      <c r="O700" s="14" t="b">
        <v>0</v>
      </c>
      <c r="P700" s="14"/>
      <c r="Q700" s="14"/>
      <c r="R700" s="14"/>
      <c r="S700" s="14" t="s">
        <v>3050</v>
      </c>
      <c r="T700" s="14"/>
      <c r="U700" s="17"/>
      <c r="V700" s="14"/>
      <c r="W700" s="14"/>
      <c r="X700" s="18"/>
      <c r="Y700" s="18"/>
      <c r="Z700" s="18"/>
      <c r="AA700" s="19">
        <f t="shared" si="1"/>
        <v>9</v>
      </c>
      <c r="AB700" s="19" t="str">
        <f t="shared" si="2"/>
        <v/>
      </c>
      <c r="AC700" s="19"/>
    </row>
    <row r="701" ht="15.75" customHeight="1">
      <c r="A701" s="12">
        <v>45180.0</v>
      </c>
      <c r="B701" s="13" t="s">
        <v>28</v>
      </c>
      <c r="C701" s="14"/>
      <c r="D701" s="14" t="s">
        <v>3051</v>
      </c>
      <c r="E701" s="14"/>
      <c r="F701" s="14"/>
      <c r="G701" s="14"/>
      <c r="H701" s="14"/>
      <c r="I701" s="116" t="s">
        <v>3048</v>
      </c>
      <c r="J701" s="14"/>
      <c r="K701" s="14"/>
      <c r="L701" s="204" t="s">
        <v>4545</v>
      </c>
      <c r="M701" s="14" t="s">
        <v>111</v>
      </c>
      <c r="N701" s="14" t="s">
        <v>216</v>
      </c>
      <c r="O701" s="14" t="b">
        <v>0</v>
      </c>
      <c r="P701" s="14"/>
      <c r="Q701" s="14"/>
      <c r="R701" s="14"/>
      <c r="S701" s="14" t="s">
        <v>3052</v>
      </c>
      <c r="T701" s="14"/>
      <c r="U701" s="17"/>
      <c r="V701" s="14"/>
      <c r="W701" s="14"/>
      <c r="X701" s="18"/>
      <c r="Y701" s="18"/>
      <c r="Z701" s="18"/>
      <c r="AA701" s="19">
        <f t="shared" si="1"/>
        <v>9</v>
      </c>
      <c r="AB701" s="19" t="str">
        <f t="shared" si="2"/>
        <v/>
      </c>
      <c r="AC701" s="19"/>
    </row>
    <row r="702" ht="15.75" customHeight="1">
      <c r="A702" s="12">
        <v>45180.0</v>
      </c>
      <c r="B702" s="13" t="s">
        <v>28</v>
      </c>
      <c r="C702" s="14"/>
      <c r="D702" s="14" t="s">
        <v>3053</v>
      </c>
      <c r="E702" s="14"/>
      <c r="F702" s="59">
        <v>43538.0</v>
      </c>
      <c r="G702" s="14"/>
      <c r="H702" s="14"/>
      <c r="I702" s="15" t="s">
        <v>3054</v>
      </c>
      <c r="J702" s="14"/>
      <c r="K702" s="14"/>
      <c r="L702" s="204" t="s">
        <v>4545</v>
      </c>
      <c r="M702" s="14" t="s">
        <v>111</v>
      </c>
      <c r="N702" s="14" t="s">
        <v>565</v>
      </c>
      <c r="O702" s="14" t="b">
        <v>0</v>
      </c>
      <c r="P702" s="14"/>
      <c r="Q702" s="14"/>
      <c r="R702" s="14"/>
      <c r="S702" s="14" t="s">
        <v>3055</v>
      </c>
      <c r="T702" s="14"/>
      <c r="U702" s="17"/>
      <c r="V702" s="14"/>
      <c r="W702" s="14"/>
      <c r="X702" s="18"/>
      <c r="Y702" s="18"/>
      <c r="Z702" s="18"/>
      <c r="AA702" s="19">
        <f t="shared" si="1"/>
        <v>9</v>
      </c>
      <c r="AB702" s="19" t="str">
        <f t="shared" si="2"/>
        <v/>
      </c>
      <c r="AC702" s="19"/>
    </row>
    <row r="703" ht="15.75" customHeight="1">
      <c r="A703" s="12">
        <v>45180.0</v>
      </c>
      <c r="B703" s="13" t="s">
        <v>28</v>
      </c>
      <c r="C703" s="14"/>
      <c r="D703" s="14" t="s">
        <v>3056</v>
      </c>
      <c r="E703" s="14"/>
      <c r="F703" s="59">
        <v>41039.0</v>
      </c>
      <c r="G703" s="14"/>
      <c r="H703" s="14"/>
      <c r="I703" s="15" t="s">
        <v>3057</v>
      </c>
      <c r="J703" s="14"/>
      <c r="K703" s="14"/>
      <c r="L703" s="204" t="s">
        <v>4545</v>
      </c>
      <c r="M703" s="14" t="s">
        <v>111</v>
      </c>
      <c r="N703" s="14" t="s">
        <v>565</v>
      </c>
      <c r="O703" s="14" t="b">
        <v>0</v>
      </c>
      <c r="P703" s="14"/>
      <c r="Q703" s="14"/>
      <c r="R703" s="14"/>
      <c r="S703" s="14" t="s">
        <v>3058</v>
      </c>
      <c r="T703" s="14"/>
      <c r="U703" s="17"/>
      <c r="V703" s="14"/>
      <c r="W703" s="14"/>
      <c r="X703" s="18"/>
      <c r="Y703" s="18"/>
      <c r="Z703" s="18"/>
      <c r="AA703" s="19">
        <f t="shared" si="1"/>
        <v>9</v>
      </c>
      <c r="AB703" s="19" t="str">
        <f t="shared" si="2"/>
        <v/>
      </c>
      <c r="AC703" s="19"/>
    </row>
    <row r="704" ht="15.75" customHeight="1">
      <c r="A704" s="12">
        <v>45180.0</v>
      </c>
      <c r="B704" s="13" t="s">
        <v>28</v>
      </c>
      <c r="C704" s="14"/>
      <c r="D704" s="14" t="s">
        <v>3059</v>
      </c>
      <c r="E704" s="14"/>
      <c r="F704" s="59">
        <v>41519.0</v>
      </c>
      <c r="G704" s="14"/>
      <c r="H704" s="14"/>
      <c r="I704" s="15" t="s">
        <v>3060</v>
      </c>
      <c r="J704" s="14"/>
      <c r="K704" s="14"/>
      <c r="L704" s="204" t="s">
        <v>4545</v>
      </c>
      <c r="M704" s="14" t="s">
        <v>111</v>
      </c>
      <c r="N704" s="14" t="s">
        <v>565</v>
      </c>
      <c r="O704" s="14" t="b">
        <v>0</v>
      </c>
      <c r="P704" s="14"/>
      <c r="Q704" s="14"/>
      <c r="R704" s="14"/>
      <c r="S704" s="14" t="s">
        <v>3061</v>
      </c>
      <c r="T704" s="14"/>
      <c r="U704" s="17"/>
      <c r="V704" s="14"/>
      <c r="W704" s="14"/>
      <c r="X704" s="18"/>
      <c r="Y704" s="18"/>
      <c r="Z704" s="18"/>
      <c r="AA704" s="19">
        <f t="shared" si="1"/>
        <v>9</v>
      </c>
      <c r="AB704" s="19" t="str">
        <f t="shared" si="2"/>
        <v/>
      </c>
      <c r="AC704" s="19"/>
    </row>
    <row r="705" ht="15.75" customHeight="1">
      <c r="A705" s="12">
        <v>45180.0</v>
      </c>
      <c r="B705" s="13" t="s">
        <v>28</v>
      </c>
      <c r="C705" s="14"/>
      <c r="D705" s="14" t="s">
        <v>3062</v>
      </c>
      <c r="E705" s="14"/>
      <c r="F705" s="14" t="s">
        <v>4131</v>
      </c>
      <c r="G705" s="14"/>
      <c r="H705" s="14"/>
      <c r="I705" s="15" t="s">
        <v>3063</v>
      </c>
      <c r="J705" s="14"/>
      <c r="K705" s="14"/>
      <c r="L705" s="204" t="s">
        <v>4545</v>
      </c>
      <c r="M705" s="14" t="s">
        <v>111</v>
      </c>
      <c r="N705" s="14" t="s">
        <v>565</v>
      </c>
      <c r="O705" s="14" t="b">
        <v>0</v>
      </c>
      <c r="P705" s="14"/>
      <c r="Q705" s="14"/>
      <c r="R705" s="14"/>
      <c r="S705" s="14" t="s">
        <v>3064</v>
      </c>
      <c r="T705" s="14"/>
      <c r="U705" s="17"/>
      <c r="V705" s="14"/>
      <c r="W705" s="14"/>
      <c r="X705" s="18"/>
      <c r="Y705" s="18"/>
      <c r="Z705" s="18"/>
      <c r="AA705" s="19">
        <f t="shared" si="1"/>
        <v>9</v>
      </c>
      <c r="AB705" s="19" t="str">
        <f t="shared" si="2"/>
        <v/>
      </c>
      <c r="AC705" s="19"/>
    </row>
    <row r="706" ht="15.75" customHeight="1">
      <c r="A706" s="12">
        <v>45180.0</v>
      </c>
      <c r="B706" s="13" t="s">
        <v>28</v>
      </c>
      <c r="C706" s="14"/>
      <c r="D706" s="14" t="s">
        <v>3065</v>
      </c>
      <c r="E706" s="14"/>
      <c r="F706" s="59">
        <v>42756.0</v>
      </c>
      <c r="G706" s="14"/>
      <c r="H706" s="14"/>
      <c r="I706" s="15" t="s">
        <v>3066</v>
      </c>
      <c r="J706" s="14"/>
      <c r="K706" s="14"/>
      <c r="L706" s="204" t="s">
        <v>4545</v>
      </c>
      <c r="M706" s="14" t="s">
        <v>111</v>
      </c>
      <c r="N706" s="14" t="s">
        <v>216</v>
      </c>
      <c r="O706" s="14" t="b">
        <v>0</v>
      </c>
      <c r="P706" s="14"/>
      <c r="Q706" s="14"/>
      <c r="R706" s="14"/>
      <c r="S706" s="14" t="s">
        <v>3067</v>
      </c>
      <c r="T706" s="14"/>
      <c r="U706" s="17"/>
      <c r="V706" s="14"/>
      <c r="W706" s="14"/>
      <c r="X706" s="18"/>
      <c r="Y706" s="18"/>
      <c r="Z706" s="18"/>
      <c r="AA706" s="19">
        <f t="shared" si="1"/>
        <v>9</v>
      </c>
      <c r="AB706" s="19" t="str">
        <f t="shared" si="2"/>
        <v/>
      </c>
      <c r="AC706" s="19"/>
    </row>
    <row r="707" ht="15.75" customHeight="1">
      <c r="A707" s="12">
        <v>45181.0</v>
      </c>
      <c r="B707" s="13" t="s">
        <v>28</v>
      </c>
      <c r="C707" s="14"/>
      <c r="D707" s="14" t="s">
        <v>3068</v>
      </c>
      <c r="E707" s="14" t="s">
        <v>4546</v>
      </c>
      <c r="F707" s="14">
        <v>2013.0</v>
      </c>
      <c r="G707" s="14"/>
      <c r="H707" s="14"/>
      <c r="I707" s="15" t="s">
        <v>3069</v>
      </c>
      <c r="J707" s="14"/>
      <c r="K707" s="14"/>
      <c r="L707" s="204" t="s">
        <v>4545</v>
      </c>
      <c r="M707" s="14" t="s">
        <v>111</v>
      </c>
      <c r="N707" s="14" t="s">
        <v>565</v>
      </c>
      <c r="O707" s="14" t="b">
        <v>0</v>
      </c>
      <c r="P707" s="14"/>
      <c r="Q707" s="14"/>
      <c r="R707" s="14"/>
      <c r="S707" s="14" t="s">
        <v>3070</v>
      </c>
      <c r="T707" s="14"/>
      <c r="U707" s="17"/>
      <c r="V707" s="14"/>
      <c r="W707" s="14"/>
      <c r="X707" s="18"/>
      <c r="Y707" s="18"/>
      <c r="Z707" s="18"/>
      <c r="AA707" s="19">
        <f t="shared" si="1"/>
        <v>9</v>
      </c>
      <c r="AB707" s="19" t="str">
        <f t="shared" si="2"/>
        <v/>
      </c>
      <c r="AC707" s="19"/>
    </row>
    <row r="708" ht="15.75" customHeight="1">
      <c r="A708" s="12">
        <v>45181.0</v>
      </c>
      <c r="B708" s="13" t="s">
        <v>28</v>
      </c>
      <c r="C708" s="14"/>
      <c r="D708" s="14" t="s">
        <v>3071</v>
      </c>
      <c r="E708" s="14"/>
      <c r="F708" s="14" t="s">
        <v>4547</v>
      </c>
      <c r="G708" s="14"/>
      <c r="H708" s="14"/>
      <c r="I708" s="15" t="s">
        <v>3072</v>
      </c>
      <c r="J708" s="14"/>
      <c r="K708" s="14"/>
      <c r="L708" s="204" t="s">
        <v>4545</v>
      </c>
      <c r="M708" s="14" t="s">
        <v>111</v>
      </c>
      <c r="N708" s="14" t="s">
        <v>565</v>
      </c>
      <c r="O708" s="14" t="b">
        <v>0</v>
      </c>
      <c r="P708" s="14"/>
      <c r="Q708" s="14"/>
      <c r="R708" s="14"/>
      <c r="S708" s="14" t="s">
        <v>3073</v>
      </c>
      <c r="T708" s="14"/>
      <c r="U708" s="17"/>
      <c r="V708" s="14"/>
      <c r="W708" s="14"/>
      <c r="X708" s="18"/>
      <c r="Y708" s="18"/>
      <c r="Z708" s="18"/>
      <c r="AA708" s="19">
        <f t="shared" si="1"/>
        <v>9</v>
      </c>
      <c r="AB708" s="19" t="str">
        <f t="shared" si="2"/>
        <v/>
      </c>
      <c r="AC708" s="19"/>
    </row>
    <row r="709" ht="15.75" customHeight="1">
      <c r="A709" s="12">
        <v>45181.0</v>
      </c>
      <c r="B709" s="13" t="s">
        <v>28</v>
      </c>
      <c r="C709" s="14" t="s">
        <v>3074</v>
      </c>
      <c r="D709" s="14" t="s">
        <v>3075</v>
      </c>
      <c r="E709" s="14"/>
      <c r="F709" s="59">
        <v>42399.0</v>
      </c>
      <c r="G709" s="14"/>
      <c r="H709" s="14"/>
      <c r="I709" s="15" t="s">
        <v>1478</v>
      </c>
      <c r="J709" s="14"/>
      <c r="K709" s="14"/>
      <c r="L709" s="204" t="s">
        <v>4545</v>
      </c>
      <c r="M709" s="14" t="s">
        <v>111</v>
      </c>
      <c r="N709" s="14" t="s">
        <v>13</v>
      </c>
      <c r="O709" s="14" t="b">
        <v>1</v>
      </c>
      <c r="P709" s="14" t="s">
        <v>3076</v>
      </c>
      <c r="Q709" s="14"/>
      <c r="R709" s="14"/>
      <c r="S709" s="14" t="s">
        <v>3077</v>
      </c>
      <c r="T709" s="14" t="s">
        <v>4548</v>
      </c>
      <c r="U709" s="17"/>
      <c r="V709" s="14"/>
      <c r="W709" s="14"/>
      <c r="X709" s="18"/>
      <c r="Y709" s="18"/>
      <c r="Z709" s="18"/>
      <c r="AA709" s="19">
        <f t="shared" si="1"/>
        <v>9</v>
      </c>
      <c r="AB709" s="19" t="str">
        <f t="shared" si="2"/>
        <v/>
      </c>
      <c r="AC709" s="19" t="s">
        <v>373</v>
      </c>
    </row>
    <row r="710" ht="15.75" customHeight="1">
      <c r="A710" s="12">
        <v>45181.0</v>
      </c>
      <c r="B710" s="13" t="s">
        <v>28</v>
      </c>
      <c r="C710" s="14" t="s">
        <v>3078</v>
      </c>
      <c r="D710" s="14" t="s">
        <v>3079</v>
      </c>
      <c r="E710" s="14"/>
      <c r="F710" s="14">
        <v>2014.0</v>
      </c>
      <c r="G710" s="14">
        <v>4.0</v>
      </c>
      <c r="H710" s="14"/>
      <c r="I710" s="15" t="s">
        <v>3080</v>
      </c>
      <c r="J710" s="14"/>
      <c r="K710" s="14"/>
      <c r="L710" s="14"/>
      <c r="M710" s="14" t="s">
        <v>111</v>
      </c>
      <c r="N710" s="14" t="s">
        <v>13</v>
      </c>
      <c r="O710" s="14" t="b">
        <v>1</v>
      </c>
      <c r="P710" s="14" t="s">
        <v>3081</v>
      </c>
      <c r="Q710" s="14"/>
      <c r="R710" s="14"/>
      <c r="S710" s="14" t="s">
        <v>3082</v>
      </c>
      <c r="T710" s="14" t="s">
        <v>4197</v>
      </c>
      <c r="U710" s="17"/>
      <c r="V710" s="14"/>
      <c r="W710" s="14"/>
      <c r="X710" s="18"/>
      <c r="Y710" s="18"/>
      <c r="Z710" s="18"/>
      <c r="AA710" s="19">
        <f t="shared" si="1"/>
        <v>9</v>
      </c>
      <c r="AB710" s="19" t="str">
        <f t="shared" si="2"/>
        <v/>
      </c>
      <c r="AC710" s="19" t="s">
        <v>373</v>
      </c>
    </row>
    <row r="711" ht="15.75" customHeight="1">
      <c r="A711" s="12">
        <v>45185.0</v>
      </c>
      <c r="B711" s="13" t="s">
        <v>28</v>
      </c>
      <c r="C711" s="14" t="s">
        <v>3083</v>
      </c>
      <c r="D711" s="14"/>
      <c r="E711" s="14"/>
      <c r="F711" s="14"/>
      <c r="G711" s="14"/>
      <c r="H711" s="14"/>
      <c r="I711" s="15" t="s">
        <v>3084</v>
      </c>
      <c r="J711" s="14"/>
      <c r="K711" s="14"/>
      <c r="L711" s="14" t="s">
        <v>3085</v>
      </c>
      <c r="M711" s="14" t="s">
        <v>111</v>
      </c>
      <c r="N711" s="14" t="s">
        <v>565</v>
      </c>
      <c r="O711" s="14" t="b">
        <v>0</v>
      </c>
      <c r="P711" s="14"/>
      <c r="Q711" s="14"/>
      <c r="R711" s="14"/>
      <c r="S711" s="14" t="s">
        <v>3086</v>
      </c>
      <c r="T711" s="14" t="s">
        <v>4197</v>
      </c>
      <c r="U711" s="17"/>
      <c r="V711" s="14"/>
      <c r="W711" s="14"/>
      <c r="X711" s="18"/>
      <c r="Y711" s="18"/>
      <c r="Z711" s="18"/>
      <c r="AA711" s="19">
        <f t="shared" si="1"/>
        <v>9</v>
      </c>
      <c r="AB711" s="19" t="str">
        <f t="shared" si="2"/>
        <v/>
      </c>
      <c r="AC711" s="19"/>
    </row>
    <row r="712" ht="15.75" customHeight="1">
      <c r="A712" s="12">
        <v>45185.0</v>
      </c>
      <c r="B712" s="13" t="s">
        <v>28</v>
      </c>
      <c r="C712" s="14" t="s">
        <v>3087</v>
      </c>
      <c r="D712" s="14" t="s">
        <v>3088</v>
      </c>
      <c r="E712" s="14"/>
      <c r="F712" s="59">
        <v>40681.0</v>
      </c>
      <c r="G712" s="14">
        <v>7.0</v>
      </c>
      <c r="H712" s="14"/>
      <c r="I712" s="15" t="s">
        <v>3089</v>
      </c>
      <c r="J712" s="14"/>
      <c r="K712" s="14"/>
      <c r="L712" s="14" t="s">
        <v>3090</v>
      </c>
      <c r="M712" s="14" t="s">
        <v>111</v>
      </c>
      <c r="N712" s="14" t="s">
        <v>216</v>
      </c>
      <c r="O712" s="14" t="b">
        <v>0</v>
      </c>
      <c r="P712" s="14"/>
      <c r="Q712" s="14"/>
      <c r="R712" s="14"/>
      <c r="S712" s="14" t="s">
        <v>3091</v>
      </c>
      <c r="T712" s="14"/>
      <c r="U712" s="17"/>
      <c r="V712" s="14"/>
      <c r="W712" s="14"/>
      <c r="X712" s="18"/>
      <c r="Y712" s="18"/>
      <c r="Z712" s="18"/>
      <c r="AA712" s="19">
        <f t="shared" si="1"/>
        <v>9</v>
      </c>
      <c r="AB712" s="19" t="str">
        <f t="shared" si="2"/>
        <v/>
      </c>
      <c r="AC712" s="19"/>
    </row>
    <row r="713" ht="15.75" customHeight="1">
      <c r="A713" s="12">
        <v>45185.0</v>
      </c>
      <c r="B713" s="14" t="s">
        <v>201</v>
      </c>
      <c r="C713" s="14" t="s">
        <v>4549</v>
      </c>
      <c r="D713" s="14" t="s">
        <v>3093</v>
      </c>
      <c r="E713" s="14"/>
      <c r="F713" s="14">
        <v>2012.0</v>
      </c>
      <c r="G713" s="14">
        <v>6.0</v>
      </c>
      <c r="H713" s="14"/>
      <c r="I713" s="15" t="s">
        <v>3094</v>
      </c>
      <c r="J713" s="14"/>
      <c r="K713" s="14"/>
      <c r="L713" s="14" t="s">
        <v>3095</v>
      </c>
      <c r="M713" s="14" t="s">
        <v>111</v>
      </c>
      <c r="N713" s="14" t="s">
        <v>565</v>
      </c>
      <c r="O713" s="14" t="b">
        <v>0</v>
      </c>
      <c r="P713" s="14"/>
      <c r="Q713" s="14"/>
      <c r="R713" s="14"/>
      <c r="S713" s="14" t="s">
        <v>3096</v>
      </c>
      <c r="T713" s="14" t="s">
        <v>4197</v>
      </c>
      <c r="U713" s="17"/>
      <c r="V713" s="14"/>
      <c r="W713" s="14"/>
      <c r="X713" s="18"/>
      <c r="Y713" s="18"/>
      <c r="Z713" s="18"/>
      <c r="AA713" s="19">
        <f t="shared" si="1"/>
        <v>9</v>
      </c>
      <c r="AB713" s="19" t="str">
        <f t="shared" si="2"/>
        <v/>
      </c>
      <c r="AC713" s="19" t="s">
        <v>373</v>
      </c>
    </row>
    <row r="714" ht="15.75" customHeight="1">
      <c r="A714" s="12">
        <v>45185.0</v>
      </c>
      <c r="B714" s="14" t="s">
        <v>201</v>
      </c>
      <c r="C714" s="14" t="s">
        <v>4549</v>
      </c>
      <c r="D714" s="14" t="s">
        <v>3097</v>
      </c>
      <c r="E714" s="14"/>
      <c r="F714" s="14">
        <v>2013.0</v>
      </c>
      <c r="G714" s="14">
        <v>5.0</v>
      </c>
      <c r="H714" s="14"/>
      <c r="I714" s="15" t="s">
        <v>3094</v>
      </c>
      <c r="J714" s="14"/>
      <c r="K714" s="14"/>
      <c r="L714" s="14" t="s">
        <v>3095</v>
      </c>
      <c r="M714" s="14" t="s">
        <v>111</v>
      </c>
      <c r="N714" s="14" t="s">
        <v>565</v>
      </c>
      <c r="O714" s="14" t="b">
        <v>0</v>
      </c>
      <c r="P714" s="14"/>
      <c r="Q714" s="14"/>
      <c r="R714" s="14"/>
      <c r="S714" s="14" t="s">
        <v>3096</v>
      </c>
      <c r="T714" s="14" t="s">
        <v>4197</v>
      </c>
      <c r="U714" s="17"/>
      <c r="V714" s="14"/>
      <c r="W714" s="14"/>
      <c r="X714" s="18"/>
      <c r="Y714" s="18"/>
      <c r="Z714" s="18"/>
      <c r="AA714" s="19">
        <f t="shared" si="1"/>
        <v>9</v>
      </c>
      <c r="AB714" s="19" t="str">
        <f t="shared" si="2"/>
        <v/>
      </c>
      <c r="AC714" s="19" t="s">
        <v>373</v>
      </c>
    </row>
    <row r="715" ht="15.75" customHeight="1">
      <c r="A715" s="12">
        <v>45186.0</v>
      </c>
      <c r="B715" s="13" t="s">
        <v>28</v>
      </c>
      <c r="C715" s="14" t="s">
        <v>1511</v>
      </c>
      <c r="D715" s="14" t="s">
        <v>3098</v>
      </c>
      <c r="E715" s="14"/>
      <c r="F715" s="14" t="s">
        <v>4178</v>
      </c>
      <c r="G715" s="14">
        <v>1.0</v>
      </c>
      <c r="H715" s="14"/>
      <c r="I715" s="15" t="s">
        <v>3099</v>
      </c>
      <c r="J715" s="14"/>
      <c r="K715" s="14"/>
      <c r="L715" s="14" t="s">
        <v>3100</v>
      </c>
      <c r="M715" s="14" t="s">
        <v>111</v>
      </c>
      <c r="N715" s="14" t="s">
        <v>565</v>
      </c>
      <c r="O715" s="14" t="b">
        <v>0</v>
      </c>
      <c r="P715" s="14"/>
      <c r="Q715" s="14"/>
      <c r="R715" s="14"/>
      <c r="S715" s="14" t="s">
        <v>3101</v>
      </c>
      <c r="T715" s="14"/>
      <c r="U715" s="17"/>
      <c r="V715" s="14"/>
      <c r="W715" s="14"/>
      <c r="X715" s="18"/>
      <c r="Y715" s="18"/>
      <c r="Z715" s="18"/>
      <c r="AA715" s="19">
        <f t="shared" si="1"/>
        <v>9</v>
      </c>
      <c r="AB715" s="19" t="str">
        <f t="shared" si="2"/>
        <v/>
      </c>
      <c r="AC715" s="19"/>
    </row>
    <row r="716" ht="15.75" customHeight="1">
      <c r="A716" s="12">
        <v>45186.0</v>
      </c>
      <c r="B716" s="14" t="s">
        <v>84</v>
      </c>
      <c r="C716" s="14" t="s">
        <v>3102</v>
      </c>
      <c r="D716" s="14" t="s">
        <v>3103</v>
      </c>
      <c r="E716" s="14"/>
      <c r="F716" s="14">
        <v>2013.0</v>
      </c>
      <c r="G716" s="14">
        <v>5.0</v>
      </c>
      <c r="H716" s="14"/>
      <c r="I716" s="14">
        <v>9.09310065E8</v>
      </c>
      <c r="J716" s="14"/>
      <c r="K716" s="14"/>
      <c r="L716" s="14" t="s">
        <v>3104</v>
      </c>
      <c r="M716" s="14" t="s">
        <v>111</v>
      </c>
      <c r="N716" s="14" t="s">
        <v>13</v>
      </c>
      <c r="O716" s="14" t="b">
        <v>1</v>
      </c>
      <c r="P716" s="14" t="s">
        <v>3105</v>
      </c>
      <c r="Q716" s="14"/>
      <c r="R716" s="14"/>
      <c r="S716" s="14" t="s">
        <v>3106</v>
      </c>
      <c r="T716" s="14" t="s">
        <v>4432</v>
      </c>
      <c r="U716" s="17"/>
      <c r="V716" s="14"/>
      <c r="W716" s="14"/>
      <c r="X716" s="18"/>
      <c r="Y716" s="18"/>
      <c r="Z716" s="18"/>
      <c r="AA716" s="19">
        <f t="shared" si="1"/>
        <v>9</v>
      </c>
      <c r="AB716" s="19" t="str">
        <f t="shared" si="2"/>
        <v/>
      </c>
      <c r="AC716" s="19" t="s">
        <v>373</v>
      </c>
    </row>
    <row r="717" ht="15.75" customHeight="1">
      <c r="A717" s="12">
        <v>45186.0</v>
      </c>
      <c r="B717" s="13" t="s">
        <v>28</v>
      </c>
      <c r="C717" s="14" t="s">
        <v>3107</v>
      </c>
      <c r="D717" s="14" t="s">
        <v>3108</v>
      </c>
      <c r="E717" s="14"/>
      <c r="F717" s="59">
        <v>42446.0</v>
      </c>
      <c r="G717" s="14">
        <v>2.0</v>
      </c>
      <c r="H717" s="14"/>
      <c r="I717" s="15" t="s">
        <v>3109</v>
      </c>
      <c r="J717" s="14"/>
      <c r="K717" s="14"/>
      <c r="L717" s="14" t="s">
        <v>3110</v>
      </c>
      <c r="M717" s="14" t="s">
        <v>111</v>
      </c>
      <c r="N717" s="14" t="s">
        <v>565</v>
      </c>
      <c r="O717" s="14" t="b">
        <v>0</v>
      </c>
      <c r="P717" s="14"/>
      <c r="Q717" s="14"/>
      <c r="R717" s="14"/>
      <c r="S717" s="14" t="s">
        <v>3111</v>
      </c>
      <c r="T717" s="14"/>
      <c r="U717" s="17"/>
      <c r="V717" s="14"/>
      <c r="W717" s="14"/>
      <c r="X717" s="18"/>
      <c r="Y717" s="18"/>
      <c r="Z717" s="18"/>
      <c r="AA717" s="19">
        <f t="shared" si="1"/>
        <v>9</v>
      </c>
      <c r="AB717" s="19" t="str">
        <f t="shared" si="2"/>
        <v/>
      </c>
      <c r="AC717" s="19"/>
    </row>
    <row r="718" ht="15.75" customHeight="1">
      <c r="A718" s="12">
        <v>45186.0</v>
      </c>
      <c r="B718" s="13" t="s">
        <v>28</v>
      </c>
      <c r="C718" s="14" t="s">
        <v>3112</v>
      </c>
      <c r="D718" s="14" t="s">
        <v>3113</v>
      </c>
      <c r="E718" s="14"/>
      <c r="F718" s="59">
        <v>41293.0</v>
      </c>
      <c r="G718" s="14">
        <v>5.0</v>
      </c>
      <c r="H718" s="14"/>
      <c r="I718" s="15" t="s">
        <v>3114</v>
      </c>
      <c r="J718" s="14"/>
      <c r="K718" s="14"/>
      <c r="L718" s="14" t="s">
        <v>3115</v>
      </c>
      <c r="M718" s="14" t="s">
        <v>111</v>
      </c>
      <c r="N718" s="14" t="s">
        <v>216</v>
      </c>
      <c r="O718" s="14" t="b">
        <v>0</v>
      </c>
      <c r="P718" s="14"/>
      <c r="Q718" s="14"/>
      <c r="R718" s="14"/>
      <c r="S718" s="14" t="s">
        <v>3116</v>
      </c>
      <c r="T718" s="14" t="s">
        <v>4096</v>
      </c>
      <c r="U718" s="17"/>
      <c r="V718" s="14"/>
      <c r="W718" s="14"/>
      <c r="X718" s="18"/>
      <c r="Y718" s="18"/>
      <c r="Z718" s="18"/>
      <c r="AA718" s="19">
        <f t="shared" si="1"/>
        <v>9</v>
      </c>
      <c r="AB718" s="19" t="str">
        <f t="shared" si="2"/>
        <v/>
      </c>
      <c r="AC718" s="19" t="s">
        <v>373</v>
      </c>
    </row>
    <row r="719" ht="15.75" customHeight="1">
      <c r="A719" s="12">
        <v>45187.0</v>
      </c>
      <c r="B719" s="13" t="s">
        <v>28</v>
      </c>
      <c r="C719" s="14"/>
      <c r="D719" s="14" t="s">
        <v>3117</v>
      </c>
      <c r="E719" s="14"/>
      <c r="F719" s="14"/>
      <c r="G719" s="14"/>
      <c r="H719" s="14"/>
      <c r="I719" s="15" t="s">
        <v>3118</v>
      </c>
      <c r="J719" s="14"/>
      <c r="K719" s="14"/>
      <c r="L719" s="14" t="s">
        <v>3119</v>
      </c>
      <c r="M719" s="14" t="s">
        <v>111</v>
      </c>
      <c r="N719" s="14" t="s">
        <v>565</v>
      </c>
      <c r="O719" s="14" t="b">
        <v>0</v>
      </c>
      <c r="P719" s="14" t="s">
        <v>3120</v>
      </c>
      <c r="Q719" s="14"/>
      <c r="R719" s="14"/>
      <c r="S719" s="14" t="s">
        <v>3121</v>
      </c>
      <c r="T719" s="14" t="s">
        <v>4197</v>
      </c>
      <c r="U719" s="17"/>
      <c r="V719" s="14"/>
      <c r="W719" s="14"/>
      <c r="X719" s="18"/>
      <c r="Y719" s="18"/>
      <c r="Z719" s="18"/>
      <c r="AA719" s="19">
        <f t="shared" si="1"/>
        <v>9</v>
      </c>
      <c r="AB719" s="19" t="str">
        <f t="shared" si="2"/>
        <v/>
      </c>
      <c r="AC719" s="19"/>
    </row>
    <row r="720" ht="15.75" customHeight="1">
      <c r="A720" s="12">
        <v>45187.0</v>
      </c>
      <c r="B720" s="13" t="s">
        <v>28</v>
      </c>
      <c r="C720" s="14" t="s">
        <v>3122</v>
      </c>
      <c r="D720" s="14"/>
      <c r="E720" s="14"/>
      <c r="F720" s="14"/>
      <c r="G720" s="14"/>
      <c r="H720" s="14"/>
      <c r="I720" s="15" t="s">
        <v>3123</v>
      </c>
      <c r="J720" s="14"/>
      <c r="K720" s="14"/>
      <c r="L720" s="14" t="s">
        <v>3124</v>
      </c>
      <c r="M720" s="14" t="s">
        <v>111</v>
      </c>
      <c r="N720" s="14" t="s">
        <v>216</v>
      </c>
      <c r="O720" s="14" t="b">
        <v>0</v>
      </c>
      <c r="P720" s="14"/>
      <c r="Q720" s="14"/>
      <c r="R720" s="14"/>
      <c r="S720" s="14" t="s">
        <v>3125</v>
      </c>
      <c r="T720" s="14" t="s">
        <v>4096</v>
      </c>
      <c r="U720" s="17"/>
      <c r="V720" s="14"/>
      <c r="W720" s="14"/>
      <c r="X720" s="18"/>
      <c r="Y720" s="18"/>
      <c r="Z720" s="18"/>
      <c r="AA720" s="19">
        <f t="shared" si="1"/>
        <v>9</v>
      </c>
      <c r="AB720" s="19" t="str">
        <f t="shared" si="2"/>
        <v/>
      </c>
      <c r="AC720" s="19"/>
    </row>
    <row r="721" ht="15.75" customHeight="1">
      <c r="A721" s="12">
        <v>45187.0</v>
      </c>
      <c r="B721" s="13" t="s">
        <v>28</v>
      </c>
      <c r="C721" s="14" t="s">
        <v>3126</v>
      </c>
      <c r="D721" s="14"/>
      <c r="E721" s="14"/>
      <c r="F721" s="14"/>
      <c r="G721" s="14"/>
      <c r="H721" s="14"/>
      <c r="I721" s="15" t="s">
        <v>3127</v>
      </c>
      <c r="J721" s="14"/>
      <c r="K721" s="14"/>
      <c r="L721" s="14" t="s">
        <v>3124</v>
      </c>
      <c r="M721" s="14" t="s">
        <v>111</v>
      </c>
      <c r="N721" s="14" t="s">
        <v>216</v>
      </c>
      <c r="O721" s="14" t="b">
        <v>0</v>
      </c>
      <c r="P721" s="14"/>
      <c r="Q721" s="14"/>
      <c r="R721" s="14"/>
      <c r="S721" s="14" t="s">
        <v>3128</v>
      </c>
      <c r="T721" s="14" t="s">
        <v>4096</v>
      </c>
      <c r="U721" s="17"/>
      <c r="V721" s="14"/>
      <c r="W721" s="14"/>
      <c r="X721" s="18"/>
      <c r="Y721" s="18"/>
      <c r="Z721" s="18"/>
      <c r="AA721" s="19">
        <f t="shared" si="1"/>
        <v>9</v>
      </c>
      <c r="AB721" s="19" t="str">
        <f t="shared" si="2"/>
        <v/>
      </c>
      <c r="AC721" s="19"/>
    </row>
    <row r="722" ht="15.75" customHeight="1">
      <c r="A722" s="12">
        <v>45187.0</v>
      </c>
      <c r="B722" s="13" t="s">
        <v>28</v>
      </c>
      <c r="C722" s="14"/>
      <c r="D722" s="14" t="s">
        <v>3129</v>
      </c>
      <c r="E722" s="14"/>
      <c r="F722" s="14" t="s">
        <v>4178</v>
      </c>
      <c r="G722" s="14"/>
      <c r="H722" s="14"/>
      <c r="I722" s="15" t="s">
        <v>3130</v>
      </c>
      <c r="J722" s="14"/>
      <c r="K722" s="14"/>
      <c r="L722" s="204" t="s">
        <v>4545</v>
      </c>
      <c r="M722" s="14" t="s">
        <v>111</v>
      </c>
      <c r="N722" s="14" t="s">
        <v>565</v>
      </c>
      <c r="O722" s="14" t="b">
        <v>0</v>
      </c>
      <c r="P722" s="14"/>
      <c r="Q722" s="14"/>
      <c r="R722" s="14"/>
      <c r="S722" s="14" t="s">
        <v>3131</v>
      </c>
      <c r="T722" s="14" t="s">
        <v>4197</v>
      </c>
      <c r="U722" s="17"/>
      <c r="V722" s="14"/>
      <c r="W722" s="14"/>
      <c r="X722" s="18"/>
      <c r="Y722" s="18"/>
      <c r="Z722" s="18"/>
      <c r="AA722" s="19">
        <f t="shared" si="1"/>
        <v>9</v>
      </c>
      <c r="AB722" s="19" t="str">
        <f t="shared" si="2"/>
        <v/>
      </c>
      <c r="AC722" s="19"/>
    </row>
    <row r="723" ht="15.75" customHeight="1">
      <c r="A723" s="12">
        <v>45187.0</v>
      </c>
      <c r="B723" s="14" t="s">
        <v>539</v>
      </c>
      <c r="C723" s="14" t="s">
        <v>3132</v>
      </c>
      <c r="D723" s="14" t="s">
        <v>3133</v>
      </c>
      <c r="E723" s="14"/>
      <c r="F723" s="14">
        <v>2015.0</v>
      </c>
      <c r="G723" s="14">
        <v>3.0</v>
      </c>
      <c r="H723" s="14"/>
      <c r="I723" s="343">
        <v>9.4803088E8</v>
      </c>
      <c r="J723" s="14"/>
      <c r="K723" s="14"/>
      <c r="L723" s="14"/>
      <c r="M723" s="14" t="s">
        <v>111</v>
      </c>
      <c r="N723" s="14" t="s">
        <v>13</v>
      </c>
      <c r="O723" s="14" t="b">
        <v>1</v>
      </c>
      <c r="P723" s="14" t="s">
        <v>3134</v>
      </c>
      <c r="Q723" s="14"/>
      <c r="R723" s="14"/>
      <c r="S723" s="14" t="s">
        <v>3135</v>
      </c>
      <c r="T723" s="14" t="s">
        <v>4197</v>
      </c>
      <c r="U723" s="17"/>
      <c r="V723" s="14"/>
      <c r="W723" s="14"/>
      <c r="X723" s="18"/>
      <c r="Y723" s="18"/>
      <c r="Z723" s="18"/>
      <c r="AA723" s="19">
        <f t="shared" si="1"/>
        <v>9</v>
      </c>
      <c r="AB723" s="19" t="str">
        <f t="shared" si="2"/>
        <v/>
      </c>
      <c r="AC723" s="19"/>
    </row>
    <row r="724" ht="15.75" customHeight="1">
      <c r="A724" s="12">
        <v>45187.0</v>
      </c>
      <c r="B724" s="14" t="s">
        <v>539</v>
      </c>
      <c r="C724" s="14" t="s">
        <v>3136</v>
      </c>
      <c r="D724" s="14" t="s">
        <v>3137</v>
      </c>
      <c r="E724" s="14"/>
      <c r="F724" s="14">
        <v>2015.0</v>
      </c>
      <c r="G724" s="14">
        <v>3.0</v>
      </c>
      <c r="H724" s="14"/>
      <c r="I724" s="343">
        <v>3.83171494E8</v>
      </c>
      <c r="J724" s="14"/>
      <c r="K724" s="14"/>
      <c r="L724" s="14"/>
      <c r="M724" s="14" t="s">
        <v>111</v>
      </c>
      <c r="N724" s="14" t="s">
        <v>13</v>
      </c>
      <c r="O724" s="14" t="b">
        <v>1</v>
      </c>
      <c r="P724" s="15" t="s">
        <v>3138</v>
      </c>
      <c r="Q724" s="14"/>
      <c r="R724" s="14"/>
      <c r="S724" s="14" t="s">
        <v>3139</v>
      </c>
      <c r="T724" s="14" t="s">
        <v>4507</v>
      </c>
      <c r="U724" s="17"/>
      <c r="V724" s="14"/>
      <c r="W724" s="14"/>
      <c r="X724" s="18"/>
      <c r="Y724" s="18"/>
      <c r="Z724" s="18"/>
      <c r="AA724" s="19">
        <f t="shared" si="1"/>
        <v>9</v>
      </c>
      <c r="AB724" s="19" t="str">
        <f t="shared" si="2"/>
        <v/>
      </c>
      <c r="AC724" s="19" t="s">
        <v>373</v>
      </c>
    </row>
    <row r="725" ht="15.75" customHeight="1">
      <c r="A725" s="12">
        <v>45188.0</v>
      </c>
      <c r="B725" s="13" t="s">
        <v>28</v>
      </c>
      <c r="C725" s="14" t="s">
        <v>3140</v>
      </c>
      <c r="D725" s="14"/>
      <c r="E725" s="14"/>
      <c r="F725" s="14"/>
      <c r="G725" s="14"/>
      <c r="H725" s="14"/>
      <c r="I725" s="15" t="s">
        <v>3141</v>
      </c>
      <c r="J725" s="14"/>
      <c r="K725" s="14"/>
      <c r="L725" s="14" t="s">
        <v>3142</v>
      </c>
      <c r="M725" s="14" t="s">
        <v>111</v>
      </c>
      <c r="N725" s="14" t="s">
        <v>34</v>
      </c>
      <c r="O725" s="14" t="b">
        <v>0</v>
      </c>
      <c r="P725" s="14"/>
      <c r="Q725" s="14"/>
      <c r="R725" s="14"/>
      <c r="S725" s="14" t="s">
        <v>3143</v>
      </c>
      <c r="T725" s="14" t="s">
        <v>4069</v>
      </c>
      <c r="U725" s="17"/>
      <c r="V725" s="14"/>
      <c r="W725" s="14"/>
      <c r="X725" s="18"/>
      <c r="Y725" s="18"/>
      <c r="Z725" s="18"/>
      <c r="AA725" s="19">
        <f t="shared" si="1"/>
        <v>9</v>
      </c>
      <c r="AB725" s="19" t="str">
        <f t="shared" si="2"/>
        <v/>
      </c>
      <c r="AC725" s="19"/>
    </row>
    <row r="726" ht="15.75" customHeight="1">
      <c r="A726" s="12">
        <v>45188.0</v>
      </c>
      <c r="B726" s="13" t="s">
        <v>28</v>
      </c>
      <c r="C726" s="14" t="s">
        <v>3144</v>
      </c>
      <c r="D726" s="14" t="s">
        <v>3145</v>
      </c>
      <c r="E726" s="14"/>
      <c r="F726" s="14">
        <v>2013.0</v>
      </c>
      <c r="G726" s="14">
        <v>5.0</v>
      </c>
      <c r="H726" s="14"/>
      <c r="I726" s="15" t="s">
        <v>3146</v>
      </c>
      <c r="J726" s="14"/>
      <c r="K726" s="14"/>
      <c r="L726" s="14" t="s">
        <v>3147</v>
      </c>
      <c r="M726" s="14" t="s">
        <v>111</v>
      </c>
      <c r="N726" s="14" t="s">
        <v>565</v>
      </c>
      <c r="O726" s="14" t="b">
        <v>0</v>
      </c>
      <c r="P726" s="14"/>
      <c r="Q726" s="14"/>
      <c r="R726" s="14"/>
      <c r="S726" s="14" t="s">
        <v>3148</v>
      </c>
      <c r="T726" s="14" t="s">
        <v>4197</v>
      </c>
      <c r="U726" s="17"/>
      <c r="V726" s="14"/>
      <c r="W726" s="14"/>
      <c r="X726" s="18"/>
      <c r="Y726" s="18"/>
      <c r="Z726" s="18"/>
      <c r="AA726" s="19">
        <f t="shared" si="1"/>
        <v>9</v>
      </c>
      <c r="AB726" s="19" t="str">
        <f t="shared" si="2"/>
        <v/>
      </c>
      <c r="AC726" s="19"/>
    </row>
    <row r="727" ht="15.75" customHeight="1">
      <c r="A727" s="12">
        <v>45188.0</v>
      </c>
      <c r="B727" s="13" t="s">
        <v>28</v>
      </c>
      <c r="C727" s="14" t="s">
        <v>3149</v>
      </c>
      <c r="D727" s="14"/>
      <c r="E727" s="14"/>
      <c r="F727" s="14" t="s">
        <v>2480</v>
      </c>
      <c r="G727" s="14"/>
      <c r="H727" s="14"/>
      <c r="I727" s="15" t="s">
        <v>3150</v>
      </c>
      <c r="J727" s="14"/>
      <c r="K727" s="14"/>
      <c r="L727" s="14" t="s">
        <v>3151</v>
      </c>
      <c r="M727" s="14" t="s">
        <v>111</v>
      </c>
      <c r="N727" s="14" t="s">
        <v>565</v>
      </c>
      <c r="O727" s="14" t="b">
        <v>0</v>
      </c>
      <c r="P727" s="14"/>
      <c r="Q727" s="14"/>
      <c r="R727" s="14"/>
      <c r="S727" s="14" t="s">
        <v>3152</v>
      </c>
      <c r="T727" s="14" t="s">
        <v>4085</v>
      </c>
      <c r="U727" s="17"/>
      <c r="V727" s="14"/>
      <c r="W727" s="14"/>
      <c r="X727" s="18"/>
      <c r="Y727" s="18"/>
      <c r="Z727" s="18"/>
      <c r="AA727" s="19">
        <f t="shared" si="1"/>
        <v>9</v>
      </c>
      <c r="AB727" s="19" t="str">
        <f t="shared" si="2"/>
        <v/>
      </c>
      <c r="AC727" s="19"/>
    </row>
    <row r="728" ht="15.75" customHeight="1">
      <c r="A728" s="12">
        <v>45188.0</v>
      </c>
      <c r="B728" s="14" t="s">
        <v>539</v>
      </c>
      <c r="C728" s="14" t="s">
        <v>3153</v>
      </c>
      <c r="D728" s="344" t="s">
        <v>3154</v>
      </c>
      <c r="E728" s="14"/>
      <c r="F728" s="14">
        <v>2019.0</v>
      </c>
      <c r="G728" s="14">
        <v>5.0</v>
      </c>
      <c r="H728" s="14"/>
      <c r="I728" s="343">
        <v>9.89349955E8</v>
      </c>
      <c r="J728" s="14"/>
      <c r="K728" s="14"/>
      <c r="L728" s="14"/>
      <c r="M728" s="14" t="s">
        <v>111</v>
      </c>
      <c r="N728" s="14" t="s">
        <v>13</v>
      </c>
      <c r="O728" s="14" t="b">
        <v>1</v>
      </c>
      <c r="P728" s="14" t="s">
        <v>3155</v>
      </c>
      <c r="Q728" s="14"/>
      <c r="R728" s="14"/>
      <c r="S728" s="14" t="s">
        <v>3156</v>
      </c>
      <c r="T728" s="14" t="s">
        <v>4197</v>
      </c>
      <c r="U728" s="17"/>
      <c r="V728" s="14"/>
      <c r="W728" s="14"/>
      <c r="X728" s="18"/>
      <c r="Y728" s="18"/>
      <c r="Z728" s="18"/>
      <c r="AA728" s="19">
        <f t="shared" si="1"/>
        <v>9</v>
      </c>
      <c r="AB728" s="19" t="str">
        <f t="shared" si="2"/>
        <v/>
      </c>
      <c r="AC728" s="19"/>
    </row>
    <row r="729" ht="15.75" customHeight="1">
      <c r="A729" s="12">
        <v>45188.0</v>
      </c>
      <c r="B729" s="14" t="s">
        <v>539</v>
      </c>
      <c r="C729" s="14" t="s">
        <v>3157</v>
      </c>
      <c r="D729" s="14" t="s">
        <v>3158</v>
      </c>
      <c r="E729" s="14"/>
      <c r="F729" s="14">
        <v>2018.0</v>
      </c>
      <c r="G729" s="14">
        <v>1.0</v>
      </c>
      <c r="H729" s="14"/>
      <c r="I729" s="343">
        <v>3.47527031E8</v>
      </c>
      <c r="J729" s="14"/>
      <c r="K729" s="14"/>
      <c r="L729" s="14"/>
      <c r="M729" s="14" t="s">
        <v>111</v>
      </c>
      <c r="N729" s="14" t="s">
        <v>13</v>
      </c>
      <c r="O729" s="14" t="b">
        <v>1</v>
      </c>
      <c r="P729" s="14" t="s">
        <v>3159</v>
      </c>
      <c r="Q729" s="14"/>
      <c r="R729" s="14"/>
      <c r="S729" s="14" t="s">
        <v>3160</v>
      </c>
      <c r="T729" s="14" t="s">
        <v>4197</v>
      </c>
      <c r="U729" s="17"/>
      <c r="V729" s="14"/>
      <c r="W729" s="14"/>
      <c r="X729" s="18"/>
      <c r="Y729" s="18"/>
      <c r="Z729" s="18"/>
      <c r="AA729" s="19">
        <f t="shared" si="1"/>
        <v>9</v>
      </c>
      <c r="AB729" s="19" t="str">
        <f t="shared" si="2"/>
        <v/>
      </c>
      <c r="AC729" s="19"/>
    </row>
    <row r="730" ht="15.75" customHeight="1">
      <c r="A730" s="12">
        <v>45188.0</v>
      </c>
      <c r="B730" s="13" t="s">
        <v>28</v>
      </c>
      <c r="C730" s="14" t="s">
        <v>3161</v>
      </c>
      <c r="D730" s="14"/>
      <c r="E730" s="14"/>
      <c r="F730" s="14" t="s">
        <v>4524</v>
      </c>
      <c r="G730" s="14">
        <v>7.0</v>
      </c>
      <c r="H730" s="14"/>
      <c r="I730" s="15" t="s">
        <v>3162</v>
      </c>
      <c r="J730" s="14"/>
      <c r="K730" s="14"/>
      <c r="L730" s="14" t="s">
        <v>4050</v>
      </c>
      <c r="M730" s="14" t="s">
        <v>111</v>
      </c>
      <c r="N730" s="14" t="s">
        <v>565</v>
      </c>
      <c r="O730" s="14" t="b">
        <v>0</v>
      </c>
      <c r="P730" s="14"/>
      <c r="Q730" s="14"/>
      <c r="R730" s="14"/>
      <c r="S730" s="14" t="s">
        <v>3163</v>
      </c>
      <c r="T730" s="14" t="s">
        <v>4096</v>
      </c>
      <c r="U730" s="17"/>
      <c r="V730" s="14"/>
      <c r="W730" s="14"/>
      <c r="X730" s="18"/>
      <c r="Y730" s="18"/>
      <c r="Z730" s="18"/>
      <c r="AA730" s="19">
        <f t="shared" si="1"/>
        <v>9</v>
      </c>
      <c r="AB730" s="19" t="str">
        <f t="shared" si="2"/>
        <v/>
      </c>
      <c r="AC730" s="19"/>
    </row>
    <row r="731" ht="15.75" customHeight="1">
      <c r="A731" s="12">
        <v>45188.0</v>
      </c>
      <c r="B731" s="13" t="s">
        <v>28</v>
      </c>
      <c r="C731" s="14" t="s">
        <v>3164</v>
      </c>
      <c r="D731" s="14"/>
      <c r="E731" s="14"/>
      <c r="F731" s="14"/>
      <c r="G731" s="14"/>
      <c r="H731" s="14"/>
      <c r="I731" s="15" t="s">
        <v>3165</v>
      </c>
      <c r="J731" s="14"/>
      <c r="K731" s="14"/>
      <c r="L731" s="14"/>
      <c r="M731" s="14" t="s">
        <v>111</v>
      </c>
      <c r="N731" s="14" t="s">
        <v>565</v>
      </c>
      <c r="O731" s="14" t="b">
        <v>0</v>
      </c>
      <c r="P731" s="14"/>
      <c r="Q731" s="14"/>
      <c r="R731" s="14"/>
      <c r="S731" s="14" t="s">
        <v>3166</v>
      </c>
      <c r="T731" s="14" t="s">
        <v>4197</v>
      </c>
      <c r="U731" s="17"/>
      <c r="V731" s="14"/>
      <c r="W731" s="14"/>
      <c r="X731" s="18"/>
      <c r="Y731" s="18"/>
      <c r="Z731" s="18"/>
      <c r="AA731" s="19">
        <f t="shared" si="1"/>
        <v>9</v>
      </c>
      <c r="AB731" s="19" t="str">
        <f t="shared" si="2"/>
        <v/>
      </c>
      <c r="AC731" s="19"/>
    </row>
    <row r="732" ht="15.75" customHeight="1">
      <c r="A732" s="12">
        <v>45189.0</v>
      </c>
      <c r="B732" s="13" t="s">
        <v>28</v>
      </c>
      <c r="C732" s="14" t="s">
        <v>3167</v>
      </c>
      <c r="D732" s="14"/>
      <c r="E732" s="14"/>
      <c r="F732" s="14"/>
      <c r="G732" s="14">
        <v>9.0</v>
      </c>
      <c r="H732" s="14"/>
      <c r="I732" s="15" t="s">
        <v>3168</v>
      </c>
      <c r="J732" s="14"/>
      <c r="K732" s="14"/>
      <c r="L732" s="14" t="s">
        <v>1615</v>
      </c>
      <c r="M732" s="14" t="s">
        <v>111</v>
      </c>
      <c r="N732" s="14" t="s">
        <v>565</v>
      </c>
      <c r="O732" s="14" t="b">
        <v>0</v>
      </c>
      <c r="P732" s="14"/>
      <c r="Q732" s="14"/>
      <c r="R732" s="14"/>
      <c r="S732" s="14" t="s">
        <v>3169</v>
      </c>
      <c r="T732" s="14" t="s">
        <v>4197</v>
      </c>
      <c r="U732" s="17"/>
      <c r="V732" s="14"/>
      <c r="W732" s="14"/>
      <c r="X732" s="18"/>
      <c r="Y732" s="18"/>
      <c r="Z732" s="18"/>
      <c r="AA732" s="19">
        <f t="shared" si="1"/>
        <v>9</v>
      </c>
      <c r="AB732" s="19" t="str">
        <f t="shared" si="2"/>
        <v/>
      </c>
      <c r="AC732" s="19"/>
    </row>
    <row r="733" ht="15.75" customHeight="1">
      <c r="A733" s="12">
        <v>45189.0</v>
      </c>
      <c r="B733" s="13" t="s">
        <v>28</v>
      </c>
      <c r="C733" s="14"/>
      <c r="D733" s="14" t="s">
        <v>3170</v>
      </c>
      <c r="E733" s="14"/>
      <c r="F733" s="59">
        <v>40067.0</v>
      </c>
      <c r="G733" s="14"/>
      <c r="H733" s="14"/>
      <c r="I733" s="15" t="s">
        <v>3171</v>
      </c>
      <c r="J733" s="14"/>
      <c r="K733" s="14"/>
      <c r="L733" s="204" t="s">
        <v>4545</v>
      </c>
      <c r="M733" s="14" t="s">
        <v>111</v>
      </c>
      <c r="N733" s="14" t="s">
        <v>34</v>
      </c>
      <c r="O733" s="14" t="b">
        <v>0</v>
      </c>
      <c r="P733" s="14"/>
      <c r="Q733" s="14"/>
      <c r="R733" s="14"/>
      <c r="S733" s="14" t="s">
        <v>3172</v>
      </c>
      <c r="T733" s="14"/>
      <c r="U733" s="17"/>
      <c r="V733" s="14"/>
      <c r="W733" s="14"/>
      <c r="X733" s="18"/>
      <c r="Y733" s="18"/>
      <c r="Z733" s="18"/>
      <c r="AA733" s="19">
        <f t="shared" si="1"/>
        <v>9</v>
      </c>
      <c r="AB733" s="19" t="str">
        <f t="shared" si="2"/>
        <v/>
      </c>
      <c r="AC733" s="19"/>
    </row>
    <row r="734" ht="15.75" customHeight="1">
      <c r="A734" s="12">
        <v>45189.0</v>
      </c>
      <c r="B734" s="13" t="s">
        <v>28</v>
      </c>
      <c r="C734" s="14"/>
      <c r="D734" s="14" t="s">
        <v>3173</v>
      </c>
      <c r="E734" s="14"/>
      <c r="F734" s="345">
        <v>41580.0</v>
      </c>
      <c r="G734" s="14"/>
      <c r="H734" s="14"/>
      <c r="I734" s="15" t="s">
        <v>3174</v>
      </c>
      <c r="J734" s="14"/>
      <c r="K734" s="14"/>
      <c r="L734" s="204" t="s">
        <v>4545</v>
      </c>
      <c r="M734" s="14" t="s">
        <v>111</v>
      </c>
      <c r="N734" s="14" t="s">
        <v>565</v>
      </c>
      <c r="O734" s="14" t="b">
        <v>0</v>
      </c>
      <c r="P734" s="14"/>
      <c r="Q734" s="14"/>
      <c r="R734" s="14"/>
      <c r="S734" s="14" t="s">
        <v>3175</v>
      </c>
      <c r="T734" s="14"/>
      <c r="U734" s="17"/>
      <c r="V734" s="14"/>
      <c r="W734" s="14"/>
      <c r="X734" s="18"/>
      <c r="Y734" s="18"/>
      <c r="Z734" s="18"/>
      <c r="AA734" s="19">
        <f t="shared" si="1"/>
        <v>9</v>
      </c>
      <c r="AB734" s="19" t="str">
        <f t="shared" si="2"/>
        <v/>
      </c>
      <c r="AC734" s="19"/>
    </row>
    <row r="735" ht="15.75" customHeight="1">
      <c r="A735" s="12">
        <v>45189.0</v>
      </c>
      <c r="B735" s="13" t="s">
        <v>28</v>
      </c>
      <c r="C735" s="14"/>
      <c r="D735" s="14" t="s">
        <v>3176</v>
      </c>
      <c r="E735" s="14"/>
      <c r="F735" s="59">
        <v>41438.0</v>
      </c>
      <c r="G735" s="14"/>
      <c r="H735" s="14"/>
      <c r="I735" s="15" t="s">
        <v>3177</v>
      </c>
      <c r="J735" s="14"/>
      <c r="K735" s="14"/>
      <c r="L735" s="204" t="s">
        <v>4545</v>
      </c>
      <c r="M735" s="14" t="s">
        <v>111</v>
      </c>
      <c r="N735" s="14" t="s">
        <v>565</v>
      </c>
      <c r="O735" s="14" t="b">
        <v>0</v>
      </c>
      <c r="P735" s="14"/>
      <c r="Q735" s="14"/>
      <c r="R735" s="14"/>
      <c r="S735" s="14" t="s">
        <v>3175</v>
      </c>
      <c r="T735" s="14"/>
      <c r="U735" s="17"/>
      <c r="V735" s="14"/>
      <c r="W735" s="14"/>
      <c r="X735" s="18"/>
      <c r="Y735" s="18"/>
      <c r="Z735" s="18"/>
      <c r="AA735" s="19">
        <f t="shared" si="1"/>
        <v>9</v>
      </c>
      <c r="AB735" s="19" t="str">
        <f t="shared" si="2"/>
        <v/>
      </c>
      <c r="AC735" s="19"/>
    </row>
    <row r="736" ht="15.75" customHeight="1">
      <c r="A736" s="12">
        <v>45189.0</v>
      </c>
      <c r="B736" s="13" t="s">
        <v>28</v>
      </c>
      <c r="C736" s="14"/>
      <c r="D736" s="14" t="s">
        <v>3178</v>
      </c>
      <c r="E736" s="14"/>
      <c r="F736" s="346">
        <v>40665.0</v>
      </c>
      <c r="G736" s="14"/>
      <c r="H736" s="14"/>
      <c r="I736" s="15" t="s">
        <v>3179</v>
      </c>
      <c r="J736" s="14"/>
      <c r="K736" s="14"/>
      <c r="L736" s="204" t="s">
        <v>4545</v>
      </c>
      <c r="M736" s="14" t="s">
        <v>111</v>
      </c>
      <c r="N736" s="14" t="s">
        <v>1484</v>
      </c>
      <c r="O736" s="14" t="b">
        <v>0</v>
      </c>
      <c r="P736" s="14"/>
      <c r="Q736" s="14"/>
      <c r="R736" s="14"/>
      <c r="S736" s="14" t="s">
        <v>3180</v>
      </c>
      <c r="T736" s="14"/>
      <c r="U736" s="17"/>
      <c r="V736" s="14"/>
      <c r="W736" s="14"/>
      <c r="X736" s="18"/>
      <c r="Y736" s="18"/>
      <c r="Z736" s="18"/>
      <c r="AA736" s="19">
        <f t="shared" si="1"/>
        <v>9</v>
      </c>
      <c r="AB736" s="19" t="str">
        <f t="shared" si="2"/>
        <v/>
      </c>
      <c r="AC736" s="19"/>
    </row>
    <row r="737" ht="15.75" customHeight="1">
      <c r="A737" s="12">
        <v>45189.0</v>
      </c>
      <c r="B737" s="13" t="s">
        <v>28</v>
      </c>
      <c r="C737" s="14"/>
      <c r="D737" s="14" t="s">
        <v>3181</v>
      </c>
      <c r="E737" s="14"/>
      <c r="F737" s="59">
        <v>42496.0</v>
      </c>
      <c r="G737" s="14"/>
      <c r="H737" s="14"/>
      <c r="I737" s="15" t="s">
        <v>3182</v>
      </c>
      <c r="J737" s="14"/>
      <c r="K737" s="14"/>
      <c r="L737" s="204" t="s">
        <v>4545</v>
      </c>
      <c r="M737" s="14" t="s">
        <v>111</v>
      </c>
      <c r="N737" s="14" t="s">
        <v>216</v>
      </c>
      <c r="O737" s="14" t="b">
        <v>0</v>
      </c>
      <c r="P737" s="14"/>
      <c r="Q737" s="14"/>
      <c r="R737" s="14"/>
      <c r="S737" s="14"/>
      <c r="T737" s="14"/>
      <c r="U737" s="17"/>
      <c r="V737" s="14"/>
      <c r="W737" s="14"/>
      <c r="X737" s="18"/>
      <c r="Y737" s="18"/>
      <c r="Z737" s="18"/>
      <c r="AA737" s="19">
        <f t="shared" si="1"/>
        <v>9</v>
      </c>
      <c r="AB737" s="19" t="str">
        <f t="shared" si="2"/>
        <v/>
      </c>
      <c r="AC737" s="19"/>
    </row>
    <row r="738" ht="15.75" customHeight="1">
      <c r="A738" s="12">
        <v>45189.0</v>
      </c>
      <c r="B738" s="13" t="s">
        <v>28</v>
      </c>
      <c r="C738" s="14"/>
      <c r="D738" s="14" t="s">
        <v>3183</v>
      </c>
      <c r="E738" s="14"/>
      <c r="F738" s="14"/>
      <c r="G738" s="14"/>
      <c r="H738" s="14"/>
      <c r="I738" s="15" t="s">
        <v>3184</v>
      </c>
      <c r="J738" s="14"/>
      <c r="K738" s="14"/>
      <c r="L738" s="14" t="s">
        <v>3185</v>
      </c>
      <c r="M738" s="14" t="s">
        <v>111</v>
      </c>
      <c r="N738" s="14" t="s">
        <v>565</v>
      </c>
      <c r="O738" s="14" t="b">
        <v>0</v>
      </c>
      <c r="P738" s="14"/>
      <c r="Q738" s="14"/>
      <c r="R738" s="14"/>
      <c r="S738" s="14" t="s">
        <v>3186</v>
      </c>
      <c r="T738" s="14"/>
      <c r="U738" s="17"/>
      <c r="V738" s="14"/>
      <c r="W738" s="14"/>
      <c r="X738" s="18"/>
      <c r="Y738" s="18"/>
      <c r="Z738" s="18"/>
      <c r="AA738" s="19">
        <f t="shared" si="1"/>
        <v>9</v>
      </c>
      <c r="AB738" s="19" t="str">
        <f t="shared" si="2"/>
        <v/>
      </c>
      <c r="AC738" s="19"/>
    </row>
    <row r="739" ht="15.75" customHeight="1">
      <c r="A739" s="12">
        <v>45189.0</v>
      </c>
      <c r="B739" s="14" t="s">
        <v>539</v>
      </c>
      <c r="C739" s="14" t="s">
        <v>3187</v>
      </c>
      <c r="D739" s="14" t="s">
        <v>3188</v>
      </c>
      <c r="E739" s="14"/>
      <c r="F739" s="14">
        <v>2013.0</v>
      </c>
      <c r="G739" s="14">
        <v>5.0</v>
      </c>
      <c r="H739" s="14"/>
      <c r="I739" s="15" t="s">
        <v>3189</v>
      </c>
      <c r="J739" s="14"/>
      <c r="K739" s="14"/>
      <c r="L739" s="14"/>
      <c r="M739" s="14" t="s">
        <v>111</v>
      </c>
      <c r="N739" s="14" t="s">
        <v>13</v>
      </c>
      <c r="O739" s="14" t="b">
        <v>1</v>
      </c>
      <c r="P739" s="14" t="s">
        <v>3190</v>
      </c>
      <c r="Q739" s="14"/>
      <c r="R739" s="14"/>
      <c r="S739" s="14" t="s">
        <v>3191</v>
      </c>
      <c r="T739" s="14"/>
      <c r="U739" s="17"/>
      <c r="V739" s="14"/>
      <c r="W739" s="14"/>
      <c r="X739" s="18"/>
      <c r="Y739" s="18"/>
      <c r="Z739" s="18"/>
      <c r="AA739" s="19">
        <f t="shared" si="1"/>
        <v>9</v>
      </c>
      <c r="AB739" s="19" t="str">
        <f t="shared" si="2"/>
        <v/>
      </c>
      <c r="AC739" s="19" t="s">
        <v>373</v>
      </c>
    </row>
    <row r="740" ht="15.75" customHeight="1">
      <c r="A740" s="12">
        <v>45189.0</v>
      </c>
      <c r="B740" s="14" t="s">
        <v>539</v>
      </c>
      <c r="C740" s="14" t="s">
        <v>3187</v>
      </c>
      <c r="D740" s="14" t="s">
        <v>3192</v>
      </c>
      <c r="E740" s="14"/>
      <c r="F740" s="14">
        <v>2016.0</v>
      </c>
      <c r="G740" s="14">
        <v>2.0</v>
      </c>
      <c r="H740" s="14"/>
      <c r="I740" s="15" t="s">
        <v>3189</v>
      </c>
      <c r="J740" s="14"/>
      <c r="K740" s="14"/>
      <c r="L740" s="14"/>
      <c r="M740" s="14" t="s">
        <v>111</v>
      </c>
      <c r="N740" s="14" t="s">
        <v>565</v>
      </c>
      <c r="O740" s="14" t="b">
        <v>0</v>
      </c>
      <c r="P740" s="14"/>
      <c r="Q740" s="14"/>
      <c r="R740" s="14"/>
      <c r="S740" s="14" t="s">
        <v>3193</v>
      </c>
      <c r="T740" s="14" t="s">
        <v>4197</v>
      </c>
      <c r="U740" s="17"/>
      <c r="V740" s="14"/>
      <c r="W740" s="14"/>
      <c r="X740" s="18"/>
      <c r="Y740" s="18"/>
      <c r="Z740" s="18"/>
      <c r="AA740" s="19">
        <f t="shared" si="1"/>
        <v>9</v>
      </c>
      <c r="AB740" s="19" t="str">
        <f t="shared" si="2"/>
        <v/>
      </c>
      <c r="AC740" s="19"/>
    </row>
    <row r="741" ht="15.75" customHeight="1">
      <c r="A741" s="12">
        <v>45189.0</v>
      </c>
      <c r="B741" s="13" t="s">
        <v>28</v>
      </c>
      <c r="C741" s="14"/>
      <c r="D741" s="14" t="s">
        <v>3194</v>
      </c>
      <c r="E741" s="14"/>
      <c r="F741" s="14" t="s">
        <v>4494</v>
      </c>
      <c r="G741" s="14"/>
      <c r="H741" s="14"/>
      <c r="I741" s="15" t="s">
        <v>3195</v>
      </c>
      <c r="J741" s="14"/>
      <c r="K741" s="14"/>
      <c r="L741" s="204" t="s">
        <v>4545</v>
      </c>
      <c r="M741" s="14" t="s">
        <v>111</v>
      </c>
      <c r="N741" s="14" t="s">
        <v>216</v>
      </c>
      <c r="O741" s="14" t="b">
        <v>0</v>
      </c>
      <c r="P741" s="14"/>
      <c r="Q741" s="14"/>
      <c r="R741" s="14"/>
      <c r="S741" s="14"/>
      <c r="T741" s="14"/>
      <c r="U741" s="17"/>
      <c r="V741" s="14"/>
      <c r="W741" s="14"/>
      <c r="X741" s="18"/>
      <c r="Y741" s="18"/>
      <c r="Z741" s="18"/>
      <c r="AA741" s="19">
        <f t="shared" si="1"/>
        <v>9</v>
      </c>
      <c r="AB741" s="19" t="str">
        <f t="shared" si="2"/>
        <v/>
      </c>
      <c r="AC741" s="19"/>
    </row>
    <row r="742" ht="15.75" customHeight="1">
      <c r="A742" s="12">
        <v>45190.0</v>
      </c>
      <c r="B742" s="13" t="s">
        <v>28</v>
      </c>
      <c r="C742" s="14" t="s">
        <v>3196</v>
      </c>
      <c r="D742" s="14" t="s">
        <v>3197</v>
      </c>
      <c r="E742" s="14"/>
      <c r="F742" s="14"/>
      <c r="G742" s="14">
        <v>4.0</v>
      </c>
      <c r="H742" s="14"/>
      <c r="I742" s="15" t="s">
        <v>3198</v>
      </c>
      <c r="J742" s="14"/>
      <c r="K742" s="14"/>
      <c r="L742" s="204" t="s">
        <v>3199</v>
      </c>
      <c r="M742" s="14" t="s">
        <v>111</v>
      </c>
      <c r="N742" s="14" t="s">
        <v>565</v>
      </c>
      <c r="O742" s="14" t="b">
        <v>0</v>
      </c>
      <c r="P742" s="14"/>
      <c r="Q742" s="14"/>
      <c r="R742" s="14"/>
      <c r="S742" s="14" t="s">
        <v>3200</v>
      </c>
      <c r="T742" s="14"/>
      <c r="U742" s="17"/>
      <c r="V742" s="14"/>
      <c r="W742" s="14"/>
      <c r="X742" s="18"/>
      <c r="Y742" s="18"/>
      <c r="Z742" s="18"/>
      <c r="AA742" s="19">
        <f t="shared" si="1"/>
        <v>9</v>
      </c>
      <c r="AB742" s="19" t="str">
        <f t="shared" si="2"/>
        <v/>
      </c>
      <c r="AC742" s="19"/>
    </row>
    <row r="743" ht="15.75" customHeight="1">
      <c r="A743" s="12">
        <v>45190.0</v>
      </c>
      <c r="B743" s="13" t="s">
        <v>28</v>
      </c>
      <c r="C743" s="14" t="s">
        <v>3201</v>
      </c>
      <c r="D743" s="14" t="s">
        <v>3202</v>
      </c>
      <c r="E743" s="14"/>
      <c r="F743" s="14"/>
      <c r="G743" s="14" t="s">
        <v>371</v>
      </c>
      <c r="H743" s="14"/>
      <c r="I743" s="15" t="s">
        <v>3203</v>
      </c>
      <c r="J743" s="14"/>
      <c r="K743" s="14"/>
      <c r="L743" s="204" t="s">
        <v>3204</v>
      </c>
      <c r="M743" s="14" t="s">
        <v>111</v>
      </c>
      <c r="N743" s="14" t="s">
        <v>565</v>
      </c>
      <c r="O743" s="14" t="b">
        <v>0</v>
      </c>
      <c r="P743" s="14"/>
      <c r="Q743" s="14"/>
      <c r="R743" s="14"/>
      <c r="S743" s="14" t="s">
        <v>3205</v>
      </c>
      <c r="T743" s="14"/>
      <c r="U743" s="17"/>
      <c r="V743" s="14"/>
      <c r="W743" s="14"/>
      <c r="X743" s="18"/>
      <c r="Y743" s="18"/>
      <c r="Z743" s="18"/>
      <c r="AA743" s="19">
        <f t="shared" si="1"/>
        <v>9</v>
      </c>
      <c r="AB743" s="19" t="str">
        <f t="shared" si="2"/>
        <v/>
      </c>
      <c r="AC743" s="19"/>
    </row>
    <row r="744" ht="15.75" customHeight="1">
      <c r="A744" s="12">
        <v>45190.0</v>
      </c>
      <c r="B744" s="13" t="s">
        <v>28</v>
      </c>
      <c r="C744" s="14" t="s">
        <v>3206</v>
      </c>
      <c r="D744" s="14" t="s">
        <v>3207</v>
      </c>
      <c r="E744" s="14"/>
      <c r="F744" s="14"/>
      <c r="G744" s="14">
        <v>4.0</v>
      </c>
      <c r="H744" s="14"/>
      <c r="I744" s="15" t="s">
        <v>3208</v>
      </c>
      <c r="J744" s="14"/>
      <c r="K744" s="14"/>
      <c r="L744" s="204" t="s">
        <v>3209</v>
      </c>
      <c r="M744" s="14" t="s">
        <v>111</v>
      </c>
      <c r="N744" s="14" t="s">
        <v>565</v>
      </c>
      <c r="O744" s="14" t="b">
        <v>0</v>
      </c>
      <c r="P744" s="14"/>
      <c r="Q744" s="14"/>
      <c r="R744" s="14"/>
      <c r="S744" s="14" t="s">
        <v>3210</v>
      </c>
      <c r="T744" s="14"/>
      <c r="U744" s="17"/>
      <c r="V744" s="14"/>
      <c r="W744" s="14"/>
      <c r="X744" s="18"/>
      <c r="Y744" s="18"/>
      <c r="Z744" s="18"/>
      <c r="AA744" s="19">
        <f t="shared" si="1"/>
        <v>9</v>
      </c>
      <c r="AB744" s="19" t="str">
        <f t="shared" si="2"/>
        <v/>
      </c>
      <c r="AC744" s="19"/>
    </row>
    <row r="745" ht="15.75" customHeight="1">
      <c r="A745" s="12">
        <v>45190.0</v>
      </c>
      <c r="B745" s="13" t="s">
        <v>28</v>
      </c>
      <c r="C745" s="14" t="s">
        <v>3211</v>
      </c>
      <c r="D745" s="14"/>
      <c r="E745" s="14"/>
      <c r="F745" s="14"/>
      <c r="G745" s="14">
        <v>6.0</v>
      </c>
      <c r="H745" s="14"/>
      <c r="I745" s="15" t="s">
        <v>3212</v>
      </c>
      <c r="J745" s="14"/>
      <c r="K745" s="14"/>
      <c r="L745" s="14" t="s">
        <v>3213</v>
      </c>
      <c r="M745" s="14" t="s">
        <v>111</v>
      </c>
      <c r="N745" s="14" t="s">
        <v>565</v>
      </c>
      <c r="O745" s="14" t="b">
        <v>0</v>
      </c>
      <c r="P745" s="14"/>
      <c r="Q745" s="14"/>
      <c r="R745" s="90"/>
      <c r="S745" s="14" t="s">
        <v>3214</v>
      </c>
      <c r="T745" s="14" t="s">
        <v>4197</v>
      </c>
      <c r="U745" s="17"/>
      <c r="V745" s="14"/>
      <c r="W745" s="14"/>
      <c r="X745" s="18"/>
      <c r="Y745" s="18"/>
      <c r="Z745" s="18"/>
      <c r="AA745" s="19">
        <f t="shared" si="1"/>
        <v>9</v>
      </c>
      <c r="AB745" s="19" t="str">
        <f t="shared" si="2"/>
        <v/>
      </c>
      <c r="AC745" s="19"/>
    </row>
    <row r="746" ht="15.75" customHeight="1">
      <c r="A746" s="12">
        <v>45190.0</v>
      </c>
      <c r="B746" s="13" t="s">
        <v>28</v>
      </c>
      <c r="C746" s="14" t="s">
        <v>3215</v>
      </c>
      <c r="D746" s="14"/>
      <c r="E746" s="14"/>
      <c r="F746" s="14"/>
      <c r="G746" s="14"/>
      <c r="H746" s="14"/>
      <c r="I746" s="15" t="s">
        <v>3216</v>
      </c>
      <c r="J746" s="14"/>
      <c r="K746" s="14"/>
      <c r="L746" s="14" t="s">
        <v>3217</v>
      </c>
      <c r="M746" s="14" t="s">
        <v>111</v>
      </c>
      <c r="N746" s="14" t="s">
        <v>565</v>
      </c>
      <c r="O746" s="14" t="b">
        <v>0</v>
      </c>
      <c r="P746" s="14"/>
      <c r="Q746" s="14"/>
      <c r="R746" s="14"/>
      <c r="S746" s="14" t="s">
        <v>3218</v>
      </c>
      <c r="T746" s="14" t="s">
        <v>4197</v>
      </c>
      <c r="U746" s="17"/>
      <c r="V746" s="14"/>
      <c r="W746" s="14"/>
      <c r="X746" s="18"/>
      <c r="Y746" s="18"/>
      <c r="Z746" s="18"/>
      <c r="AA746" s="19">
        <f t="shared" si="1"/>
        <v>9</v>
      </c>
      <c r="AB746" s="19" t="str">
        <f t="shared" si="2"/>
        <v/>
      </c>
      <c r="AC746" s="19"/>
    </row>
    <row r="747" ht="15.75" customHeight="1">
      <c r="A747" s="12">
        <v>45190.0</v>
      </c>
      <c r="B747" s="13" t="s">
        <v>28</v>
      </c>
      <c r="C747" s="14" t="s">
        <v>3219</v>
      </c>
      <c r="D747" s="14"/>
      <c r="E747" s="14"/>
      <c r="F747" s="14">
        <v>2015.0</v>
      </c>
      <c r="G747" s="14">
        <v>3.0</v>
      </c>
      <c r="H747" s="14"/>
      <c r="I747" s="15" t="s">
        <v>3220</v>
      </c>
      <c r="J747" s="14"/>
      <c r="K747" s="14"/>
      <c r="L747" s="14" t="s">
        <v>4550</v>
      </c>
      <c r="M747" s="14" t="s">
        <v>111</v>
      </c>
      <c r="N747" s="14" t="s">
        <v>565</v>
      </c>
      <c r="O747" s="14" t="b">
        <v>0</v>
      </c>
      <c r="P747" s="14"/>
      <c r="Q747" s="14"/>
      <c r="R747" s="14"/>
      <c r="S747" s="14" t="s">
        <v>3222</v>
      </c>
      <c r="T747" s="14" t="s">
        <v>4197</v>
      </c>
      <c r="U747" s="17"/>
      <c r="V747" s="14"/>
      <c r="W747" s="14"/>
      <c r="X747" s="18"/>
      <c r="Y747" s="18"/>
      <c r="Z747" s="18"/>
      <c r="AA747" s="19">
        <f t="shared" si="1"/>
        <v>9</v>
      </c>
      <c r="AB747" s="19" t="str">
        <f t="shared" si="2"/>
        <v/>
      </c>
      <c r="AC747" s="19" t="s">
        <v>373</v>
      </c>
    </row>
    <row r="748" ht="15.75" customHeight="1">
      <c r="A748" s="12">
        <v>45190.0</v>
      </c>
      <c r="B748" s="14" t="s">
        <v>201</v>
      </c>
      <c r="C748" s="14" t="s">
        <v>3225</v>
      </c>
      <c r="D748" s="14"/>
      <c r="E748" s="14"/>
      <c r="F748" s="14" t="s">
        <v>4551</v>
      </c>
      <c r="G748" s="14">
        <v>8.0</v>
      </c>
      <c r="H748" s="14"/>
      <c r="I748" s="15" t="s">
        <v>3224</v>
      </c>
      <c r="J748" s="14"/>
      <c r="K748" s="14"/>
      <c r="L748" s="14" t="s">
        <v>3225</v>
      </c>
      <c r="M748" s="14" t="s">
        <v>111</v>
      </c>
      <c r="N748" s="14" t="s">
        <v>565</v>
      </c>
      <c r="O748" s="14" t="b">
        <v>0</v>
      </c>
      <c r="P748" s="14"/>
      <c r="Q748" s="14"/>
      <c r="R748" s="14"/>
      <c r="S748" s="14" t="s">
        <v>3226</v>
      </c>
      <c r="T748" s="14" t="s">
        <v>4197</v>
      </c>
      <c r="U748" s="17"/>
      <c r="V748" s="14"/>
      <c r="W748" s="14"/>
      <c r="X748" s="18"/>
      <c r="Y748" s="18"/>
      <c r="Z748" s="18"/>
      <c r="AA748" s="19">
        <f t="shared" si="1"/>
        <v>9</v>
      </c>
      <c r="AB748" s="19" t="str">
        <f t="shared" si="2"/>
        <v/>
      </c>
      <c r="AC748" s="19" t="s">
        <v>373</v>
      </c>
    </row>
    <row r="749" ht="15.75" customHeight="1">
      <c r="A749" s="12">
        <v>45191.0</v>
      </c>
      <c r="B749" s="13" t="s">
        <v>28</v>
      </c>
      <c r="C749" s="14" t="s">
        <v>3227</v>
      </c>
      <c r="D749" s="14" t="s">
        <v>3228</v>
      </c>
      <c r="E749" s="14"/>
      <c r="F749" s="59">
        <v>42239.0</v>
      </c>
      <c r="G749" s="14">
        <v>3.0</v>
      </c>
      <c r="H749" s="14"/>
      <c r="I749" s="15" t="s">
        <v>3229</v>
      </c>
      <c r="J749" s="14"/>
      <c r="K749" s="14"/>
      <c r="L749" s="204" t="s">
        <v>3230</v>
      </c>
      <c r="M749" s="14" t="s">
        <v>111</v>
      </c>
      <c r="N749" s="14" t="s">
        <v>565</v>
      </c>
      <c r="O749" s="14" t="b">
        <v>0</v>
      </c>
      <c r="P749" s="14"/>
      <c r="Q749" s="14"/>
      <c r="R749" s="14"/>
      <c r="S749" s="14" t="s">
        <v>3231</v>
      </c>
      <c r="T749" s="14" t="s">
        <v>4197</v>
      </c>
      <c r="U749" s="17"/>
      <c r="V749" s="14"/>
      <c r="W749" s="14"/>
      <c r="X749" s="18"/>
      <c r="Y749" s="18"/>
      <c r="Z749" s="18"/>
      <c r="AA749" s="19">
        <f t="shared" si="1"/>
        <v>9</v>
      </c>
      <c r="AB749" s="19" t="str">
        <f t="shared" si="2"/>
        <v/>
      </c>
      <c r="AC749" s="19"/>
    </row>
    <row r="750" ht="15.75" customHeight="1">
      <c r="A750" s="12">
        <v>45191.0</v>
      </c>
      <c r="B750" s="13" t="s">
        <v>28</v>
      </c>
      <c r="C750" s="14" t="s">
        <v>3232</v>
      </c>
      <c r="D750" s="14"/>
      <c r="E750" s="14"/>
      <c r="F750" s="14"/>
      <c r="G750" s="14"/>
      <c r="H750" s="14"/>
      <c r="I750" s="15" t="s">
        <v>3233</v>
      </c>
      <c r="J750" s="14"/>
      <c r="K750" s="14"/>
      <c r="L750" s="14" t="s">
        <v>3234</v>
      </c>
      <c r="M750" s="14" t="s">
        <v>111</v>
      </c>
      <c r="N750" s="14" t="s">
        <v>565</v>
      </c>
      <c r="O750" s="14" t="b">
        <v>0</v>
      </c>
      <c r="P750" s="14"/>
      <c r="Q750" s="14"/>
      <c r="R750" s="14"/>
      <c r="S750" s="14" t="s">
        <v>3235</v>
      </c>
      <c r="T750" s="14" t="s">
        <v>4552</v>
      </c>
      <c r="U750" s="17"/>
      <c r="V750" s="14"/>
      <c r="W750" s="14"/>
      <c r="X750" s="18"/>
      <c r="Y750" s="18"/>
      <c r="Z750" s="18"/>
      <c r="AA750" s="19">
        <f t="shared" si="1"/>
        <v>9</v>
      </c>
      <c r="AB750" s="19" t="str">
        <f t="shared" si="2"/>
        <v/>
      </c>
      <c r="AC750" s="19"/>
    </row>
    <row r="751" ht="15.75" customHeight="1">
      <c r="A751" s="12">
        <v>45191.0</v>
      </c>
      <c r="B751" s="14" t="s">
        <v>703</v>
      </c>
      <c r="C751" s="14" t="s">
        <v>3236</v>
      </c>
      <c r="D751" s="14" t="s">
        <v>3237</v>
      </c>
      <c r="E751" s="14"/>
      <c r="F751" s="142">
        <v>41626.0</v>
      </c>
      <c r="G751" s="14"/>
      <c r="H751" s="14"/>
      <c r="I751" s="15" t="s">
        <v>3238</v>
      </c>
      <c r="J751" s="14"/>
      <c r="K751" s="14"/>
      <c r="L751" s="204" t="s">
        <v>3239</v>
      </c>
      <c r="M751" s="14" t="s">
        <v>111</v>
      </c>
      <c r="N751" s="14" t="s">
        <v>565</v>
      </c>
      <c r="O751" s="14" t="b">
        <v>0</v>
      </c>
      <c r="P751" s="14"/>
      <c r="Q751" s="14"/>
      <c r="R751" s="14"/>
      <c r="S751" s="14" t="s">
        <v>3240</v>
      </c>
      <c r="T751" s="14"/>
      <c r="U751" s="17"/>
      <c r="V751" s="14"/>
      <c r="W751" s="14"/>
      <c r="X751" s="18"/>
      <c r="Y751" s="18"/>
      <c r="Z751" s="18"/>
      <c r="AA751" s="19">
        <f t="shared" si="1"/>
        <v>9</v>
      </c>
      <c r="AB751" s="19" t="str">
        <f t="shared" si="2"/>
        <v/>
      </c>
      <c r="AC751" s="19"/>
    </row>
    <row r="752" ht="15.75" customHeight="1">
      <c r="A752" s="12">
        <v>45191.0</v>
      </c>
      <c r="B752" s="14" t="s">
        <v>201</v>
      </c>
      <c r="C752" s="14" t="s">
        <v>4553</v>
      </c>
      <c r="D752" s="14"/>
      <c r="E752" s="14"/>
      <c r="F752" s="14" t="s">
        <v>4554</v>
      </c>
      <c r="G752" s="14"/>
      <c r="H752" s="14"/>
      <c r="I752" s="15" t="s">
        <v>3242</v>
      </c>
      <c r="J752" s="14"/>
      <c r="K752" s="14"/>
      <c r="L752" s="14" t="s">
        <v>3243</v>
      </c>
      <c r="M752" s="14" t="s">
        <v>111</v>
      </c>
      <c r="N752" s="14" t="s">
        <v>565</v>
      </c>
      <c r="O752" s="14" t="b">
        <v>0</v>
      </c>
      <c r="P752" s="14"/>
      <c r="Q752" s="14"/>
      <c r="R752" s="14"/>
      <c r="S752" s="14" t="s">
        <v>3244</v>
      </c>
      <c r="T752" s="14" t="s">
        <v>4096</v>
      </c>
      <c r="U752" s="17"/>
      <c r="V752" s="14"/>
      <c r="W752" s="14"/>
      <c r="X752" s="18"/>
      <c r="Y752" s="18"/>
      <c r="Z752" s="18"/>
      <c r="AA752" s="19">
        <f t="shared" si="1"/>
        <v>9</v>
      </c>
      <c r="AB752" s="19" t="str">
        <f t="shared" si="2"/>
        <v/>
      </c>
      <c r="AC752" s="19" t="s">
        <v>373</v>
      </c>
    </row>
    <row r="753" ht="15.75" customHeight="1">
      <c r="A753" s="12">
        <v>45136.0</v>
      </c>
      <c r="B753" s="13" t="s">
        <v>28</v>
      </c>
      <c r="C753" s="44" t="s">
        <v>3245</v>
      </c>
      <c r="D753" s="14" t="s">
        <v>3246</v>
      </c>
      <c r="E753" s="14"/>
      <c r="F753" s="14"/>
      <c r="G753" s="14">
        <v>4.0</v>
      </c>
      <c r="H753" s="14"/>
      <c r="I753" s="15" t="s">
        <v>3247</v>
      </c>
      <c r="J753" s="14"/>
      <c r="K753" s="14"/>
      <c r="L753" s="14" t="s">
        <v>3248</v>
      </c>
      <c r="M753" s="14" t="s">
        <v>111</v>
      </c>
      <c r="N753" s="14" t="s">
        <v>13</v>
      </c>
      <c r="O753" s="14" t="b">
        <v>1</v>
      </c>
      <c r="P753" s="14" t="s">
        <v>3249</v>
      </c>
      <c r="Q753" s="14"/>
      <c r="R753" s="14"/>
      <c r="S753" s="14" t="s">
        <v>3250</v>
      </c>
      <c r="T753" s="14" t="s">
        <v>4197</v>
      </c>
      <c r="U753" s="17"/>
      <c r="V753" s="14"/>
      <c r="W753" s="14"/>
      <c r="X753" s="18"/>
      <c r="Y753" s="18"/>
      <c r="Z753" s="18"/>
      <c r="AA753" s="19">
        <f t="shared" si="1"/>
        <v>7</v>
      </c>
      <c r="AB753" s="19" t="str">
        <f t="shared" si="2"/>
        <v/>
      </c>
      <c r="AC753" s="19" t="s">
        <v>373</v>
      </c>
    </row>
    <row r="754" ht="15.75" customHeight="1">
      <c r="A754" s="12">
        <v>45191.0</v>
      </c>
      <c r="B754" s="14" t="s">
        <v>539</v>
      </c>
      <c r="C754" s="14" t="s">
        <v>3251</v>
      </c>
      <c r="D754" s="14" t="s">
        <v>3252</v>
      </c>
      <c r="E754" s="14"/>
      <c r="F754" s="14"/>
      <c r="G754" s="14">
        <v>5.0</v>
      </c>
      <c r="H754" s="14"/>
      <c r="I754" s="15" t="s">
        <v>3253</v>
      </c>
      <c r="J754" s="14"/>
      <c r="K754" s="14"/>
      <c r="L754" s="14"/>
      <c r="M754" s="14" t="s">
        <v>111</v>
      </c>
      <c r="N754" s="14" t="s">
        <v>13</v>
      </c>
      <c r="O754" s="14" t="b">
        <v>1</v>
      </c>
      <c r="P754" s="14" t="s">
        <v>3254</v>
      </c>
      <c r="Q754" s="14"/>
      <c r="R754" s="14"/>
      <c r="S754" s="14" t="s">
        <v>3255</v>
      </c>
      <c r="T754" s="14" t="s">
        <v>4197</v>
      </c>
      <c r="U754" s="17"/>
      <c r="V754" s="14"/>
      <c r="W754" s="14"/>
      <c r="X754" s="18"/>
      <c r="Y754" s="18"/>
      <c r="Z754" s="18"/>
      <c r="AA754" s="19">
        <f t="shared" si="1"/>
        <v>9</v>
      </c>
      <c r="AB754" s="19" t="str">
        <f t="shared" si="2"/>
        <v/>
      </c>
      <c r="AC754" s="19"/>
    </row>
    <row r="755" ht="15.75" customHeight="1">
      <c r="A755" s="12">
        <v>45191.0</v>
      </c>
      <c r="B755" s="14" t="s">
        <v>703</v>
      </c>
      <c r="C755" s="14" t="s">
        <v>3256</v>
      </c>
      <c r="D755" s="14" t="s">
        <v>3257</v>
      </c>
      <c r="E755" s="14"/>
      <c r="F755" s="14"/>
      <c r="G755" s="14"/>
      <c r="H755" s="14"/>
      <c r="I755" s="15" t="s">
        <v>3258</v>
      </c>
      <c r="J755" s="14"/>
      <c r="K755" s="14"/>
      <c r="L755" s="204" t="s">
        <v>3259</v>
      </c>
      <c r="M755" s="14" t="s">
        <v>111</v>
      </c>
      <c r="N755" s="14" t="s">
        <v>565</v>
      </c>
      <c r="O755" s="14" t="b">
        <v>0</v>
      </c>
      <c r="P755" s="14"/>
      <c r="Q755" s="14"/>
      <c r="R755" s="14"/>
      <c r="S755" s="322" t="s">
        <v>3260</v>
      </c>
      <c r="T755" s="14" t="s">
        <v>4197</v>
      </c>
      <c r="U755" s="17"/>
      <c r="V755" s="14"/>
      <c r="W755" s="14"/>
      <c r="X755" s="18"/>
      <c r="Y755" s="18"/>
      <c r="Z755" s="18"/>
      <c r="AA755" s="19">
        <f t="shared" si="1"/>
        <v>9</v>
      </c>
      <c r="AB755" s="19" t="str">
        <f t="shared" si="2"/>
        <v/>
      </c>
      <c r="AC755" s="19"/>
    </row>
    <row r="756" ht="15.75" customHeight="1">
      <c r="A756" s="12">
        <v>45192.0</v>
      </c>
      <c r="B756" s="13" t="s">
        <v>28</v>
      </c>
      <c r="C756" s="347" t="s">
        <v>3261</v>
      </c>
      <c r="D756" s="347" t="s">
        <v>3262</v>
      </c>
      <c r="E756" s="316"/>
      <c r="F756" s="348">
        <v>41127.0</v>
      </c>
      <c r="G756" s="347">
        <v>6.0</v>
      </c>
      <c r="H756" s="316"/>
      <c r="I756" s="349" t="s">
        <v>3263</v>
      </c>
      <c r="J756" s="316"/>
      <c r="K756" s="14"/>
      <c r="L756" s="204" t="s">
        <v>3264</v>
      </c>
      <c r="M756" s="14" t="s">
        <v>111</v>
      </c>
      <c r="N756" s="14" t="s">
        <v>216</v>
      </c>
      <c r="O756" s="14" t="b">
        <v>0</v>
      </c>
      <c r="P756" s="14"/>
      <c r="Q756" s="14"/>
      <c r="R756" s="14"/>
      <c r="S756" s="14" t="s">
        <v>3265</v>
      </c>
      <c r="T756" s="14" t="s">
        <v>4096</v>
      </c>
      <c r="U756" s="17"/>
      <c r="V756" s="14"/>
      <c r="W756" s="14"/>
      <c r="X756" s="18"/>
      <c r="Y756" s="18"/>
      <c r="Z756" s="18"/>
      <c r="AA756" s="19">
        <f t="shared" si="1"/>
        <v>9</v>
      </c>
      <c r="AB756" s="19" t="str">
        <f t="shared" si="2"/>
        <v/>
      </c>
      <c r="AC756" s="19"/>
    </row>
    <row r="757" ht="15.75" customHeight="1">
      <c r="A757" s="26">
        <v>45192.0</v>
      </c>
      <c r="B757" s="13" t="s">
        <v>28</v>
      </c>
      <c r="C757" s="27" t="s">
        <v>3266</v>
      </c>
      <c r="D757" s="27" t="s">
        <v>3228</v>
      </c>
      <c r="E757" s="27"/>
      <c r="F757" s="27">
        <v>2012.0</v>
      </c>
      <c r="G757" s="27">
        <v>6.0</v>
      </c>
      <c r="H757" s="27"/>
      <c r="I757" s="34" t="s">
        <v>3267</v>
      </c>
      <c r="J757" s="27"/>
      <c r="K757" s="27"/>
      <c r="L757" s="27"/>
      <c r="M757" s="27" t="s">
        <v>111</v>
      </c>
      <c r="N757" s="27" t="s">
        <v>67</v>
      </c>
      <c r="O757" s="14" t="b">
        <v>1</v>
      </c>
      <c r="P757" s="27" t="s">
        <v>3268</v>
      </c>
      <c r="Q757" s="27"/>
      <c r="R757" s="27"/>
      <c r="S757" s="27" t="s">
        <v>3269</v>
      </c>
      <c r="T757" s="27" t="s">
        <v>4432</v>
      </c>
      <c r="U757" s="26"/>
      <c r="V757" s="32">
        <v>45195.0</v>
      </c>
      <c r="W757" s="27" t="s">
        <v>4528</v>
      </c>
      <c r="X757" s="25">
        <v>3840000.0</v>
      </c>
      <c r="Y757" s="25">
        <v>576000.0</v>
      </c>
      <c r="Z757" s="25">
        <v>3264000.0</v>
      </c>
      <c r="AA757" s="19">
        <f t="shared" si="1"/>
        <v>9</v>
      </c>
      <c r="AB757" s="19">
        <f t="shared" si="2"/>
        <v>9</v>
      </c>
      <c r="AC757" s="19"/>
    </row>
    <row r="758" ht="15.75" customHeight="1">
      <c r="A758" s="12">
        <v>45192.0</v>
      </c>
      <c r="B758" s="13" t="s">
        <v>28</v>
      </c>
      <c r="C758" s="14" t="s">
        <v>3270</v>
      </c>
      <c r="D758" s="14"/>
      <c r="E758" s="14"/>
      <c r="F758" s="14"/>
      <c r="G758" s="14"/>
      <c r="H758" s="14"/>
      <c r="I758" s="15" t="s">
        <v>3271</v>
      </c>
      <c r="J758" s="14"/>
      <c r="K758" s="14"/>
      <c r="L758" s="14" t="s">
        <v>3272</v>
      </c>
      <c r="M758" s="14" t="s">
        <v>111</v>
      </c>
      <c r="N758" s="14" t="s">
        <v>216</v>
      </c>
      <c r="O758" s="14" t="b">
        <v>0</v>
      </c>
      <c r="P758" s="14"/>
      <c r="Q758" s="14"/>
      <c r="R758" s="14"/>
      <c r="S758" s="14" t="s">
        <v>3273</v>
      </c>
      <c r="T758" s="14" t="s">
        <v>4096</v>
      </c>
      <c r="U758" s="17"/>
      <c r="V758" s="14"/>
      <c r="W758" s="14"/>
      <c r="X758" s="18"/>
      <c r="Y758" s="18"/>
      <c r="Z758" s="18"/>
      <c r="AA758" s="19">
        <f t="shared" si="1"/>
        <v>9</v>
      </c>
      <c r="AB758" s="19" t="str">
        <f t="shared" si="2"/>
        <v/>
      </c>
      <c r="AC758" s="19"/>
    </row>
    <row r="759" ht="15.75" customHeight="1">
      <c r="A759" s="12">
        <v>45192.0</v>
      </c>
      <c r="B759" s="14" t="s">
        <v>703</v>
      </c>
      <c r="C759" s="14" t="s">
        <v>3274</v>
      </c>
      <c r="D759" s="14"/>
      <c r="E759" s="14"/>
      <c r="F759" s="14"/>
      <c r="G759" s="14"/>
      <c r="H759" s="14"/>
      <c r="I759" s="15" t="s">
        <v>3275</v>
      </c>
      <c r="J759" s="14"/>
      <c r="K759" s="14"/>
      <c r="L759" s="14" t="s">
        <v>3276</v>
      </c>
      <c r="M759" s="14" t="s">
        <v>111</v>
      </c>
      <c r="N759" s="14" t="s">
        <v>34</v>
      </c>
      <c r="O759" s="14" t="b">
        <v>0</v>
      </c>
      <c r="P759" s="14"/>
      <c r="Q759" s="14"/>
      <c r="R759" s="14"/>
      <c r="S759" s="14" t="s">
        <v>3277</v>
      </c>
      <c r="T759" s="14" t="s">
        <v>4069</v>
      </c>
      <c r="U759" s="17"/>
      <c r="V759" s="14"/>
      <c r="W759" s="14"/>
      <c r="X759" s="18"/>
      <c r="Y759" s="18"/>
      <c r="Z759" s="18"/>
      <c r="AA759" s="19">
        <f t="shared" si="1"/>
        <v>9</v>
      </c>
      <c r="AB759" s="19" t="str">
        <f t="shared" si="2"/>
        <v/>
      </c>
      <c r="AC759" s="19"/>
    </row>
    <row r="760" ht="15.75" customHeight="1">
      <c r="A760" s="12">
        <v>45192.0</v>
      </c>
      <c r="B760" s="14" t="s">
        <v>73</v>
      </c>
      <c r="C760" s="14" t="s">
        <v>3278</v>
      </c>
      <c r="D760" s="14"/>
      <c r="E760" s="14"/>
      <c r="F760" s="14"/>
      <c r="G760" s="14"/>
      <c r="H760" s="14"/>
      <c r="I760" s="15" t="s">
        <v>3279</v>
      </c>
      <c r="J760" s="14"/>
      <c r="K760" s="14"/>
      <c r="L760" s="14"/>
      <c r="M760" s="14" t="s">
        <v>111</v>
      </c>
      <c r="N760" s="14" t="s">
        <v>565</v>
      </c>
      <c r="O760" s="14" t="b">
        <v>0</v>
      </c>
      <c r="P760" s="14"/>
      <c r="Q760" s="14"/>
      <c r="R760" s="14"/>
      <c r="S760" s="14" t="s">
        <v>3280</v>
      </c>
      <c r="T760" s="14" t="s">
        <v>4096</v>
      </c>
      <c r="U760" s="17"/>
      <c r="V760" s="14"/>
      <c r="W760" s="14"/>
      <c r="X760" s="18"/>
      <c r="Y760" s="18"/>
      <c r="Z760" s="18"/>
      <c r="AA760" s="19">
        <f t="shared" si="1"/>
        <v>9</v>
      </c>
      <c r="AB760" s="19" t="str">
        <f t="shared" si="2"/>
        <v/>
      </c>
      <c r="AC760" s="19"/>
    </row>
    <row r="761" ht="15.75" customHeight="1">
      <c r="A761" s="12">
        <v>45192.0</v>
      </c>
      <c r="B761" s="14" t="s">
        <v>703</v>
      </c>
      <c r="C761" s="14" t="s">
        <v>3281</v>
      </c>
      <c r="D761" s="14"/>
      <c r="E761" s="14"/>
      <c r="F761" s="14"/>
      <c r="G761" s="14"/>
      <c r="H761" s="14"/>
      <c r="I761" s="15" t="s">
        <v>3282</v>
      </c>
      <c r="J761" s="14"/>
      <c r="K761" s="14"/>
      <c r="L761" s="14" t="s">
        <v>3283</v>
      </c>
      <c r="M761" s="14" t="s">
        <v>111</v>
      </c>
      <c r="N761" s="14" t="s">
        <v>34</v>
      </c>
      <c r="O761" s="14" t="b">
        <v>0</v>
      </c>
      <c r="P761" s="14"/>
      <c r="Q761" s="14"/>
      <c r="R761" s="14"/>
      <c r="S761" s="14" t="s">
        <v>3284</v>
      </c>
      <c r="T761" s="14" t="s">
        <v>4069</v>
      </c>
      <c r="U761" s="17"/>
      <c r="V761" s="14"/>
      <c r="W761" s="14"/>
      <c r="X761" s="18"/>
      <c r="Y761" s="18"/>
      <c r="Z761" s="18"/>
      <c r="AA761" s="19">
        <f t="shared" si="1"/>
        <v>9</v>
      </c>
      <c r="AB761" s="19" t="str">
        <f t="shared" si="2"/>
        <v/>
      </c>
      <c r="AC761" s="19"/>
    </row>
    <row r="762" ht="15.75" customHeight="1">
      <c r="A762" s="12">
        <v>45192.0</v>
      </c>
      <c r="B762" s="14" t="s">
        <v>703</v>
      </c>
      <c r="C762" s="14" t="s">
        <v>3285</v>
      </c>
      <c r="D762" s="14"/>
      <c r="E762" s="14"/>
      <c r="F762" s="14"/>
      <c r="G762" s="14">
        <v>3.0</v>
      </c>
      <c r="H762" s="14"/>
      <c r="I762" s="15" t="s">
        <v>3286</v>
      </c>
      <c r="J762" s="14"/>
      <c r="K762" s="14"/>
      <c r="L762" s="14" t="s">
        <v>3287</v>
      </c>
      <c r="M762" s="14" t="s">
        <v>111</v>
      </c>
      <c r="N762" s="14" t="s">
        <v>34</v>
      </c>
      <c r="O762" s="14" t="b">
        <v>0</v>
      </c>
      <c r="P762" s="14"/>
      <c r="Q762" s="14"/>
      <c r="R762" s="14"/>
      <c r="S762" s="14" t="s">
        <v>3288</v>
      </c>
      <c r="T762" s="14" t="s">
        <v>4069</v>
      </c>
      <c r="U762" s="17"/>
      <c r="V762" s="14"/>
      <c r="W762" s="14"/>
      <c r="X762" s="18"/>
      <c r="Y762" s="18"/>
      <c r="Z762" s="18"/>
      <c r="AA762" s="19">
        <f t="shared" si="1"/>
        <v>9</v>
      </c>
      <c r="AB762" s="19" t="str">
        <f t="shared" si="2"/>
        <v/>
      </c>
      <c r="AC762" s="19"/>
    </row>
    <row r="763" ht="15.75" customHeight="1">
      <c r="A763" s="12">
        <v>45192.0</v>
      </c>
      <c r="B763" s="13" t="s">
        <v>28</v>
      </c>
      <c r="C763" s="14" t="s">
        <v>3289</v>
      </c>
      <c r="D763" s="14"/>
      <c r="E763" s="14"/>
      <c r="F763" s="14"/>
      <c r="G763" s="14"/>
      <c r="H763" s="14"/>
      <c r="I763" s="42" t="s">
        <v>3290</v>
      </c>
      <c r="J763" s="14"/>
      <c r="K763" s="14"/>
      <c r="L763" s="14" t="s">
        <v>91</v>
      </c>
      <c r="M763" s="14" t="s">
        <v>111</v>
      </c>
      <c r="N763" s="14" t="s">
        <v>216</v>
      </c>
      <c r="O763" s="14" t="b">
        <v>0</v>
      </c>
      <c r="P763" s="14"/>
      <c r="Q763" s="14"/>
      <c r="R763" s="14"/>
      <c r="S763" s="14" t="s">
        <v>3291</v>
      </c>
      <c r="T763" s="14" t="s">
        <v>4096</v>
      </c>
      <c r="U763" s="17"/>
      <c r="V763" s="14"/>
      <c r="W763" s="14"/>
      <c r="X763" s="18"/>
      <c r="Y763" s="18"/>
      <c r="Z763" s="18"/>
      <c r="AA763" s="19">
        <f t="shared" si="1"/>
        <v>9</v>
      </c>
      <c r="AB763" s="19" t="str">
        <f t="shared" si="2"/>
        <v/>
      </c>
      <c r="AC763" s="19"/>
    </row>
    <row r="764" ht="15.75" customHeight="1">
      <c r="A764" s="12">
        <v>45192.0</v>
      </c>
      <c r="B764" s="13" t="s">
        <v>28</v>
      </c>
      <c r="C764" s="14"/>
      <c r="D764" s="14" t="s">
        <v>3292</v>
      </c>
      <c r="E764" s="14"/>
      <c r="F764" s="14"/>
      <c r="G764" s="14"/>
      <c r="H764" s="14"/>
      <c r="I764" s="15" t="s">
        <v>3293</v>
      </c>
      <c r="J764" s="14"/>
      <c r="K764" s="14"/>
      <c r="L764" s="14" t="s">
        <v>3294</v>
      </c>
      <c r="M764" s="14" t="s">
        <v>111</v>
      </c>
      <c r="N764" s="14" t="s">
        <v>216</v>
      </c>
      <c r="O764" s="14" t="b">
        <v>0</v>
      </c>
      <c r="P764" s="14"/>
      <c r="Q764" s="14"/>
      <c r="R764" s="14"/>
      <c r="S764" s="14" t="s">
        <v>3295</v>
      </c>
      <c r="T764" s="14" t="s">
        <v>4096</v>
      </c>
      <c r="U764" s="17"/>
      <c r="V764" s="14"/>
      <c r="W764" s="14"/>
      <c r="X764" s="18"/>
      <c r="Y764" s="18"/>
      <c r="Z764" s="18"/>
      <c r="AA764" s="19">
        <f t="shared" si="1"/>
        <v>9</v>
      </c>
      <c r="AB764" s="19" t="str">
        <f t="shared" si="2"/>
        <v/>
      </c>
      <c r="AC764" s="19"/>
    </row>
    <row r="765" ht="15.75" customHeight="1">
      <c r="A765" s="12">
        <v>45192.0</v>
      </c>
      <c r="B765" s="13" t="s">
        <v>28</v>
      </c>
      <c r="C765" s="14" t="s">
        <v>3296</v>
      </c>
      <c r="D765" s="14" t="s">
        <v>3297</v>
      </c>
      <c r="E765" s="14"/>
      <c r="F765" s="14">
        <v>2017.0</v>
      </c>
      <c r="G765" s="14">
        <v>1.0</v>
      </c>
      <c r="H765" s="14"/>
      <c r="I765" s="15" t="s">
        <v>3298</v>
      </c>
      <c r="J765" s="14"/>
      <c r="K765" s="14"/>
      <c r="L765" s="14"/>
      <c r="M765" s="14" t="s">
        <v>111</v>
      </c>
      <c r="N765" s="14" t="s">
        <v>13</v>
      </c>
      <c r="O765" s="14" t="b">
        <v>1</v>
      </c>
      <c r="P765" s="14" t="s">
        <v>3299</v>
      </c>
      <c r="Q765" s="14"/>
      <c r="R765" s="14"/>
      <c r="S765" s="14" t="s">
        <v>3300</v>
      </c>
      <c r="T765" s="14" t="s">
        <v>4069</v>
      </c>
      <c r="U765" s="17"/>
      <c r="V765" s="14"/>
      <c r="W765" s="14"/>
      <c r="X765" s="18"/>
      <c r="Y765" s="18"/>
      <c r="Z765" s="18"/>
      <c r="AA765" s="19">
        <f t="shared" si="1"/>
        <v>9</v>
      </c>
      <c r="AB765" s="19" t="str">
        <f t="shared" si="2"/>
        <v/>
      </c>
      <c r="AC765" s="19" t="s">
        <v>373</v>
      </c>
    </row>
    <row r="766" ht="15.75" customHeight="1">
      <c r="A766" s="26">
        <v>45192.0</v>
      </c>
      <c r="B766" s="27" t="s">
        <v>201</v>
      </c>
      <c r="C766" s="27" t="s">
        <v>4555</v>
      </c>
      <c r="D766" s="27" t="s">
        <v>3302</v>
      </c>
      <c r="E766" s="27"/>
      <c r="F766" s="27">
        <v>2012.0</v>
      </c>
      <c r="G766" s="27">
        <v>6.0</v>
      </c>
      <c r="H766" s="27"/>
      <c r="I766" s="34" t="s">
        <v>3303</v>
      </c>
      <c r="J766" s="27"/>
      <c r="K766" s="27"/>
      <c r="L766" s="27"/>
      <c r="M766" s="27" t="s">
        <v>111</v>
      </c>
      <c r="N766" s="27" t="s">
        <v>67</v>
      </c>
      <c r="O766" s="14" t="b">
        <v>1</v>
      </c>
      <c r="P766" s="27" t="s">
        <v>3304</v>
      </c>
      <c r="Q766" s="27"/>
      <c r="R766" s="27"/>
      <c r="S766" s="27" t="s">
        <v>3305</v>
      </c>
      <c r="T766" s="27" t="s">
        <v>4556</v>
      </c>
      <c r="U766" s="26"/>
      <c r="V766" s="32">
        <v>45194.0</v>
      </c>
      <c r="W766" s="27" t="s">
        <v>4207</v>
      </c>
      <c r="X766" s="25">
        <v>4812000.0</v>
      </c>
      <c r="Y766" s="25">
        <v>625000.0</v>
      </c>
      <c r="Z766" s="25">
        <v>4187000.0</v>
      </c>
      <c r="AA766" s="19">
        <f t="shared" si="1"/>
        <v>9</v>
      </c>
      <c r="AB766" s="19">
        <f t="shared" si="2"/>
        <v>9</v>
      </c>
      <c r="AC766" s="19"/>
    </row>
    <row r="767" ht="15.75" customHeight="1">
      <c r="A767" s="12">
        <v>45192.0</v>
      </c>
      <c r="B767" s="13" t="s">
        <v>28</v>
      </c>
      <c r="C767" s="14" t="s">
        <v>3306</v>
      </c>
      <c r="D767" s="14" t="s">
        <v>3307</v>
      </c>
      <c r="E767" s="14"/>
      <c r="F767" s="59">
        <v>40557.0</v>
      </c>
      <c r="G767" s="14" t="s">
        <v>625</v>
      </c>
      <c r="H767" s="14"/>
      <c r="I767" s="15" t="s">
        <v>3308</v>
      </c>
      <c r="J767" s="14"/>
      <c r="K767" s="14"/>
      <c r="L767" s="204" t="s">
        <v>3309</v>
      </c>
      <c r="M767" s="14" t="s">
        <v>111</v>
      </c>
      <c r="N767" s="14" t="s">
        <v>565</v>
      </c>
      <c r="O767" s="14" t="b">
        <v>0</v>
      </c>
      <c r="P767" s="14"/>
      <c r="Q767" s="14"/>
      <c r="R767" s="14"/>
      <c r="S767" s="14" t="s">
        <v>3310</v>
      </c>
      <c r="T767" s="14"/>
      <c r="U767" s="17"/>
      <c r="V767" s="14"/>
      <c r="W767" s="14"/>
      <c r="X767" s="18"/>
      <c r="Y767" s="18"/>
      <c r="Z767" s="18"/>
      <c r="AA767" s="19">
        <f t="shared" si="1"/>
        <v>9</v>
      </c>
      <c r="AB767" s="19" t="str">
        <f t="shared" si="2"/>
        <v/>
      </c>
      <c r="AC767" s="19"/>
    </row>
    <row r="768" ht="15.75" customHeight="1">
      <c r="A768" s="12">
        <v>45192.0</v>
      </c>
      <c r="B768" s="14" t="s">
        <v>201</v>
      </c>
      <c r="C768" s="14"/>
      <c r="D768" s="14" t="s">
        <v>3311</v>
      </c>
      <c r="E768" s="14"/>
      <c r="F768" s="59">
        <v>40306.0</v>
      </c>
      <c r="G768" s="14"/>
      <c r="H768" s="14"/>
      <c r="I768" s="15" t="s">
        <v>3312</v>
      </c>
      <c r="J768" s="14"/>
      <c r="K768" s="14"/>
      <c r="L768" s="43" t="s">
        <v>3313</v>
      </c>
      <c r="M768" s="14" t="s">
        <v>111</v>
      </c>
      <c r="N768" s="14" t="s">
        <v>216</v>
      </c>
      <c r="O768" s="14" t="b">
        <v>0</v>
      </c>
      <c r="P768" s="14"/>
      <c r="Q768" s="14"/>
      <c r="R768" s="14"/>
      <c r="S768" s="14" t="s">
        <v>3314</v>
      </c>
      <c r="T768" s="14"/>
      <c r="U768" s="17"/>
      <c r="V768" s="14"/>
      <c r="W768" s="14"/>
      <c r="X768" s="18"/>
      <c r="Y768" s="18"/>
      <c r="Z768" s="18"/>
      <c r="AA768" s="19">
        <f t="shared" si="1"/>
        <v>9</v>
      </c>
      <c r="AB768" s="19" t="str">
        <f t="shared" si="2"/>
        <v/>
      </c>
      <c r="AC768" s="19"/>
    </row>
    <row r="769" ht="15.75" customHeight="1">
      <c r="A769" s="12">
        <v>45193.0</v>
      </c>
      <c r="B769" s="13" t="s">
        <v>28</v>
      </c>
      <c r="C769" s="14" t="s">
        <v>3315</v>
      </c>
      <c r="D769" s="14"/>
      <c r="E769" s="14"/>
      <c r="F769" s="14"/>
      <c r="G769" s="14"/>
      <c r="H769" s="14"/>
      <c r="I769" s="15" t="s">
        <v>3316</v>
      </c>
      <c r="J769" s="14"/>
      <c r="K769" s="14"/>
      <c r="L769" s="14" t="s">
        <v>91</v>
      </c>
      <c r="M769" s="14" t="s">
        <v>111</v>
      </c>
      <c r="N769" s="14" t="s">
        <v>216</v>
      </c>
      <c r="O769" s="14" t="b">
        <v>0</v>
      </c>
      <c r="P769" s="14"/>
      <c r="Q769" s="14"/>
      <c r="R769" s="14"/>
      <c r="S769" s="14" t="s">
        <v>3310</v>
      </c>
      <c r="T769" s="14"/>
      <c r="U769" s="17"/>
      <c r="V769" s="14"/>
      <c r="W769" s="14"/>
      <c r="X769" s="18"/>
      <c r="Y769" s="18"/>
      <c r="Z769" s="18"/>
      <c r="AA769" s="19">
        <f t="shared" si="1"/>
        <v>9</v>
      </c>
      <c r="AB769" s="19" t="str">
        <f t="shared" si="2"/>
        <v/>
      </c>
      <c r="AC769" s="19"/>
    </row>
    <row r="770" ht="15.75" customHeight="1">
      <c r="A770" s="12">
        <v>45193.0</v>
      </c>
      <c r="B770" s="13" t="s">
        <v>28</v>
      </c>
      <c r="C770" s="14" t="s">
        <v>3317</v>
      </c>
      <c r="D770" s="14"/>
      <c r="E770" s="14"/>
      <c r="F770" s="14">
        <v>2013.0</v>
      </c>
      <c r="G770" s="14">
        <v>5.0</v>
      </c>
      <c r="H770" s="14"/>
      <c r="I770" s="15" t="s">
        <v>3318</v>
      </c>
      <c r="J770" s="14"/>
      <c r="K770" s="14"/>
      <c r="L770" s="14" t="s">
        <v>91</v>
      </c>
      <c r="M770" s="14" t="s">
        <v>111</v>
      </c>
      <c r="N770" s="14" t="s">
        <v>34</v>
      </c>
      <c r="O770" s="14" t="b">
        <v>0</v>
      </c>
      <c r="P770" s="14"/>
      <c r="Q770" s="14"/>
      <c r="R770" s="14"/>
      <c r="S770" s="14" t="s">
        <v>3319</v>
      </c>
      <c r="T770" s="14" t="s">
        <v>4069</v>
      </c>
      <c r="U770" s="17"/>
      <c r="V770" s="14"/>
      <c r="W770" s="14"/>
      <c r="X770" s="18"/>
      <c r="Y770" s="18"/>
      <c r="Z770" s="18"/>
      <c r="AA770" s="19">
        <f t="shared" si="1"/>
        <v>9</v>
      </c>
      <c r="AB770" s="19" t="str">
        <f t="shared" si="2"/>
        <v/>
      </c>
      <c r="AC770" s="19"/>
    </row>
    <row r="771" ht="15.75" customHeight="1">
      <c r="A771" s="12">
        <v>45193.0</v>
      </c>
      <c r="B771" s="13" t="s">
        <v>28</v>
      </c>
      <c r="C771" s="14" t="s">
        <v>3320</v>
      </c>
      <c r="D771" s="14"/>
      <c r="E771" s="14"/>
      <c r="F771" s="14">
        <v>2017.0</v>
      </c>
      <c r="G771" s="14">
        <v>1.0</v>
      </c>
      <c r="H771" s="14"/>
      <c r="I771" s="15" t="s">
        <v>3321</v>
      </c>
      <c r="J771" s="14"/>
      <c r="K771" s="14"/>
      <c r="L771" s="14" t="s">
        <v>91</v>
      </c>
      <c r="M771" s="14" t="s">
        <v>111</v>
      </c>
      <c r="N771" s="14" t="s">
        <v>34</v>
      </c>
      <c r="O771" s="14" t="b">
        <v>0</v>
      </c>
      <c r="P771" s="14"/>
      <c r="Q771" s="14"/>
      <c r="R771" s="14"/>
      <c r="S771" s="14" t="s">
        <v>3322</v>
      </c>
      <c r="T771" s="14" t="s">
        <v>4069</v>
      </c>
      <c r="U771" s="17"/>
      <c r="V771" s="14"/>
      <c r="W771" s="14"/>
      <c r="X771" s="18"/>
      <c r="Y771" s="18"/>
      <c r="Z771" s="18"/>
      <c r="AA771" s="19">
        <f t="shared" si="1"/>
        <v>9</v>
      </c>
      <c r="AB771" s="19" t="str">
        <f t="shared" si="2"/>
        <v/>
      </c>
      <c r="AC771" s="19"/>
    </row>
    <row r="772" ht="15.75" customHeight="1">
      <c r="A772" s="12">
        <v>45193.0</v>
      </c>
      <c r="B772" s="13" t="s">
        <v>28</v>
      </c>
      <c r="C772" s="14" t="s">
        <v>3323</v>
      </c>
      <c r="D772" s="14" t="s">
        <v>3324</v>
      </c>
      <c r="E772" s="14"/>
      <c r="F772" s="59">
        <v>41489.0</v>
      </c>
      <c r="G772" s="14">
        <v>5.0</v>
      </c>
      <c r="H772" s="14"/>
      <c r="I772" s="15" t="s">
        <v>3325</v>
      </c>
      <c r="J772" s="14"/>
      <c r="K772" s="14"/>
      <c r="L772" s="204" t="s">
        <v>3326</v>
      </c>
      <c r="M772" s="14" t="s">
        <v>111</v>
      </c>
      <c r="N772" s="14" t="s">
        <v>216</v>
      </c>
      <c r="O772" s="14" t="b">
        <v>0</v>
      </c>
      <c r="P772" s="14"/>
      <c r="Q772" s="14"/>
      <c r="R772" s="14"/>
      <c r="S772" s="14" t="s">
        <v>3327</v>
      </c>
      <c r="T772" s="14"/>
      <c r="U772" s="17"/>
      <c r="V772" s="14"/>
      <c r="W772" s="14"/>
      <c r="X772" s="18"/>
      <c r="Y772" s="18"/>
      <c r="Z772" s="18"/>
      <c r="AA772" s="19">
        <f t="shared" si="1"/>
        <v>9</v>
      </c>
      <c r="AB772" s="19" t="str">
        <f t="shared" si="2"/>
        <v/>
      </c>
      <c r="AC772" s="19"/>
    </row>
    <row r="773" ht="15.75" customHeight="1">
      <c r="A773" s="12">
        <v>45193.0</v>
      </c>
      <c r="B773" s="13" t="s">
        <v>28</v>
      </c>
      <c r="C773" s="14" t="s">
        <v>48</v>
      </c>
      <c r="D773" s="14" t="s">
        <v>3328</v>
      </c>
      <c r="E773" s="14"/>
      <c r="F773" s="142">
        <v>41593.0</v>
      </c>
      <c r="G773" s="14">
        <v>5.0</v>
      </c>
      <c r="H773" s="14"/>
      <c r="I773" s="15" t="s">
        <v>3329</v>
      </c>
      <c r="J773" s="14"/>
      <c r="K773" s="14"/>
      <c r="L773" s="204" t="s">
        <v>3330</v>
      </c>
      <c r="M773" s="14" t="s">
        <v>111</v>
      </c>
      <c r="N773" s="14" t="s">
        <v>565</v>
      </c>
      <c r="O773" s="14" t="b">
        <v>0</v>
      </c>
      <c r="P773" s="14"/>
      <c r="Q773" s="14"/>
      <c r="R773" s="14"/>
      <c r="S773" s="14" t="s">
        <v>3331</v>
      </c>
      <c r="T773" s="14"/>
      <c r="U773" s="17"/>
      <c r="V773" s="14"/>
      <c r="W773" s="14"/>
      <c r="X773" s="18"/>
      <c r="Y773" s="18"/>
      <c r="Z773" s="18"/>
      <c r="AA773" s="19">
        <f t="shared" si="1"/>
        <v>9</v>
      </c>
      <c r="AB773" s="19" t="str">
        <f t="shared" si="2"/>
        <v/>
      </c>
      <c r="AC773" s="19"/>
    </row>
    <row r="774" ht="15.75" customHeight="1">
      <c r="A774" s="12">
        <v>45193.0</v>
      </c>
      <c r="B774" s="13" t="s">
        <v>28</v>
      </c>
      <c r="C774" s="14" t="s">
        <v>3332</v>
      </c>
      <c r="D774" s="14" t="s">
        <v>3333</v>
      </c>
      <c r="E774" s="14"/>
      <c r="F774" s="142">
        <v>41264.0</v>
      </c>
      <c r="G774" s="14" t="s">
        <v>297</v>
      </c>
      <c r="H774" s="14"/>
      <c r="I774" s="15" t="s">
        <v>3334</v>
      </c>
      <c r="J774" s="14"/>
      <c r="K774" s="14"/>
      <c r="L774" s="204" t="s">
        <v>3335</v>
      </c>
      <c r="M774" s="14" t="s">
        <v>111</v>
      </c>
      <c r="N774" s="14" t="s">
        <v>565</v>
      </c>
      <c r="O774" s="14" t="b">
        <v>0</v>
      </c>
      <c r="P774" s="14"/>
      <c r="Q774" s="14"/>
      <c r="R774" s="14"/>
      <c r="S774" s="14" t="s">
        <v>3336</v>
      </c>
      <c r="T774" s="14"/>
      <c r="U774" s="17"/>
      <c r="V774" s="14"/>
      <c r="W774" s="14"/>
      <c r="X774" s="18"/>
      <c r="Y774" s="18"/>
      <c r="Z774" s="18"/>
      <c r="AA774" s="19">
        <f t="shared" si="1"/>
        <v>9</v>
      </c>
      <c r="AB774" s="19" t="str">
        <f t="shared" si="2"/>
        <v/>
      </c>
      <c r="AC774" s="19"/>
    </row>
    <row r="775" ht="15.75" customHeight="1">
      <c r="A775" s="12">
        <v>45194.0</v>
      </c>
      <c r="B775" s="13" t="s">
        <v>28</v>
      </c>
      <c r="C775" s="14" t="s">
        <v>3337</v>
      </c>
      <c r="D775" s="14"/>
      <c r="E775" s="14"/>
      <c r="F775" s="14"/>
      <c r="G775" s="14"/>
      <c r="H775" s="14"/>
      <c r="I775" s="15" t="s">
        <v>3338</v>
      </c>
      <c r="J775" s="14"/>
      <c r="K775" s="14"/>
      <c r="L775" s="14" t="s">
        <v>91</v>
      </c>
      <c r="M775" s="14" t="s">
        <v>111</v>
      </c>
      <c r="N775" s="14" t="s">
        <v>565</v>
      </c>
      <c r="O775" s="14" t="b">
        <v>0</v>
      </c>
      <c r="P775" s="14"/>
      <c r="Q775" s="14"/>
      <c r="R775" s="14"/>
      <c r="S775" s="14" t="s">
        <v>3339</v>
      </c>
      <c r="T775" s="14"/>
      <c r="U775" s="17"/>
      <c r="V775" s="14"/>
      <c r="W775" s="14"/>
      <c r="X775" s="18"/>
      <c r="Y775" s="18"/>
      <c r="Z775" s="18"/>
      <c r="AA775" s="19">
        <f t="shared" si="1"/>
        <v>9</v>
      </c>
      <c r="AB775" s="19" t="str">
        <f t="shared" si="2"/>
        <v/>
      </c>
      <c r="AC775" s="19"/>
    </row>
    <row r="776" ht="15.75" customHeight="1">
      <c r="A776" s="12">
        <v>45194.0</v>
      </c>
      <c r="B776" s="13" t="s">
        <v>28</v>
      </c>
      <c r="C776" s="14" t="s">
        <v>3340</v>
      </c>
      <c r="D776" s="14"/>
      <c r="E776" s="14"/>
      <c r="F776" s="14"/>
      <c r="G776" s="14"/>
      <c r="H776" s="14"/>
      <c r="I776" s="15" t="s">
        <v>3341</v>
      </c>
      <c r="J776" s="14"/>
      <c r="K776" s="14"/>
      <c r="L776" s="14" t="s">
        <v>3342</v>
      </c>
      <c r="M776" s="14" t="s">
        <v>111</v>
      </c>
      <c r="N776" s="14" t="s">
        <v>565</v>
      </c>
      <c r="O776" s="14" t="b">
        <v>0</v>
      </c>
      <c r="P776" s="14"/>
      <c r="Q776" s="14"/>
      <c r="R776" s="14"/>
      <c r="S776" s="14" t="s">
        <v>3339</v>
      </c>
      <c r="T776" s="14"/>
      <c r="U776" s="17"/>
      <c r="V776" s="14"/>
      <c r="W776" s="14"/>
      <c r="X776" s="18"/>
      <c r="Y776" s="18"/>
      <c r="Z776" s="18"/>
      <c r="AA776" s="19">
        <f t="shared" si="1"/>
        <v>9</v>
      </c>
      <c r="AB776" s="19" t="str">
        <f t="shared" si="2"/>
        <v/>
      </c>
      <c r="AC776" s="19"/>
    </row>
    <row r="777" ht="15.75" customHeight="1">
      <c r="A777" s="12">
        <v>45194.0</v>
      </c>
      <c r="B777" s="13" t="s">
        <v>28</v>
      </c>
      <c r="C777" s="14" t="s">
        <v>3343</v>
      </c>
      <c r="D777" s="14"/>
      <c r="E777" s="14"/>
      <c r="F777" s="14"/>
      <c r="G777" s="14"/>
      <c r="H777" s="14"/>
      <c r="I777" s="15" t="s">
        <v>3344</v>
      </c>
      <c r="J777" s="14"/>
      <c r="K777" s="14"/>
      <c r="L777" s="14" t="s">
        <v>3342</v>
      </c>
      <c r="M777" s="14" t="s">
        <v>111</v>
      </c>
      <c r="N777" s="14" t="s">
        <v>565</v>
      </c>
      <c r="O777" s="14" t="b">
        <v>0</v>
      </c>
      <c r="P777" s="14"/>
      <c r="Q777" s="14"/>
      <c r="R777" s="14"/>
      <c r="S777" s="14" t="s">
        <v>3345</v>
      </c>
      <c r="T777" s="14"/>
      <c r="U777" s="17"/>
      <c r="V777" s="14"/>
      <c r="W777" s="14"/>
      <c r="X777" s="18"/>
      <c r="Y777" s="18"/>
      <c r="Z777" s="18"/>
      <c r="AA777" s="19">
        <f t="shared" si="1"/>
        <v>9</v>
      </c>
      <c r="AB777" s="19" t="str">
        <f t="shared" si="2"/>
        <v/>
      </c>
      <c r="AC777" s="19"/>
    </row>
    <row r="778" ht="15.75" customHeight="1">
      <c r="A778" s="12">
        <v>45194.0</v>
      </c>
      <c r="B778" s="14" t="s">
        <v>201</v>
      </c>
      <c r="C778" s="14" t="s">
        <v>3346</v>
      </c>
      <c r="D778" s="14" t="s">
        <v>3347</v>
      </c>
      <c r="E778" s="14"/>
      <c r="F778" s="14">
        <v>2012.0</v>
      </c>
      <c r="G778" s="14">
        <v>6.0</v>
      </c>
      <c r="H778" s="14"/>
      <c r="I778" s="15" t="s">
        <v>3348</v>
      </c>
      <c r="J778" s="14"/>
      <c r="K778" s="14"/>
      <c r="L778" s="14"/>
      <c r="M778" s="14" t="s">
        <v>111</v>
      </c>
      <c r="N778" s="14" t="s">
        <v>13</v>
      </c>
      <c r="O778" s="14" t="b">
        <v>1</v>
      </c>
      <c r="P778" s="14" t="s">
        <v>3349</v>
      </c>
      <c r="Q778" s="14"/>
      <c r="R778" s="14"/>
      <c r="S778" s="14" t="s">
        <v>3350</v>
      </c>
      <c r="T778" s="14"/>
      <c r="U778" s="17"/>
      <c r="V778" s="14"/>
      <c r="W778" s="14"/>
      <c r="X778" s="18"/>
      <c r="Y778" s="18"/>
      <c r="Z778" s="18"/>
      <c r="AA778" s="19">
        <f t="shared" si="1"/>
        <v>9</v>
      </c>
      <c r="AB778" s="19" t="str">
        <f t="shared" si="2"/>
        <v/>
      </c>
      <c r="AC778" s="19" t="s">
        <v>373</v>
      </c>
    </row>
    <row r="779" ht="15.75" customHeight="1">
      <c r="A779" s="12">
        <v>45194.0</v>
      </c>
      <c r="B779" s="14" t="s">
        <v>201</v>
      </c>
      <c r="C779" s="14" t="s">
        <v>3346</v>
      </c>
      <c r="D779" s="14" t="s">
        <v>3351</v>
      </c>
      <c r="E779" s="14"/>
      <c r="F779" s="14">
        <v>2015.0</v>
      </c>
      <c r="G779" s="14">
        <v>3.0</v>
      </c>
      <c r="H779" s="14"/>
      <c r="I779" s="15" t="s">
        <v>3348</v>
      </c>
      <c r="J779" s="14"/>
      <c r="K779" s="14"/>
      <c r="L779" s="14"/>
      <c r="M779" s="14" t="s">
        <v>111</v>
      </c>
      <c r="N779" s="14" t="s">
        <v>13</v>
      </c>
      <c r="O779" s="14" t="b">
        <v>1</v>
      </c>
      <c r="P779" s="14" t="s">
        <v>3352</v>
      </c>
      <c r="Q779" s="14"/>
      <c r="R779" s="14"/>
      <c r="S779" s="14" t="s">
        <v>3350</v>
      </c>
      <c r="T779" s="14"/>
      <c r="U779" s="17"/>
      <c r="V779" s="14"/>
      <c r="W779" s="14"/>
      <c r="X779" s="18"/>
      <c r="Y779" s="18"/>
      <c r="Z779" s="18"/>
      <c r="AA779" s="19">
        <f t="shared" si="1"/>
        <v>9</v>
      </c>
      <c r="AB779" s="19" t="str">
        <f t="shared" si="2"/>
        <v/>
      </c>
      <c r="AC779" s="19" t="s">
        <v>373</v>
      </c>
    </row>
    <row r="780" ht="15.75" customHeight="1">
      <c r="A780" s="12">
        <v>45194.0</v>
      </c>
      <c r="B780" s="13" t="s">
        <v>28</v>
      </c>
      <c r="C780" s="14" t="s">
        <v>3353</v>
      </c>
      <c r="D780" s="14" t="s">
        <v>3354</v>
      </c>
      <c r="E780" s="14"/>
      <c r="F780" s="59">
        <v>41438.0</v>
      </c>
      <c r="G780" s="14"/>
      <c r="H780" s="14"/>
      <c r="I780" s="15" t="s">
        <v>3355</v>
      </c>
      <c r="J780" s="14"/>
      <c r="K780" s="14"/>
      <c r="L780" s="204" t="s">
        <v>3356</v>
      </c>
      <c r="M780" s="14" t="s">
        <v>111</v>
      </c>
      <c r="N780" s="14" t="s">
        <v>216</v>
      </c>
      <c r="O780" s="14" t="b">
        <v>0</v>
      </c>
      <c r="P780" s="14"/>
      <c r="Q780" s="14"/>
      <c r="R780" s="14"/>
      <c r="S780" s="14" t="s">
        <v>3314</v>
      </c>
      <c r="T780" s="14"/>
      <c r="U780" s="17"/>
      <c r="V780" s="14"/>
      <c r="W780" s="14"/>
      <c r="X780" s="18"/>
      <c r="Y780" s="18"/>
      <c r="Z780" s="18"/>
      <c r="AA780" s="19">
        <f t="shared" si="1"/>
        <v>9</v>
      </c>
      <c r="AB780" s="19" t="str">
        <f t="shared" si="2"/>
        <v/>
      </c>
      <c r="AC780" s="19"/>
    </row>
    <row r="781" ht="15.75" customHeight="1">
      <c r="A781" s="12">
        <v>45194.0</v>
      </c>
      <c r="B781" s="13" t="s">
        <v>28</v>
      </c>
      <c r="C781" s="14"/>
      <c r="D781" s="14" t="s">
        <v>3357</v>
      </c>
      <c r="E781" s="14"/>
      <c r="F781" s="142">
        <v>41132.0</v>
      </c>
      <c r="G781" s="14"/>
      <c r="H781" s="14"/>
      <c r="I781" s="15" t="s">
        <v>3358</v>
      </c>
      <c r="J781" s="14"/>
      <c r="K781" s="14"/>
      <c r="L781" s="204" t="s">
        <v>4545</v>
      </c>
      <c r="M781" s="14" t="s">
        <v>111</v>
      </c>
      <c r="N781" s="14" t="s">
        <v>565</v>
      </c>
      <c r="O781" s="14" t="b">
        <v>0</v>
      </c>
      <c r="P781" s="14"/>
      <c r="Q781" s="14"/>
      <c r="R781" s="14"/>
      <c r="S781" s="14" t="s">
        <v>3359</v>
      </c>
      <c r="T781" s="14"/>
      <c r="U781" s="17"/>
      <c r="V781" s="14"/>
      <c r="W781" s="14"/>
      <c r="X781" s="18"/>
      <c r="Y781" s="18"/>
      <c r="Z781" s="18"/>
      <c r="AA781" s="19">
        <f t="shared" si="1"/>
        <v>9</v>
      </c>
      <c r="AB781" s="19" t="str">
        <f t="shared" si="2"/>
        <v/>
      </c>
      <c r="AC781" s="19"/>
    </row>
    <row r="782" ht="15.75" customHeight="1">
      <c r="A782" s="12">
        <v>45195.0</v>
      </c>
      <c r="B782" s="13" t="s">
        <v>28</v>
      </c>
      <c r="C782" s="14" t="s">
        <v>3360</v>
      </c>
      <c r="D782" s="14"/>
      <c r="E782" s="14"/>
      <c r="F782" s="14"/>
      <c r="G782" s="14"/>
      <c r="H782" s="14"/>
      <c r="I782" s="15" t="s">
        <v>3361</v>
      </c>
      <c r="J782" s="14"/>
      <c r="K782" s="14"/>
      <c r="L782" s="14" t="s">
        <v>4557</v>
      </c>
      <c r="M782" s="14" t="s">
        <v>111</v>
      </c>
      <c r="N782" s="14" t="s">
        <v>565</v>
      </c>
      <c r="O782" s="14" t="b">
        <v>0</v>
      </c>
      <c r="P782" s="14"/>
      <c r="Q782" s="14"/>
      <c r="R782" s="14"/>
      <c r="S782" s="14" t="s">
        <v>3363</v>
      </c>
      <c r="T782" s="14"/>
      <c r="U782" s="17"/>
      <c r="V782" s="14"/>
      <c r="W782" s="14"/>
      <c r="X782" s="18"/>
      <c r="Y782" s="18"/>
      <c r="Z782" s="18"/>
      <c r="AA782" s="19">
        <f t="shared" si="1"/>
        <v>9</v>
      </c>
      <c r="AB782" s="19" t="str">
        <f t="shared" si="2"/>
        <v/>
      </c>
      <c r="AC782" s="19"/>
    </row>
    <row r="783" ht="15.75" customHeight="1">
      <c r="A783" s="12">
        <v>45195.0</v>
      </c>
      <c r="B783" s="13" t="s">
        <v>28</v>
      </c>
      <c r="C783" s="14" t="s">
        <v>3364</v>
      </c>
      <c r="D783" s="14" t="s">
        <v>3365</v>
      </c>
      <c r="E783" s="14"/>
      <c r="F783" s="14"/>
      <c r="G783" s="14">
        <v>3.0</v>
      </c>
      <c r="H783" s="14"/>
      <c r="I783" s="15" t="s">
        <v>3366</v>
      </c>
      <c r="J783" s="14"/>
      <c r="K783" s="14"/>
      <c r="L783" s="14" t="s">
        <v>4557</v>
      </c>
      <c r="M783" s="14" t="s">
        <v>111</v>
      </c>
      <c r="N783" s="14" t="s">
        <v>216</v>
      </c>
      <c r="O783" s="14" t="b">
        <v>0</v>
      </c>
      <c r="P783" s="14"/>
      <c r="Q783" s="14"/>
      <c r="R783" s="14"/>
      <c r="S783" s="14" t="s">
        <v>3367</v>
      </c>
      <c r="T783" s="14"/>
      <c r="U783" s="17"/>
      <c r="V783" s="14"/>
      <c r="W783" s="14"/>
      <c r="X783" s="18"/>
      <c r="Y783" s="18"/>
      <c r="Z783" s="18"/>
      <c r="AA783" s="19">
        <f t="shared" si="1"/>
        <v>9</v>
      </c>
      <c r="AB783" s="19" t="str">
        <f t="shared" si="2"/>
        <v/>
      </c>
      <c r="AC783" s="19"/>
    </row>
    <row r="784" ht="15.75" customHeight="1">
      <c r="A784" s="12">
        <v>45193.0</v>
      </c>
      <c r="B784" s="13" t="s">
        <v>28</v>
      </c>
      <c r="C784" s="14" t="s">
        <v>3368</v>
      </c>
      <c r="D784" s="14" t="s">
        <v>3369</v>
      </c>
      <c r="E784" s="14"/>
      <c r="F784" s="14">
        <v>2015.0</v>
      </c>
      <c r="G784" s="14">
        <v>3.0</v>
      </c>
      <c r="H784" s="14"/>
      <c r="I784" s="15" t="s">
        <v>3370</v>
      </c>
      <c r="J784" s="14"/>
      <c r="K784" s="14"/>
      <c r="L784" s="14" t="s">
        <v>91</v>
      </c>
      <c r="M784" s="14" t="s">
        <v>111</v>
      </c>
      <c r="N784" s="14" t="s">
        <v>565</v>
      </c>
      <c r="O784" s="14" t="b">
        <v>0</v>
      </c>
      <c r="P784" s="14"/>
      <c r="Q784" s="14"/>
      <c r="R784" s="14"/>
      <c r="S784" s="14" t="s">
        <v>3371</v>
      </c>
      <c r="T784" s="14"/>
      <c r="U784" s="17"/>
      <c r="V784" s="14"/>
      <c r="W784" s="14"/>
      <c r="X784" s="18"/>
      <c r="Y784" s="18"/>
      <c r="Z784" s="18"/>
      <c r="AA784" s="19">
        <f t="shared" si="1"/>
        <v>9</v>
      </c>
      <c r="AB784" s="19" t="str">
        <f t="shared" si="2"/>
        <v/>
      </c>
      <c r="AC784" s="19"/>
    </row>
    <row r="785" ht="15.75" customHeight="1">
      <c r="A785" s="12">
        <v>45195.0</v>
      </c>
      <c r="B785" s="13" t="s">
        <v>28</v>
      </c>
      <c r="C785" s="14" t="s">
        <v>3372</v>
      </c>
      <c r="D785" s="14"/>
      <c r="E785" s="14"/>
      <c r="F785" s="14">
        <v>2015.0</v>
      </c>
      <c r="G785" s="14">
        <v>3.0</v>
      </c>
      <c r="H785" s="14"/>
      <c r="I785" s="15" t="s">
        <v>3373</v>
      </c>
      <c r="J785" s="14"/>
      <c r="K785" s="14"/>
      <c r="L785" s="14" t="s">
        <v>3374</v>
      </c>
      <c r="M785" s="14" t="s">
        <v>111</v>
      </c>
      <c r="N785" s="14" t="s">
        <v>565</v>
      </c>
      <c r="O785" s="14" t="b">
        <v>0</v>
      </c>
      <c r="P785" s="14"/>
      <c r="Q785" s="14"/>
      <c r="R785" s="14"/>
      <c r="S785" s="14" t="s">
        <v>3375</v>
      </c>
      <c r="T785" s="14"/>
      <c r="U785" s="17"/>
      <c r="V785" s="14"/>
      <c r="W785" s="14"/>
      <c r="X785" s="18"/>
      <c r="Y785" s="18"/>
      <c r="Z785" s="18"/>
      <c r="AA785" s="19">
        <f t="shared" si="1"/>
        <v>9</v>
      </c>
      <c r="AB785" s="19" t="str">
        <f t="shared" si="2"/>
        <v/>
      </c>
      <c r="AC785" s="19"/>
    </row>
    <row r="786" ht="15.75" customHeight="1">
      <c r="A786" s="12">
        <v>45196.0</v>
      </c>
      <c r="B786" s="13" t="s">
        <v>28</v>
      </c>
      <c r="C786" s="14" t="s">
        <v>3376</v>
      </c>
      <c r="D786" s="14" t="s">
        <v>1168</v>
      </c>
      <c r="E786" s="14"/>
      <c r="F786" s="59">
        <v>41181.0</v>
      </c>
      <c r="G786" s="14">
        <v>6.0</v>
      </c>
      <c r="H786" s="14"/>
      <c r="I786" s="15" t="s">
        <v>3377</v>
      </c>
      <c r="J786" s="14"/>
      <c r="K786" s="14"/>
      <c r="L786" s="204" t="s">
        <v>3378</v>
      </c>
      <c r="M786" s="14" t="s">
        <v>111</v>
      </c>
      <c r="N786" s="14" t="s">
        <v>13</v>
      </c>
      <c r="O786" s="14" t="b">
        <v>1</v>
      </c>
      <c r="P786" s="14" t="s">
        <v>3379</v>
      </c>
      <c r="Q786" s="14"/>
      <c r="R786" s="14"/>
      <c r="S786" s="14" t="s">
        <v>3380</v>
      </c>
      <c r="T786" s="14"/>
      <c r="U786" s="17"/>
      <c r="V786" s="14"/>
      <c r="W786" s="14"/>
      <c r="X786" s="18"/>
      <c r="Y786" s="18"/>
      <c r="Z786" s="18"/>
      <c r="AA786" s="19">
        <f t="shared" si="1"/>
        <v>9</v>
      </c>
      <c r="AB786" s="19" t="str">
        <f t="shared" si="2"/>
        <v/>
      </c>
      <c r="AC786" s="19"/>
    </row>
    <row r="787" ht="15.75" customHeight="1">
      <c r="A787" s="12">
        <v>45196.0</v>
      </c>
      <c r="B787" s="13" t="s">
        <v>28</v>
      </c>
      <c r="C787" s="14" t="s">
        <v>3376</v>
      </c>
      <c r="D787" s="14" t="s">
        <v>3381</v>
      </c>
      <c r="E787" s="14"/>
      <c r="F787" s="59">
        <v>40235.0</v>
      </c>
      <c r="G787" s="14">
        <v>8.0</v>
      </c>
      <c r="H787" s="14"/>
      <c r="I787" s="15" t="s">
        <v>3377</v>
      </c>
      <c r="J787" s="14"/>
      <c r="K787" s="14"/>
      <c r="L787" s="204" t="s">
        <v>3378</v>
      </c>
      <c r="M787" s="14" t="s">
        <v>111</v>
      </c>
      <c r="N787" s="14" t="s">
        <v>13</v>
      </c>
      <c r="O787" s="14" t="b">
        <v>1</v>
      </c>
      <c r="P787" s="14" t="s">
        <v>3382</v>
      </c>
      <c r="Q787" s="14"/>
      <c r="R787" s="14"/>
      <c r="S787" s="14" t="s">
        <v>3383</v>
      </c>
      <c r="T787" s="14"/>
      <c r="U787" s="17"/>
      <c r="V787" s="14"/>
      <c r="W787" s="14"/>
      <c r="X787" s="18"/>
      <c r="Y787" s="18"/>
      <c r="Z787" s="18"/>
      <c r="AA787" s="19">
        <f t="shared" si="1"/>
        <v>9</v>
      </c>
      <c r="AB787" s="19" t="str">
        <f t="shared" si="2"/>
        <v/>
      </c>
      <c r="AC787" s="19"/>
    </row>
    <row r="788" ht="15.75" customHeight="1">
      <c r="A788" s="12">
        <v>45196.0</v>
      </c>
      <c r="B788" s="13" t="s">
        <v>28</v>
      </c>
      <c r="C788" s="14" t="s">
        <v>3384</v>
      </c>
      <c r="D788" s="14"/>
      <c r="E788" s="14"/>
      <c r="F788" s="14"/>
      <c r="G788" s="14"/>
      <c r="H788" s="14"/>
      <c r="I788" s="15" t="s">
        <v>3385</v>
      </c>
      <c r="J788" s="14"/>
      <c r="K788" s="14"/>
      <c r="L788" s="14" t="s">
        <v>3386</v>
      </c>
      <c r="M788" s="14" t="s">
        <v>111</v>
      </c>
      <c r="N788" s="14" t="s">
        <v>34</v>
      </c>
      <c r="O788" s="14" t="b">
        <v>0</v>
      </c>
      <c r="P788" s="14"/>
      <c r="Q788" s="14"/>
      <c r="R788" s="14"/>
      <c r="S788" s="14" t="s">
        <v>3387</v>
      </c>
      <c r="T788" s="14"/>
      <c r="U788" s="17"/>
      <c r="V788" s="14"/>
      <c r="W788" s="14"/>
      <c r="X788" s="18"/>
      <c r="Y788" s="18"/>
      <c r="Z788" s="18"/>
      <c r="AA788" s="19">
        <f t="shared" si="1"/>
        <v>9</v>
      </c>
      <c r="AB788" s="19" t="str">
        <f t="shared" si="2"/>
        <v/>
      </c>
      <c r="AC788" s="19"/>
    </row>
    <row r="789" ht="15.75" customHeight="1">
      <c r="A789" s="12">
        <v>45196.0</v>
      </c>
      <c r="B789" s="13" t="s">
        <v>28</v>
      </c>
      <c r="C789" s="14" t="s">
        <v>3388</v>
      </c>
      <c r="D789" s="14"/>
      <c r="E789" s="14"/>
      <c r="F789" s="59">
        <v>42792.0</v>
      </c>
      <c r="G789" s="14">
        <v>1.0</v>
      </c>
      <c r="H789" s="14"/>
      <c r="I789" s="15" t="s">
        <v>3389</v>
      </c>
      <c r="J789" s="14"/>
      <c r="K789" s="14"/>
      <c r="L789" s="14" t="s">
        <v>3390</v>
      </c>
      <c r="M789" s="14" t="s">
        <v>111</v>
      </c>
      <c r="N789" s="14" t="s">
        <v>565</v>
      </c>
      <c r="O789" s="14" t="b">
        <v>0</v>
      </c>
      <c r="P789" s="14"/>
      <c r="Q789" s="14"/>
      <c r="R789" s="14"/>
      <c r="S789" s="14" t="s">
        <v>3391</v>
      </c>
      <c r="T789" s="14"/>
      <c r="U789" s="17"/>
      <c r="V789" s="14"/>
      <c r="W789" s="14"/>
      <c r="X789" s="18"/>
      <c r="Y789" s="18"/>
      <c r="Z789" s="18"/>
      <c r="AA789" s="19">
        <f t="shared" si="1"/>
        <v>9</v>
      </c>
      <c r="AB789" s="19" t="str">
        <f t="shared" si="2"/>
        <v/>
      </c>
      <c r="AC789" s="19"/>
    </row>
    <row r="790" ht="15.75" customHeight="1">
      <c r="A790" s="12">
        <v>45196.0</v>
      </c>
      <c r="B790" s="13" t="s">
        <v>28</v>
      </c>
      <c r="C790" s="14" t="s">
        <v>3392</v>
      </c>
      <c r="D790" s="14" t="s">
        <v>3393</v>
      </c>
      <c r="E790" s="14"/>
      <c r="F790" s="14">
        <v>2015.0</v>
      </c>
      <c r="G790" s="14">
        <v>3.0</v>
      </c>
      <c r="H790" s="14"/>
      <c r="I790" s="14" t="s">
        <v>3394</v>
      </c>
      <c r="J790" s="14"/>
      <c r="K790" s="14"/>
      <c r="L790" s="14"/>
      <c r="M790" s="14" t="s">
        <v>111</v>
      </c>
      <c r="N790" s="14" t="s">
        <v>565</v>
      </c>
      <c r="O790" s="14" t="b">
        <v>0</v>
      </c>
      <c r="P790" s="14"/>
      <c r="Q790" s="14"/>
      <c r="R790" s="14"/>
      <c r="S790" s="14" t="s">
        <v>3395</v>
      </c>
      <c r="T790" s="14" t="s">
        <v>4197</v>
      </c>
      <c r="U790" s="17"/>
      <c r="V790" s="14"/>
      <c r="W790" s="14"/>
      <c r="X790" s="18"/>
      <c r="Y790" s="18"/>
      <c r="Z790" s="18"/>
      <c r="AA790" s="19">
        <f t="shared" si="1"/>
        <v>9</v>
      </c>
      <c r="AB790" s="19" t="str">
        <f t="shared" si="2"/>
        <v/>
      </c>
      <c r="AC790" s="19"/>
    </row>
    <row r="791" ht="15.75" customHeight="1">
      <c r="A791" s="12">
        <v>45197.0</v>
      </c>
      <c r="B791" s="13" t="s">
        <v>28</v>
      </c>
      <c r="C791" s="14"/>
      <c r="D791" s="14" t="s">
        <v>3396</v>
      </c>
      <c r="E791" s="14"/>
      <c r="F791" s="132" t="s">
        <v>4558</v>
      </c>
      <c r="G791" s="14"/>
      <c r="H791" s="14"/>
      <c r="I791" s="132" t="s">
        <v>3397</v>
      </c>
      <c r="J791" s="14"/>
      <c r="K791" s="14"/>
      <c r="L791" s="204" t="s">
        <v>4545</v>
      </c>
      <c r="M791" s="14" t="s">
        <v>111</v>
      </c>
      <c r="N791" s="14" t="s">
        <v>216</v>
      </c>
      <c r="O791" s="14" t="b">
        <v>0</v>
      </c>
      <c r="P791" s="14"/>
      <c r="Q791" s="14"/>
      <c r="R791" s="14"/>
      <c r="S791" s="14" t="s">
        <v>3398</v>
      </c>
      <c r="T791" s="14"/>
      <c r="U791" s="17"/>
      <c r="V791" s="14"/>
      <c r="W791" s="14"/>
      <c r="X791" s="18"/>
      <c r="Y791" s="18"/>
      <c r="Z791" s="18"/>
      <c r="AA791" s="19">
        <f t="shared" si="1"/>
        <v>9</v>
      </c>
      <c r="AB791" s="19" t="str">
        <f t="shared" si="2"/>
        <v/>
      </c>
      <c r="AC791" s="19"/>
    </row>
    <row r="792" ht="15.75" customHeight="1">
      <c r="A792" s="12">
        <v>45197.0</v>
      </c>
      <c r="B792" s="13" t="s">
        <v>28</v>
      </c>
      <c r="C792" s="14"/>
      <c r="D792" s="14" t="s">
        <v>2588</v>
      </c>
      <c r="E792" s="14"/>
      <c r="F792" s="132" t="s">
        <v>4559</v>
      </c>
      <c r="G792" s="14"/>
      <c r="H792" s="14"/>
      <c r="I792" s="132" t="s">
        <v>2589</v>
      </c>
      <c r="J792" s="14"/>
      <c r="K792" s="14"/>
      <c r="L792" s="204" t="s">
        <v>4545</v>
      </c>
      <c r="M792" s="14" t="s">
        <v>111</v>
      </c>
      <c r="N792" s="14" t="s">
        <v>565</v>
      </c>
      <c r="O792" s="14" t="b">
        <v>0</v>
      </c>
      <c r="P792" s="14"/>
      <c r="Q792" s="14"/>
      <c r="R792" s="14"/>
      <c r="S792" s="14" t="s">
        <v>3399</v>
      </c>
      <c r="T792" s="14"/>
      <c r="U792" s="17"/>
      <c r="V792" s="14"/>
      <c r="W792" s="14"/>
      <c r="X792" s="18"/>
      <c r="Y792" s="18"/>
      <c r="Z792" s="18"/>
      <c r="AA792" s="19">
        <f t="shared" si="1"/>
        <v>9</v>
      </c>
      <c r="AB792" s="19" t="str">
        <f t="shared" si="2"/>
        <v/>
      </c>
      <c r="AC792" s="19"/>
    </row>
    <row r="793" ht="15.75" customHeight="1">
      <c r="A793" s="12">
        <v>45197.0</v>
      </c>
      <c r="B793" s="13" t="s">
        <v>28</v>
      </c>
      <c r="C793" s="14" t="s">
        <v>3400</v>
      </c>
      <c r="D793" s="14" t="s">
        <v>3401</v>
      </c>
      <c r="E793" s="14"/>
      <c r="F793" s="14"/>
      <c r="G793" s="14">
        <v>8.0</v>
      </c>
      <c r="H793" s="14"/>
      <c r="I793" s="15" t="s">
        <v>3402</v>
      </c>
      <c r="J793" s="14"/>
      <c r="K793" s="14">
        <v>9.64919782E8</v>
      </c>
      <c r="L793" s="14" t="s">
        <v>91</v>
      </c>
      <c r="M793" s="14" t="s">
        <v>111</v>
      </c>
      <c r="N793" s="14" t="s">
        <v>13</v>
      </c>
      <c r="O793" s="14" t="b">
        <v>1</v>
      </c>
      <c r="P793" s="14" t="s">
        <v>3403</v>
      </c>
      <c r="Q793" s="14"/>
      <c r="R793" s="14"/>
      <c r="S793" s="14" t="s">
        <v>3404</v>
      </c>
      <c r="T793" s="14" t="s">
        <v>4432</v>
      </c>
      <c r="U793" s="17"/>
      <c r="V793" s="14"/>
      <c r="W793" s="14"/>
      <c r="X793" s="18"/>
      <c r="Y793" s="18"/>
      <c r="Z793" s="18"/>
      <c r="AA793" s="19">
        <f t="shared" si="1"/>
        <v>9</v>
      </c>
      <c r="AB793" s="19" t="str">
        <f t="shared" si="2"/>
        <v/>
      </c>
      <c r="AC793" s="19"/>
    </row>
    <row r="794" ht="15.75" customHeight="1">
      <c r="A794" s="12">
        <v>45197.0</v>
      </c>
      <c r="B794" s="13" t="s">
        <v>28</v>
      </c>
      <c r="C794" s="14" t="s">
        <v>3405</v>
      </c>
      <c r="D794" s="14" t="s">
        <v>3406</v>
      </c>
      <c r="E794" s="14"/>
      <c r="F794" s="142">
        <v>42695.0</v>
      </c>
      <c r="G794" s="14"/>
      <c r="H794" s="14"/>
      <c r="I794" s="42" t="s">
        <v>3407</v>
      </c>
      <c r="J794" s="14"/>
      <c r="K794" s="14"/>
      <c r="L794" s="14" t="s">
        <v>3408</v>
      </c>
      <c r="M794" s="14" t="s">
        <v>111</v>
      </c>
      <c r="N794" s="14" t="s">
        <v>216</v>
      </c>
      <c r="O794" s="14" t="b">
        <v>0</v>
      </c>
      <c r="P794" s="14"/>
      <c r="Q794" s="14"/>
      <c r="R794" s="14"/>
      <c r="S794" s="14" t="s">
        <v>3409</v>
      </c>
      <c r="T794" s="14" t="s">
        <v>4096</v>
      </c>
      <c r="U794" s="17"/>
      <c r="V794" s="14"/>
      <c r="W794" s="14"/>
      <c r="X794" s="18"/>
      <c r="Y794" s="18"/>
      <c r="Z794" s="18"/>
      <c r="AA794" s="19">
        <f t="shared" si="1"/>
        <v>9</v>
      </c>
      <c r="AB794" s="19" t="str">
        <f t="shared" si="2"/>
        <v/>
      </c>
      <c r="AC794" s="19" t="s">
        <v>373</v>
      </c>
    </row>
    <row r="795" ht="15.75" customHeight="1">
      <c r="A795" s="12">
        <v>45197.0</v>
      </c>
      <c r="B795" s="13" t="s">
        <v>28</v>
      </c>
      <c r="C795" s="14" t="s">
        <v>3410</v>
      </c>
      <c r="D795" s="14" t="s">
        <v>3411</v>
      </c>
      <c r="E795" s="14"/>
      <c r="F795" s="142">
        <v>43084.0</v>
      </c>
      <c r="G795" s="14" t="s">
        <v>1073</v>
      </c>
      <c r="H795" s="14"/>
      <c r="I795" s="15" t="s">
        <v>3412</v>
      </c>
      <c r="J795" s="14"/>
      <c r="K795" s="14"/>
      <c r="L795" s="14" t="s">
        <v>3413</v>
      </c>
      <c r="M795" s="14" t="s">
        <v>111</v>
      </c>
      <c r="N795" s="14" t="s">
        <v>565</v>
      </c>
      <c r="O795" s="14" t="b">
        <v>0</v>
      </c>
      <c r="P795" s="14"/>
      <c r="Q795" s="14"/>
      <c r="R795" s="14"/>
      <c r="S795" s="14" t="s">
        <v>3414</v>
      </c>
      <c r="T795" s="14" t="s">
        <v>4096</v>
      </c>
      <c r="U795" s="17"/>
      <c r="V795" s="14"/>
      <c r="W795" s="14"/>
      <c r="X795" s="18"/>
      <c r="Y795" s="18"/>
      <c r="Z795" s="18"/>
      <c r="AA795" s="19">
        <f t="shared" si="1"/>
        <v>9</v>
      </c>
      <c r="AB795" s="19" t="str">
        <f t="shared" si="2"/>
        <v/>
      </c>
      <c r="AC795" s="19"/>
    </row>
    <row r="796" ht="15.75" customHeight="1">
      <c r="A796" s="12">
        <v>45197.0</v>
      </c>
      <c r="B796" s="14" t="s">
        <v>84</v>
      </c>
      <c r="C796" s="14" t="s">
        <v>3415</v>
      </c>
      <c r="D796" s="14" t="s">
        <v>3416</v>
      </c>
      <c r="E796" s="14"/>
      <c r="F796" s="14">
        <v>2015.0</v>
      </c>
      <c r="G796" s="14">
        <v>3.0</v>
      </c>
      <c r="H796" s="14"/>
      <c r="I796" s="15" t="s">
        <v>3417</v>
      </c>
      <c r="J796" s="14"/>
      <c r="K796" s="14"/>
      <c r="L796" s="14" t="s">
        <v>3418</v>
      </c>
      <c r="M796" s="14" t="s">
        <v>111</v>
      </c>
      <c r="N796" s="14" t="s">
        <v>565</v>
      </c>
      <c r="O796" s="14" t="b">
        <v>0</v>
      </c>
      <c r="P796" s="14"/>
      <c r="Q796" s="14"/>
      <c r="R796" s="14"/>
      <c r="S796" s="14" t="s">
        <v>3419</v>
      </c>
      <c r="T796" s="14" t="s">
        <v>4197</v>
      </c>
      <c r="U796" s="17"/>
      <c r="V796" s="14"/>
      <c r="W796" s="14"/>
      <c r="X796" s="18"/>
      <c r="Y796" s="18"/>
      <c r="Z796" s="18"/>
      <c r="AA796" s="19">
        <f t="shared" si="1"/>
        <v>9</v>
      </c>
      <c r="AB796" s="19" t="str">
        <f t="shared" si="2"/>
        <v/>
      </c>
      <c r="AC796" s="19" t="s">
        <v>373</v>
      </c>
    </row>
    <row r="797" ht="15.75" customHeight="1">
      <c r="A797" s="12">
        <v>45197.0</v>
      </c>
      <c r="B797" s="13" t="s">
        <v>28</v>
      </c>
      <c r="C797" s="14" t="s">
        <v>3420</v>
      </c>
      <c r="D797" s="14" t="s">
        <v>2644</v>
      </c>
      <c r="E797" s="14"/>
      <c r="F797" s="142">
        <v>40833.0</v>
      </c>
      <c r="G797" s="14"/>
      <c r="H797" s="14"/>
      <c r="I797" s="15" t="s">
        <v>3421</v>
      </c>
      <c r="J797" s="14"/>
      <c r="K797" s="14"/>
      <c r="L797" s="204" t="s">
        <v>3422</v>
      </c>
      <c r="M797" s="14" t="s">
        <v>111</v>
      </c>
      <c r="N797" s="14" t="s">
        <v>565</v>
      </c>
      <c r="O797" s="14" t="b">
        <v>0</v>
      </c>
      <c r="P797" s="14"/>
      <c r="Q797" s="14"/>
      <c r="R797" s="14"/>
      <c r="S797" s="14" t="s">
        <v>3423</v>
      </c>
      <c r="T797" s="14" t="s">
        <v>4197</v>
      </c>
      <c r="U797" s="17"/>
      <c r="V797" s="14"/>
      <c r="W797" s="14"/>
      <c r="X797" s="18"/>
      <c r="Y797" s="18"/>
      <c r="Z797" s="18"/>
      <c r="AA797" s="19">
        <f t="shared" si="1"/>
        <v>9</v>
      </c>
      <c r="AB797" s="19" t="str">
        <f t="shared" si="2"/>
        <v/>
      </c>
      <c r="AC797" s="19"/>
    </row>
    <row r="798" ht="15.75" customHeight="1">
      <c r="A798" s="26">
        <v>45198.0</v>
      </c>
      <c r="B798" s="27" t="s">
        <v>84</v>
      </c>
      <c r="C798" s="27" t="s">
        <v>4560</v>
      </c>
      <c r="D798" s="27" t="s">
        <v>3425</v>
      </c>
      <c r="E798" s="27"/>
      <c r="F798" s="27">
        <v>2017.0</v>
      </c>
      <c r="G798" s="27">
        <v>1.0</v>
      </c>
      <c r="H798" s="27"/>
      <c r="I798" s="34" t="s">
        <v>3426</v>
      </c>
      <c r="J798" s="27"/>
      <c r="K798" s="27"/>
      <c r="L798" s="27"/>
      <c r="M798" s="27" t="s">
        <v>111</v>
      </c>
      <c r="N798" s="27" t="s">
        <v>67</v>
      </c>
      <c r="O798" s="14" t="b">
        <v>1</v>
      </c>
      <c r="P798" s="27" t="s">
        <v>3427</v>
      </c>
      <c r="Q798" s="27"/>
      <c r="R798" s="27"/>
      <c r="S798" s="27" t="s">
        <v>3428</v>
      </c>
      <c r="T798" s="27" t="s">
        <v>4507</v>
      </c>
      <c r="U798" s="26"/>
      <c r="V798" s="32">
        <v>45201.0</v>
      </c>
      <c r="W798" s="27" t="s">
        <v>4207</v>
      </c>
      <c r="X798" s="25">
        <v>8750000.0</v>
      </c>
      <c r="Y798" s="25">
        <v>1312500.0</v>
      </c>
      <c r="Z798" s="25">
        <v>7437500.0</v>
      </c>
      <c r="AA798" s="19">
        <f t="shared" si="1"/>
        <v>9</v>
      </c>
      <c r="AB798" s="19">
        <f t="shared" si="2"/>
        <v>10</v>
      </c>
      <c r="AC798" s="19"/>
    </row>
    <row r="799" ht="15.75" customHeight="1">
      <c r="A799" s="12">
        <v>45198.0</v>
      </c>
      <c r="B799" s="13" t="s">
        <v>28</v>
      </c>
      <c r="C799" s="14" t="s">
        <v>3429</v>
      </c>
      <c r="D799" s="14"/>
      <c r="E799" s="14"/>
      <c r="F799" s="14"/>
      <c r="G799" s="14"/>
      <c r="H799" s="14"/>
      <c r="I799" s="15" t="s">
        <v>3430</v>
      </c>
      <c r="J799" s="14"/>
      <c r="K799" s="14"/>
      <c r="L799" s="14" t="s">
        <v>3431</v>
      </c>
      <c r="M799" s="14" t="s">
        <v>111</v>
      </c>
      <c r="N799" s="14" t="s">
        <v>216</v>
      </c>
      <c r="O799" s="14" t="b">
        <v>0</v>
      </c>
      <c r="P799" s="14"/>
      <c r="Q799" s="14"/>
      <c r="R799" s="14"/>
      <c r="S799" s="14" t="s">
        <v>3432</v>
      </c>
      <c r="T799" s="14"/>
      <c r="U799" s="17"/>
      <c r="V799" s="14"/>
      <c r="W799" s="14"/>
      <c r="X799" s="18"/>
      <c r="Y799" s="18"/>
      <c r="Z799" s="18"/>
      <c r="AA799" s="19">
        <f t="shared" si="1"/>
        <v>9</v>
      </c>
      <c r="AB799" s="19" t="str">
        <f t="shared" si="2"/>
        <v/>
      </c>
      <c r="AC799" s="19"/>
    </row>
    <row r="800" ht="15.75" customHeight="1">
      <c r="A800" s="12">
        <v>45198.0</v>
      </c>
      <c r="B800" s="14" t="s">
        <v>201</v>
      </c>
      <c r="C800" s="14" t="s">
        <v>4561</v>
      </c>
      <c r="D800" s="14"/>
      <c r="E800" s="14"/>
      <c r="F800" s="14"/>
      <c r="G800" s="14"/>
      <c r="H800" s="14"/>
      <c r="I800" s="15" t="s">
        <v>3434</v>
      </c>
      <c r="J800" s="14"/>
      <c r="K800" s="14"/>
      <c r="L800" s="14"/>
      <c r="M800" s="14" t="s">
        <v>111</v>
      </c>
      <c r="N800" s="14" t="s">
        <v>216</v>
      </c>
      <c r="O800" s="14" t="b">
        <v>0</v>
      </c>
      <c r="P800" s="14"/>
      <c r="Q800" s="14"/>
      <c r="R800" s="14"/>
      <c r="S800" s="14" t="s">
        <v>3435</v>
      </c>
      <c r="T800" s="14"/>
      <c r="U800" s="17"/>
      <c r="V800" s="14"/>
      <c r="W800" s="14"/>
      <c r="X800" s="18"/>
      <c r="Y800" s="18"/>
      <c r="Z800" s="18"/>
      <c r="AA800" s="19">
        <f t="shared" si="1"/>
        <v>9</v>
      </c>
      <c r="AB800" s="19" t="str">
        <f t="shared" si="2"/>
        <v/>
      </c>
      <c r="AC800" s="19" t="s">
        <v>373</v>
      </c>
    </row>
    <row r="801" ht="15.75" customHeight="1">
      <c r="A801" s="12">
        <v>45198.0</v>
      </c>
      <c r="B801" s="24" t="s">
        <v>28</v>
      </c>
      <c r="C801" s="14"/>
      <c r="D801" s="14" t="s">
        <v>3436</v>
      </c>
      <c r="E801" s="14"/>
      <c r="F801" s="14"/>
      <c r="G801" s="14"/>
      <c r="H801" s="14"/>
      <c r="I801" s="15" t="s">
        <v>3437</v>
      </c>
      <c r="J801" s="14"/>
      <c r="K801" s="14"/>
      <c r="L801" s="14"/>
      <c r="M801" s="14" t="s">
        <v>111</v>
      </c>
      <c r="N801" s="14" t="s">
        <v>34</v>
      </c>
      <c r="O801" s="14" t="b">
        <v>0</v>
      </c>
      <c r="P801" s="14"/>
      <c r="Q801" s="14"/>
      <c r="R801" s="14"/>
      <c r="S801" s="14" t="s">
        <v>3438</v>
      </c>
      <c r="T801" s="14" t="s">
        <v>4069</v>
      </c>
      <c r="U801" s="17"/>
      <c r="V801" s="14"/>
      <c r="W801" s="14"/>
      <c r="X801" s="18"/>
      <c r="Y801" s="18"/>
      <c r="Z801" s="18"/>
      <c r="AA801" s="19">
        <f t="shared" si="1"/>
        <v>9</v>
      </c>
      <c r="AB801" s="19" t="str">
        <f t="shared" si="2"/>
        <v/>
      </c>
      <c r="AC801" s="19"/>
    </row>
    <row r="802" ht="15.75" customHeight="1">
      <c r="A802" s="12">
        <v>45199.0</v>
      </c>
      <c r="B802" s="13" t="s">
        <v>28</v>
      </c>
      <c r="C802" s="14" t="s">
        <v>3439</v>
      </c>
      <c r="D802" s="14"/>
      <c r="E802" s="14"/>
      <c r="F802" s="14">
        <v>2015.0</v>
      </c>
      <c r="G802" s="14">
        <v>3.0</v>
      </c>
      <c r="H802" s="14"/>
      <c r="I802" s="15" t="s">
        <v>3440</v>
      </c>
      <c r="J802" s="14"/>
      <c r="K802" s="14"/>
      <c r="L802" s="14"/>
      <c r="M802" s="14" t="s">
        <v>111</v>
      </c>
      <c r="N802" s="14" t="s">
        <v>565</v>
      </c>
      <c r="O802" s="14" t="b">
        <v>0</v>
      </c>
      <c r="P802" s="14"/>
      <c r="Q802" s="14"/>
      <c r="R802" s="14"/>
      <c r="S802" s="14" t="s">
        <v>3441</v>
      </c>
      <c r="T802" s="14"/>
      <c r="U802" s="17"/>
      <c r="V802" s="14"/>
      <c r="W802" s="14"/>
      <c r="X802" s="18"/>
      <c r="Y802" s="18"/>
      <c r="Z802" s="18"/>
      <c r="AA802" s="19">
        <f t="shared" si="1"/>
        <v>9</v>
      </c>
      <c r="AB802" s="19" t="str">
        <f t="shared" si="2"/>
        <v/>
      </c>
      <c r="AC802" s="19"/>
    </row>
    <row r="803" ht="15.75" customHeight="1">
      <c r="A803" s="12">
        <v>45199.0</v>
      </c>
      <c r="B803" s="13" t="s">
        <v>28</v>
      </c>
      <c r="C803" s="14"/>
      <c r="D803" s="14" t="s">
        <v>3442</v>
      </c>
      <c r="E803" s="14"/>
      <c r="F803" s="59">
        <v>40408.0</v>
      </c>
      <c r="G803" s="14"/>
      <c r="H803" s="14"/>
      <c r="I803" s="15" t="s">
        <v>3443</v>
      </c>
      <c r="J803" s="14"/>
      <c r="K803" s="14"/>
      <c r="L803" s="14" t="s">
        <v>3444</v>
      </c>
      <c r="M803" s="14" t="s">
        <v>111</v>
      </c>
      <c r="N803" s="14" t="s">
        <v>565</v>
      </c>
      <c r="O803" s="14" t="b">
        <v>0</v>
      </c>
      <c r="P803" s="14"/>
      <c r="Q803" s="14"/>
      <c r="R803" s="14"/>
      <c r="S803" s="14" t="s">
        <v>3445</v>
      </c>
      <c r="T803" s="14"/>
      <c r="U803" s="17"/>
      <c r="V803" s="14"/>
      <c r="W803" s="14"/>
      <c r="X803" s="18"/>
      <c r="Y803" s="18"/>
      <c r="Z803" s="18"/>
      <c r="AA803" s="19">
        <f t="shared" si="1"/>
        <v>9</v>
      </c>
      <c r="AB803" s="19" t="str">
        <f t="shared" si="2"/>
        <v/>
      </c>
      <c r="AC803" s="19"/>
    </row>
    <row r="804" ht="15.75" customHeight="1">
      <c r="A804" s="12">
        <v>45199.0</v>
      </c>
      <c r="B804" s="13" t="s">
        <v>28</v>
      </c>
      <c r="C804" s="14"/>
      <c r="D804" s="14" t="s">
        <v>3446</v>
      </c>
      <c r="E804" s="14"/>
      <c r="F804" s="59">
        <v>41990.0</v>
      </c>
      <c r="G804" s="14"/>
      <c r="H804" s="14"/>
      <c r="I804" s="15" t="s">
        <v>3443</v>
      </c>
      <c r="J804" s="14"/>
      <c r="K804" s="14"/>
      <c r="L804" s="14" t="s">
        <v>3444</v>
      </c>
      <c r="M804" s="14" t="s">
        <v>111</v>
      </c>
      <c r="N804" s="14" t="s">
        <v>565</v>
      </c>
      <c r="O804" s="14" t="b">
        <v>0</v>
      </c>
      <c r="P804" s="14"/>
      <c r="Q804" s="14"/>
      <c r="R804" s="14"/>
      <c r="S804" s="14" t="s">
        <v>3445</v>
      </c>
      <c r="T804" s="14"/>
      <c r="U804" s="17"/>
      <c r="V804" s="14"/>
      <c r="W804" s="14"/>
      <c r="X804" s="18"/>
      <c r="Y804" s="18"/>
      <c r="Z804" s="18"/>
      <c r="AA804" s="19">
        <f t="shared" si="1"/>
        <v>9</v>
      </c>
      <c r="AB804" s="19" t="str">
        <f t="shared" si="2"/>
        <v/>
      </c>
      <c r="AC804" s="19"/>
    </row>
    <row r="805" ht="15.75" customHeight="1">
      <c r="A805" s="12">
        <v>45200.0</v>
      </c>
      <c r="B805" s="13" t="s">
        <v>28</v>
      </c>
      <c r="C805" s="14" t="s">
        <v>3447</v>
      </c>
      <c r="D805" s="14"/>
      <c r="E805" s="14"/>
      <c r="F805" s="14">
        <v>2012.0</v>
      </c>
      <c r="G805" s="14">
        <v>6.0</v>
      </c>
      <c r="H805" s="14"/>
      <c r="I805" s="15" t="s">
        <v>3448</v>
      </c>
      <c r="J805" s="14"/>
      <c r="K805" s="14"/>
      <c r="L805" s="14"/>
      <c r="M805" s="14" t="s">
        <v>111</v>
      </c>
      <c r="N805" s="14" t="s">
        <v>565</v>
      </c>
      <c r="O805" s="14" t="b">
        <v>0</v>
      </c>
      <c r="P805" s="14"/>
      <c r="Q805" s="14"/>
      <c r="R805" s="14"/>
      <c r="S805" s="14" t="s">
        <v>3449</v>
      </c>
      <c r="T805" s="14"/>
      <c r="U805" s="17"/>
      <c r="V805" s="14"/>
      <c r="W805" s="14"/>
      <c r="X805" s="18"/>
      <c r="Y805" s="18"/>
      <c r="Z805" s="18"/>
      <c r="AA805" s="19">
        <f t="shared" si="1"/>
        <v>10</v>
      </c>
      <c r="AB805" s="19" t="str">
        <f t="shared" si="2"/>
        <v/>
      </c>
      <c r="AC805" s="19"/>
    </row>
    <row r="806" ht="15.75" customHeight="1">
      <c r="A806" s="12">
        <v>45201.0</v>
      </c>
      <c r="B806" s="13" t="s">
        <v>28</v>
      </c>
      <c r="C806" s="14" t="s">
        <v>3450</v>
      </c>
      <c r="D806" s="14"/>
      <c r="E806" s="14"/>
      <c r="F806" s="14"/>
      <c r="G806" s="14"/>
      <c r="H806" s="14"/>
      <c r="I806" s="15" t="s">
        <v>3451</v>
      </c>
      <c r="J806" s="14"/>
      <c r="K806" s="14"/>
      <c r="L806" s="14"/>
      <c r="M806" s="14" t="s">
        <v>111</v>
      </c>
      <c r="N806" s="14" t="s">
        <v>216</v>
      </c>
      <c r="O806" s="14" t="b">
        <v>0</v>
      </c>
      <c r="P806" s="14"/>
      <c r="Q806" s="14"/>
      <c r="R806" s="14"/>
      <c r="S806" s="14" t="s">
        <v>3452</v>
      </c>
      <c r="T806" s="14"/>
      <c r="U806" s="17"/>
      <c r="V806" s="14"/>
      <c r="W806" s="14"/>
      <c r="X806" s="18"/>
      <c r="Y806" s="18"/>
      <c r="Z806" s="18"/>
      <c r="AA806" s="19">
        <f t="shared" si="1"/>
        <v>10</v>
      </c>
      <c r="AB806" s="19" t="str">
        <f t="shared" si="2"/>
        <v/>
      </c>
      <c r="AC806" s="19"/>
    </row>
    <row r="807" ht="15.75" customHeight="1">
      <c r="A807" s="12">
        <v>45201.0</v>
      </c>
      <c r="B807" s="13" t="s">
        <v>28</v>
      </c>
      <c r="C807" s="14" t="s">
        <v>3453</v>
      </c>
      <c r="D807" s="14" t="s">
        <v>3454</v>
      </c>
      <c r="E807" s="14"/>
      <c r="F807" s="14">
        <v>2013.0</v>
      </c>
      <c r="G807" s="14">
        <v>5.0</v>
      </c>
      <c r="H807" s="14"/>
      <c r="I807" s="15" t="s">
        <v>3455</v>
      </c>
      <c r="J807" s="14"/>
      <c r="K807" s="14"/>
      <c r="L807" s="14" t="s">
        <v>3456</v>
      </c>
      <c r="M807" s="14" t="s">
        <v>111</v>
      </c>
      <c r="N807" s="14" t="s">
        <v>13</v>
      </c>
      <c r="O807" s="14" t="b">
        <v>1</v>
      </c>
      <c r="P807" s="14" t="s">
        <v>3457</v>
      </c>
      <c r="Q807" s="14"/>
      <c r="R807" s="14"/>
      <c r="S807" s="14" t="s">
        <v>3458</v>
      </c>
      <c r="T807" s="14" t="s">
        <v>4197</v>
      </c>
      <c r="U807" s="17"/>
      <c r="V807" s="14"/>
      <c r="W807" s="14"/>
      <c r="X807" s="18"/>
      <c r="Y807" s="18"/>
      <c r="Z807" s="18"/>
      <c r="AA807" s="19">
        <f t="shared" si="1"/>
        <v>10</v>
      </c>
      <c r="AB807" s="19" t="str">
        <f t="shared" si="2"/>
        <v/>
      </c>
      <c r="AC807" s="19" t="s">
        <v>373</v>
      </c>
    </row>
    <row r="808" ht="15.75" customHeight="1">
      <c r="A808" s="12">
        <v>45201.0</v>
      </c>
      <c r="B808" s="13" t="s">
        <v>28</v>
      </c>
      <c r="C808" s="14" t="s">
        <v>3453</v>
      </c>
      <c r="D808" s="14" t="s">
        <v>3459</v>
      </c>
      <c r="E808" s="14"/>
      <c r="F808" s="14">
        <v>2015.0</v>
      </c>
      <c r="G808" s="14">
        <v>3.0</v>
      </c>
      <c r="H808" s="14"/>
      <c r="I808" s="15" t="s">
        <v>3455</v>
      </c>
      <c r="J808" s="14"/>
      <c r="K808" s="14"/>
      <c r="L808" s="14" t="s">
        <v>3456</v>
      </c>
      <c r="M808" s="14" t="s">
        <v>111</v>
      </c>
      <c r="N808" s="14" t="s">
        <v>13</v>
      </c>
      <c r="O808" s="14" t="b">
        <v>1</v>
      </c>
      <c r="P808" s="14" t="s">
        <v>3460</v>
      </c>
      <c r="Q808" s="14"/>
      <c r="R808" s="14"/>
      <c r="S808" s="14" t="s">
        <v>3458</v>
      </c>
      <c r="T808" s="14" t="s">
        <v>4197</v>
      </c>
      <c r="U808" s="17"/>
      <c r="V808" s="14"/>
      <c r="W808" s="14"/>
      <c r="X808" s="18"/>
      <c r="Y808" s="18"/>
      <c r="Z808" s="18"/>
      <c r="AA808" s="19">
        <f t="shared" si="1"/>
        <v>10</v>
      </c>
      <c r="AB808" s="19" t="str">
        <f t="shared" si="2"/>
        <v/>
      </c>
      <c r="AC808" s="19" t="s">
        <v>373</v>
      </c>
    </row>
    <row r="809" ht="15.75" customHeight="1">
      <c r="A809" s="12">
        <v>45201.0</v>
      </c>
      <c r="B809" s="13" t="s">
        <v>28</v>
      </c>
      <c r="C809" s="14"/>
      <c r="D809" s="14" t="s">
        <v>3461</v>
      </c>
      <c r="E809" s="14"/>
      <c r="F809" s="59">
        <v>41878.0</v>
      </c>
      <c r="G809" s="14"/>
      <c r="H809" s="14"/>
      <c r="I809" s="15" t="s">
        <v>3462</v>
      </c>
      <c r="J809" s="14"/>
      <c r="K809" s="14"/>
      <c r="L809" s="14" t="s">
        <v>3444</v>
      </c>
      <c r="M809" s="14" t="s">
        <v>111</v>
      </c>
      <c r="N809" s="14" t="s">
        <v>216</v>
      </c>
      <c r="O809" s="14" t="b">
        <v>0</v>
      </c>
      <c r="P809" s="14"/>
      <c r="Q809" s="14"/>
      <c r="R809" s="14"/>
      <c r="S809" s="14" t="s">
        <v>3463</v>
      </c>
      <c r="T809" s="14" t="s">
        <v>4096</v>
      </c>
      <c r="U809" s="17"/>
      <c r="V809" s="14"/>
      <c r="W809" s="14"/>
      <c r="X809" s="18"/>
      <c r="Y809" s="18"/>
      <c r="Z809" s="18"/>
      <c r="AA809" s="19">
        <f t="shared" si="1"/>
        <v>10</v>
      </c>
      <c r="AB809" s="19" t="str">
        <f t="shared" si="2"/>
        <v/>
      </c>
      <c r="AC809" s="19"/>
    </row>
    <row r="810" ht="15.75" customHeight="1">
      <c r="A810" s="12">
        <v>45201.0</v>
      </c>
      <c r="B810" s="14" t="s">
        <v>201</v>
      </c>
      <c r="C810" s="14" t="s">
        <v>4562</v>
      </c>
      <c r="D810" s="14"/>
      <c r="E810" s="14" t="s">
        <v>4563</v>
      </c>
      <c r="F810" s="14">
        <v>2017.0</v>
      </c>
      <c r="G810" s="14">
        <v>1.0</v>
      </c>
      <c r="H810" s="14"/>
      <c r="I810" s="15" t="s">
        <v>3465</v>
      </c>
      <c r="J810" s="14"/>
      <c r="K810" s="14"/>
      <c r="L810" s="14"/>
      <c r="M810" s="14" t="s">
        <v>111</v>
      </c>
      <c r="N810" s="14" t="s">
        <v>34</v>
      </c>
      <c r="O810" s="14" t="b">
        <v>1</v>
      </c>
      <c r="P810" s="14" t="s">
        <v>3466</v>
      </c>
      <c r="Q810" s="14"/>
      <c r="R810" s="14"/>
      <c r="S810" s="14" t="s">
        <v>3467</v>
      </c>
      <c r="T810" s="14" t="s">
        <v>4069</v>
      </c>
      <c r="U810" s="17"/>
      <c r="V810" s="14"/>
      <c r="W810" s="14"/>
      <c r="X810" s="18"/>
      <c r="Y810" s="18"/>
      <c r="Z810" s="18"/>
      <c r="AA810" s="19">
        <f t="shared" si="1"/>
        <v>10</v>
      </c>
      <c r="AB810" s="19" t="str">
        <f t="shared" si="2"/>
        <v/>
      </c>
      <c r="AC810" s="19" t="s">
        <v>373</v>
      </c>
    </row>
    <row r="811" ht="15.75" customHeight="1">
      <c r="A811" s="12">
        <v>45202.0</v>
      </c>
      <c r="B811" s="13" t="s">
        <v>28</v>
      </c>
      <c r="C811" s="14" t="s">
        <v>3468</v>
      </c>
      <c r="D811" s="14"/>
      <c r="E811" s="14"/>
      <c r="F811" s="14"/>
      <c r="G811" s="14"/>
      <c r="H811" s="14"/>
      <c r="I811" s="15" t="s">
        <v>3469</v>
      </c>
      <c r="J811" s="14"/>
      <c r="K811" s="14"/>
      <c r="L811" s="14"/>
      <c r="M811" s="14" t="s">
        <v>111</v>
      </c>
      <c r="N811" s="14" t="s">
        <v>565</v>
      </c>
      <c r="O811" s="14" t="b">
        <v>0</v>
      </c>
      <c r="P811" s="14"/>
      <c r="Q811" s="14"/>
      <c r="R811" s="14"/>
      <c r="S811" s="14" t="s">
        <v>3470</v>
      </c>
      <c r="T811" s="14"/>
      <c r="U811" s="17"/>
      <c r="V811" s="14"/>
      <c r="W811" s="14"/>
      <c r="X811" s="18"/>
      <c r="Y811" s="18"/>
      <c r="Z811" s="18"/>
      <c r="AA811" s="19">
        <f t="shared" si="1"/>
        <v>10</v>
      </c>
      <c r="AB811" s="19" t="str">
        <f t="shared" si="2"/>
        <v/>
      </c>
      <c r="AC811" s="19"/>
    </row>
    <row r="812" ht="15.75" customHeight="1">
      <c r="A812" s="12">
        <v>45202.0</v>
      </c>
      <c r="B812" s="13" t="s">
        <v>28</v>
      </c>
      <c r="C812" s="14" t="s">
        <v>3471</v>
      </c>
      <c r="D812" s="14" t="s">
        <v>3472</v>
      </c>
      <c r="E812" s="14"/>
      <c r="F812" s="142">
        <v>42319.0</v>
      </c>
      <c r="G812" s="14" t="s">
        <v>176</v>
      </c>
      <c r="H812" s="14"/>
      <c r="I812" s="15" t="s">
        <v>3473</v>
      </c>
      <c r="J812" s="14"/>
      <c r="K812" s="14"/>
      <c r="L812" s="14" t="s">
        <v>4564</v>
      </c>
      <c r="M812" s="14" t="s">
        <v>111</v>
      </c>
      <c r="N812" s="14" t="s">
        <v>216</v>
      </c>
      <c r="O812" s="14" t="b">
        <v>0</v>
      </c>
      <c r="P812" s="14"/>
      <c r="Q812" s="14"/>
      <c r="R812" s="14"/>
      <c r="S812" s="14" t="s">
        <v>3475</v>
      </c>
      <c r="T812" s="14"/>
      <c r="U812" s="17"/>
      <c r="V812" s="14"/>
      <c r="W812" s="14"/>
      <c r="X812" s="18"/>
      <c r="Y812" s="18"/>
      <c r="Z812" s="18"/>
      <c r="AA812" s="19">
        <f t="shared" si="1"/>
        <v>10</v>
      </c>
      <c r="AB812" s="19" t="str">
        <f t="shared" si="2"/>
        <v/>
      </c>
      <c r="AC812" s="19"/>
    </row>
    <row r="813" ht="15.75" customHeight="1">
      <c r="A813" s="12">
        <v>45202.0</v>
      </c>
      <c r="B813" s="13" t="s">
        <v>28</v>
      </c>
      <c r="C813" s="14" t="s">
        <v>3476</v>
      </c>
      <c r="D813" s="14" t="s">
        <v>3477</v>
      </c>
      <c r="E813" s="14"/>
      <c r="F813" s="59">
        <v>41791.0</v>
      </c>
      <c r="G813" s="14">
        <v>4.0</v>
      </c>
      <c r="H813" s="14"/>
      <c r="I813" s="15" t="s">
        <v>3478</v>
      </c>
      <c r="J813" s="14"/>
      <c r="K813" s="14"/>
      <c r="L813" s="14" t="s">
        <v>4565</v>
      </c>
      <c r="M813" s="14" t="s">
        <v>111</v>
      </c>
      <c r="N813" s="14" t="s">
        <v>565</v>
      </c>
      <c r="O813" s="14" t="b">
        <v>0</v>
      </c>
      <c r="P813" s="14"/>
      <c r="Q813" s="14"/>
      <c r="R813" s="14"/>
      <c r="S813" s="14" t="s">
        <v>3480</v>
      </c>
      <c r="T813" s="14"/>
      <c r="U813" s="17"/>
      <c r="V813" s="14"/>
      <c r="W813" s="14"/>
      <c r="X813" s="18"/>
      <c r="Y813" s="18"/>
      <c r="Z813" s="18"/>
      <c r="AA813" s="19">
        <f t="shared" si="1"/>
        <v>10</v>
      </c>
      <c r="AB813" s="19" t="str">
        <f t="shared" si="2"/>
        <v/>
      </c>
      <c r="AC813" s="19"/>
    </row>
    <row r="814" ht="15.75" customHeight="1">
      <c r="A814" s="12">
        <v>45202.0</v>
      </c>
      <c r="B814" s="13" t="s">
        <v>28</v>
      </c>
      <c r="C814" s="14" t="s">
        <v>3481</v>
      </c>
      <c r="D814" s="14" t="s">
        <v>3482</v>
      </c>
      <c r="E814" s="14"/>
      <c r="F814" s="59">
        <v>40332.0</v>
      </c>
      <c r="G814" s="14" t="s">
        <v>625</v>
      </c>
      <c r="H814" s="14"/>
      <c r="I814" s="15" t="s">
        <v>3483</v>
      </c>
      <c r="J814" s="14"/>
      <c r="K814" s="14"/>
      <c r="L814" s="14" t="s">
        <v>4566</v>
      </c>
      <c r="M814" s="14" t="s">
        <v>111</v>
      </c>
      <c r="N814" s="14" t="s">
        <v>565</v>
      </c>
      <c r="O814" s="14" t="b">
        <v>0</v>
      </c>
      <c r="P814" s="14"/>
      <c r="Q814" s="14"/>
      <c r="R814" s="14"/>
      <c r="S814" s="14" t="s">
        <v>3485</v>
      </c>
      <c r="T814" s="14"/>
      <c r="U814" s="17"/>
      <c r="V814" s="14"/>
      <c r="W814" s="14"/>
      <c r="X814" s="18"/>
      <c r="Y814" s="18"/>
      <c r="Z814" s="18"/>
      <c r="AA814" s="19">
        <f t="shared" si="1"/>
        <v>10</v>
      </c>
      <c r="AB814" s="19" t="str">
        <f t="shared" si="2"/>
        <v/>
      </c>
      <c r="AC814" s="19"/>
    </row>
    <row r="815" ht="15.75" customHeight="1">
      <c r="A815" s="12">
        <v>45202.0</v>
      </c>
      <c r="B815" s="24" t="s">
        <v>28</v>
      </c>
      <c r="C815" s="14"/>
      <c r="D815" s="14" t="s">
        <v>3486</v>
      </c>
      <c r="E815" s="14"/>
      <c r="F815" s="14"/>
      <c r="G815" s="14"/>
      <c r="H815" s="14"/>
      <c r="I815" s="15" t="s">
        <v>3487</v>
      </c>
      <c r="J815" s="14"/>
      <c r="K815" s="14"/>
      <c r="L815" s="14" t="s">
        <v>3488</v>
      </c>
      <c r="M815" s="14" t="s">
        <v>111</v>
      </c>
      <c r="N815" s="14" t="s">
        <v>216</v>
      </c>
      <c r="O815" s="14" t="b">
        <v>0</v>
      </c>
      <c r="P815" s="14"/>
      <c r="Q815" s="14"/>
      <c r="R815" s="14"/>
      <c r="S815" s="14" t="s">
        <v>3475</v>
      </c>
      <c r="T815" s="14"/>
      <c r="U815" s="17"/>
      <c r="V815" s="14"/>
      <c r="W815" s="14"/>
      <c r="X815" s="18"/>
      <c r="Y815" s="18"/>
      <c r="Z815" s="18"/>
      <c r="AA815" s="19">
        <f t="shared" si="1"/>
        <v>10</v>
      </c>
      <c r="AB815" s="19" t="str">
        <f t="shared" si="2"/>
        <v/>
      </c>
      <c r="AC815" s="19"/>
    </row>
    <row r="816" ht="15.75" customHeight="1">
      <c r="A816" s="12">
        <v>45202.0</v>
      </c>
      <c r="B816" s="24" t="s">
        <v>28</v>
      </c>
      <c r="C816" s="14"/>
      <c r="D816" s="14" t="s">
        <v>3489</v>
      </c>
      <c r="E816" s="14"/>
      <c r="F816" s="14"/>
      <c r="G816" s="14"/>
      <c r="H816" s="14"/>
      <c r="I816" s="15" t="s">
        <v>3490</v>
      </c>
      <c r="J816" s="14"/>
      <c r="K816" s="14"/>
      <c r="L816" s="14" t="s">
        <v>3491</v>
      </c>
      <c r="M816" s="14" t="s">
        <v>111</v>
      </c>
      <c r="N816" s="14" t="s">
        <v>216</v>
      </c>
      <c r="O816" s="14" t="b">
        <v>0</v>
      </c>
      <c r="P816" s="14"/>
      <c r="Q816" s="14"/>
      <c r="R816" s="14"/>
      <c r="S816" s="14" t="s">
        <v>3475</v>
      </c>
      <c r="T816" s="14"/>
      <c r="U816" s="17"/>
      <c r="V816" s="14"/>
      <c r="W816" s="14"/>
      <c r="X816" s="18"/>
      <c r="Y816" s="18"/>
      <c r="Z816" s="18"/>
      <c r="AA816" s="19">
        <f t="shared" si="1"/>
        <v>10</v>
      </c>
      <c r="AB816" s="19" t="str">
        <f t="shared" si="2"/>
        <v/>
      </c>
      <c r="AC816" s="19"/>
    </row>
    <row r="817" ht="15.75" customHeight="1">
      <c r="A817" s="12">
        <v>45202.0</v>
      </c>
      <c r="B817" s="13" t="s">
        <v>28</v>
      </c>
      <c r="C817" s="14" t="s">
        <v>3492</v>
      </c>
      <c r="D817" s="14"/>
      <c r="E817" s="14"/>
      <c r="F817" s="14"/>
      <c r="G817" s="14"/>
      <c r="H817" s="14"/>
      <c r="I817" s="15" t="s">
        <v>3493</v>
      </c>
      <c r="J817" s="14"/>
      <c r="K817" s="14"/>
      <c r="L817" s="14"/>
      <c r="M817" s="14" t="s">
        <v>111</v>
      </c>
      <c r="N817" s="14" t="s">
        <v>565</v>
      </c>
      <c r="O817" s="14" t="b">
        <v>0</v>
      </c>
      <c r="P817" s="14"/>
      <c r="Q817" s="14"/>
      <c r="R817" s="14"/>
      <c r="S817" s="14" t="s">
        <v>3494</v>
      </c>
      <c r="T817" s="14"/>
      <c r="U817" s="17"/>
      <c r="V817" s="14"/>
      <c r="W817" s="14"/>
      <c r="X817" s="18"/>
      <c r="Y817" s="18"/>
      <c r="Z817" s="18"/>
      <c r="AA817" s="19">
        <f t="shared" si="1"/>
        <v>10</v>
      </c>
      <c r="AB817" s="19" t="str">
        <f t="shared" si="2"/>
        <v/>
      </c>
      <c r="AC817" s="19"/>
    </row>
    <row r="818" ht="15.75" customHeight="1">
      <c r="A818" s="12">
        <v>45202.0</v>
      </c>
      <c r="B818" s="13" t="s">
        <v>28</v>
      </c>
      <c r="C818" s="14" t="s">
        <v>3495</v>
      </c>
      <c r="D818" s="14" t="s">
        <v>3496</v>
      </c>
      <c r="E818" s="14"/>
      <c r="F818" s="14">
        <v>2014.0</v>
      </c>
      <c r="G818" s="14">
        <v>4.0</v>
      </c>
      <c r="H818" s="14"/>
      <c r="I818" s="15" t="s">
        <v>3497</v>
      </c>
      <c r="J818" s="14"/>
      <c r="K818" s="14"/>
      <c r="L818" s="14" t="s">
        <v>4567</v>
      </c>
      <c r="M818" s="14" t="s">
        <v>111</v>
      </c>
      <c r="N818" s="14" t="s">
        <v>565</v>
      </c>
      <c r="O818" s="14" t="b">
        <v>0</v>
      </c>
      <c r="P818" s="14"/>
      <c r="Q818" s="14"/>
      <c r="R818" s="14"/>
      <c r="S818" s="14" t="s">
        <v>3494</v>
      </c>
      <c r="T818" s="14"/>
      <c r="U818" s="17"/>
      <c r="V818" s="14"/>
      <c r="W818" s="14"/>
      <c r="X818" s="18"/>
      <c r="Y818" s="18"/>
      <c r="Z818" s="18"/>
      <c r="AA818" s="19">
        <f t="shared" si="1"/>
        <v>10</v>
      </c>
      <c r="AB818" s="19" t="str">
        <f t="shared" si="2"/>
        <v/>
      </c>
      <c r="AC818" s="19"/>
    </row>
    <row r="819" ht="15.75" customHeight="1">
      <c r="A819" s="12">
        <v>45202.0</v>
      </c>
      <c r="B819" s="13" t="s">
        <v>28</v>
      </c>
      <c r="C819" s="14" t="s">
        <v>3499</v>
      </c>
      <c r="D819" s="14" t="s">
        <v>3500</v>
      </c>
      <c r="E819" s="14"/>
      <c r="F819" s="14"/>
      <c r="G819" s="14"/>
      <c r="H819" s="14"/>
      <c r="I819" s="15" t="s">
        <v>3501</v>
      </c>
      <c r="J819" s="14"/>
      <c r="K819" s="14"/>
      <c r="L819" s="14" t="s">
        <v>3502</v>
      </c>
      <c r="M819" s="14" t="s">
        <v>111</v>
      </c>
      <c r="N819" s="14" t="s">
        <v>565</v>
      </c>
      <c r="O819" s="14" t="b">
        <v>0</v>
      </c>
      <c r="P819" s="14"/>
      <c r="Q819" s="14"/>
      <c r="R819" s="14"/>
      <c r="S819" s="14" t="s">
        <v>3494</v>
      </c>
      <c r="T819" s="14"/>
      <c r="U819" s="17"/>
      <c r="V819" s="14"/>
      <c r="W819" s="14"/>
      <c r="X819" s="18"/>
      <c r="Y819" s="18"/>
      <c r="Z819" s="18"/>
      <c r="AA819" s="19">
        <f t="shared" si="1"/>
        <v>10</v>
      </c>
      <c r="AB819" s="19" t="str">
        <f t="shared" si="2"/>
        <v/>
      </c>
      <c r="AC819" s="19"/>
    </row>
    <row r="820" ht="15.75" customHeight="1">
      <c r="A820" s="12">
        <v>45202.0</v>
      </c>
      <c r="B820" s="13" t="s">
        <v>28</v>
      </c>
      <c r="C820" s="14" t="s">
        <v>3503</v>
      </c>
      <c r="D820" s="14"/>
      <c r="E820" s="14"/>
      <c r="F820" s="14"/>
      <c r="G820" s="14"/>
      <c r="H820" s="14"/>
      <c r="I820" s="15" t="s">
        <v>3504</v>
      </c>
      <c r="J820" s="14"/>
      <c r="K820" s="14"/>
      <c r="L820" s="14"/>
      <c r="M820" s="14" t="s">
        <v>111</v>
      </c>
      <c r="N820" s="14" t="s">
        <v>565</v>
      </c>
      <c r="O820" s="14" t="b">
        <v>0</v>
      </c>
      <c r="P820" s="14"/>
      <c r="Q820" s="14"/>
      <c r="R820" s="14"/>
      <c r="S820" s="14" t="s">
        <v>3494</v>
      </c>
      <c r="T820" s="14"/>
      <c r="U820" s="17"/>
      <c r="V820" s="14"/>
      <c r="W820" s="14"/>
      <c r="X820" s="18"/>
      <c r="Y820" s="18"/>
      <c r="Z820" s="18"/>
      <c r="AA820" s="19">
        <f t="shared" si="1"/>
        <v>10</v>
      </c>
      <c r="AB820" s="19" t="str">
        <f t="shared" si="2"/>
        <v/>
      </c>
      <c r="AC820" s="19"/>
    </row>
    <row r="821" ht="15.75" customHeight="1">
      <c r="A821" s="12">
        <v>45202.0</v>
      </c>
      <c r="B821" s="14" t="s">
        <v>703</v>
      </c>
      <c r="C821" s="14" t="s">
        <v>3505</v>
      </c>
      <c r="D821" s="14" t="s">
        <v>3506</v>
      </c>
      <c r="E821" s="14"/>
      <c r="F821" s="14" t="s">
        <v>4180</v>
      </c>
      <c r="G821" s="14"/>
      <c r="H821" s="14"/>
      <c r="I821" s="15" t="s">
        <v>3507</v>
      </c>
      <c r="J821" s="14"/>
      <c r="K821" s="14"/>
      <c r="L821" s="14" t="s">
        <v>3508</v>
      </c>
      <c r="M821" s="14" t="s">
        <v>111</v>
      </c>
      <c r="N821" s="14" t="s">
        <v>565</v>
      </c>
      <c r="O821" s="14" t="b">
        <v>0</v>
      </c>
      <c r="P821" s="14"/>
      <c r="Q821" s="14"/>
      <c r="R821" s="14"/>
      <c r="S821" s="14" t="s">
        <v>3509</v>
      </c>
      <c r="T821" s="14"/>
      <c r="U821" s="17"/>
      <c r="V821" s="14"/>
      <c r="W821" s="14"/>
      <c r="X821" s="18"/>
      <c r="Y821" s="18"/>
      <c r="Z821" s="18"/>
      <c r="AA821" s="19">
        <f t="shared" si="1"/>
        <v>10</v>
      </c>
      <c r="AB821" s="19" t="str">
        <f t="shared" si="2"/>
        <v/>
      </c>
      <c r="AC821" s="19"/>
    </row>
    <row r="822" ht="15.75" customHeight="1">
      <c r="A822" s="12">
        <v>45202.0</v>
      </c>
      <c r="B822" s="14" t="s">
        <v>703</v>
      </c>
      <c r="C822" s="14" t="s">
        <v>3505</v>
      </c>
      <c r="D822" s="14" t="s">
        <v>3510</v>
      </c>
      <c r="E822" s="14"/>
      <c r="F822" s="14" t="s">
        <v>4349</v>
      </c>
      <c r="G822" s="14"/>
      <c r="H822" s="14"/>
      <c r="I822" s="15" t="s">
        <v>3507</v>
      </c>
      <c r="J822" s="14"/>
      <c r="K822" s="14"/>
      <c r="L822" s="14" t="s">
        <v>3508</v>
      </c>
      <c r="M822" s="14" t="s">
        <v>111</v>
      </c>
      <c r="N822" s="14" t="s">
        <v>565</v>
      </c>
      <c r="O822" s="14" t="b">
        <v>0</v>
      </c>
      <c r="P822" s="14"/>
      <c r="Q822" s="14"/>
      <c r="R822" s="14"/>
      <c r="S822" s="14" t="s">
        <v>3509</v>
      </c>
      <c r="T822" s="14"/>
      <c r="U822" s="17"/>
      <c r="V822" s="14"/>
      <c r="W822" s="14"/>
      <c r="X822" s="18"/>
      <c r="Y822" s="18"/>
      <c r="Z822" s="18"/>
      <c r="AA822" s="19">
        <f t="shared" si="1"/>
        <v>10</v>
      </c>
      <c r="AB822" s="19" t="str">
        <f t="shared" si="2"/>
        <v/>
      </c>
      <c r="AC822" s="19"/>
    </row>
    <row r="823" ht="15.75" customHeight="1">
      <c r="A823" s="12">
        <v>45202.0</v>
      </c>
      <c r="B823" s="14" t="s">
        <v>703</v>
      </c>
      <c r="C823" s="14" t="s">
        <v>3505</v>
      </c>
      <c r="D823" s="14" t="s">
        <v>3511</v>
      </c>
      <c r="E823" s="14"/>
      <c r="F823" s="14" t="s">
        <v>4349</v>
      </c>
      <c r="G823" s="14"/>
      <c r="H823" s="14"/>
      <c r="I823" s="15" t="s">
        <v>3507</v>
      </c>
      <c r="J823" s="14"/>
      <c r="K823" s="14"/>
      <c r="L823" s="14" t="s">
        <v>3508</v>
      </c>
      <c r="M823" s="14" t="s">
        <v>111</v>
      </c>
      <c r="N823" s="14" t="s">
        <v>565</v>
      </c>
      <c r="O823" s="14" t="b">
        <v>0</v>
      </c>
      <c r="P823" s="14"/>
      <c r="Q823" s="14"/>
      <c r="R823" s="14"/>
      <c r="S823" s="14" t="s">
        <v>3509</v>
      </c>
      <c r="T823" s="14"/>
      <c r="U823" s="17"/>
      <c r="V823" s="14"/>
      <c r="W823" s="14"/>
      <c r="X823" s="18"/>
      <c r="Y823" s="18"/>
      <c r="Z823" s="18"/>
      <c r="AA823" s="19">
        <f t="shared" si="1"/>
        <v>10</v>
      </c>
      <c r="AB823" s="19" t="str">
        <f t="shared" si="2"/>
        <v/>
      </c>
      <c r="AC823" s="19"/>
    </row>
    <row r="824" ht="15.75" customHeight="1">
      <c r="A824" s="12">
        <v>45202.0</v>
      </c>
      <c r="B824" s="13" t="s">
        <v>28</v>
      </c>
      <c r="C824" s="14" t="s">
        <v>3512</v>
      </c>
      <c r="D824" s="14"/>
      <c r="E824" s="14"/>
      <c r="F824" s="14"/>
      <c r="G824" s="14">
        <v>9.0</v>
      </c>
      <c r="H824" s="14"/>
      <c r="I824" s="15" t="s">
        <v>3513</v>
      </c>
      <c r="J824" s="14"/>
      <c r="K824" s="14"/>
      <c r="L824" s="14" t="s">
        <v>3514</v>
      </c>
      <c r="M824" s="14" t="s">
        <v>111</v>
      </c>
      <c r="N824" s="14" t="s">
        <v>216</v>
      </c>
      <c r="O824" s="14" t="b">
        <v>0</v>
      </c>
      <c r="P824" s="14"/>
      <c r="Q824" s="14"/>
      <c r="R824" s="14"/>
      <c r="S824" s="14"/>
      <c r="T824" s="14"/>
      <c r="U824" s="17"/>
      <c r="V824" s="14"/>
      <c r="W824" s="14"/>
      <c r="X824" s="18"/>
      <c r="Y824" s="18"/>
      <c r="Z824" s="18"/>
      <c r="AA824" s="19">
        <f t="shared" si="1"/>
        <v>10</v>
      </c>
      <c r="AB824" s="19" t="str">
        <f t="shared" si="2"/>
        <v/>
      </c>
      <c r="AC824" s="19"/>
    </row>
    <row r="825" ht="15.75" customHeight="1">
      <c r="A825" s="12">
        <v>45203.0</v>
      </c>
      <c r="B825" s="13" t="s">
        <v>28</v>
      </c>
      <c r="C825" s="14" t="s">
        <v>3515</v>
      </c>
      <c r="D825" s="14"/>
      <c r="E825" s="14"/>
      <c r="F825" s="14"/>
      <c r="G825" s="14"/>
      <c r="H825" s="14"/>
      <c r="I825" s="15" t="s">
        <v>3516</v>
      </c>
      <c r="J825" s="14"/>
      <c r="K825" s="14"/>
      <c r="L825" s="14" t="s">
        <v>3517</v>
      </c>
      <c r="M825" s="14" t="s">
        <v>111</v>
      </c>
      <c r="N825" s="14" t="s">
        <v>216</v>
      </c>
      <c r="O825" s="14" t="b">
        <v>0</v>
      </c>
      <c r="P825" s="14"/>
      <c r="Q825" s="14"/>
      <c r="R825" s="14"/>
      <c r="S825" s="14" t="s">
        <v>3518</v>
      </c>
      <c r="T825" s="14"/>
      <c r="U825" s="17"/>
      <c r="V825" s="14"/>
      <c r="W825" s="14"/>
      <c r="X825" s="18"/>
      <c r="Y825" s="18"/>
      <c r="Z825" s="18"/>
      <c r="AA825" s="19">
        <f t="shared" si="1"/>
        <v>10</v>
      </c>
      <c r="AB825" s="19" t="str">
        <f t="shared" si="2"/>
        <v/>
      </c>
      <c r="AC825" s="19"/>
    </row>
    <row r="826" ht="15.75" customHeight="1">
      <c r="A826" s="12">
        <v>45203.0</v>
      </c>
      <c r="B826" s="13" t="s">
        <v>28</v>
      </c>
      <c r="C826" s="14"/>
      <c r="D826" s="14" t="s">
        <v>3519</v>
      </c>
      <c r="E826" s="14"/>
      <c r="F826" s="59">
        <v>40818.0</v>
      </c>
      <c r="G826" s="14"/>
      <c r="H826" s="14"/>
      <c r="I826" s="15" t="s">
        <v>3520</v>
      </c>
      <c r="J826" s="14"/>
      <c r="K826" s="14"/>
      <c r="L826" s="14" t="s">
        <v>3521</v>
      </c>
      <c r="M826" s="14" t="s">
        <v>111</v>
      </c>
      <c r="N826" s="14" t="s">
        <v>216</v>
      </c>
      <c r="O826" s="14" t="b">
        <v>0</v>
      </c>
      <c r="P826" s="14"/>
      <c r="Q826" s="14"/>
      <c r="R826" s="14"/>
      <c r="S826" s="14" t="s">
        <v>3522</v>
      </c>
      <c r="T826" s="14"/>
      <c r="U826" s="17"/>
      <c r="V826" s="14"/>
      <c r="W826" s="14"/>
      <c r="X826" s="18"/>
      <c r="Y826" s="18"/>
      <c r="Z826" s="18"/>
      <c r="AA826" s="19">
        <f t="shared" si="1"/>
        <v>10</v>
      </c>
      <c r="AB826" s="19" t="str">
        <f t="shared" si="2"/>
        <v/>
      </c>
      <c r="AC826" s="19"/>
    </row>
    <row r="827" ht="15.75" customHeight="1">
      <c r="A827" s="12">
        <v>45204.0</v>
      </c>
      <c r="B827" s="13" t="s">
        <v>28</v>
      </c>
      <c r="C827" s="14" t="s">
        <v>3523</v>
      </c>
      <c r="D827" s="14" t="s">
        <v>3524</v>
      </c>
      <c r="E827" s="14"/>
      <c r="F827" s="59">
        <v>40286.0</v>
      </c>
      <c r="G827" s="14"/>
      <c r="H827" s="14"/>
      <c r="I827" s="15" t="s">
        <v>3525</v>
      </c>
      <c r="J827" s="14"/>
      <c r="K827" s="14"/>
      <c r="L827" s="14" t="s">
        <v>3526</v>
      </c>
      <c r="M827" s="14" t="s">
        <v>111</v>
      </c>
      <c r="N827" s="14" t="s">
        <v>565</v>
      </c>
      <c r="O827" s="14" t="b">
        <v>0</v>
      </c>
      <c r="P827" s="14"/>
      <c r="Q827" s="14"/>
      <c r="R827" s="14"/>
      <c r="S827" s="14"/>
      <c r="T827" s="14"/>
      <c r="U827" s="17"/>
      <c r="V827" s="14"/>
      <c r="W827" s="14"/>
      <c r="X827" s="18"/>
      <c r="Y827" s="18"/>
      <c r="Z827" s="18"/>
      <c r="AA827" s="19">
        <f t="shared" si="1"/>
        <v>10</v>
      </c>
      <c r="AB827" s="19" t="str">
        <f t="shared" si="2"/>
        <v/>
      </c>
      <c r="AC827" s="19"/>
    </row>
    <row r="828" ht="15.75" customHeight="1">
      <c r="A828" s="12">
        <v>45204.0</v>
      </c>
      <c r="B828" s="24" t="s">
        <v>28</v>
      </c>
      <c r="C828" s="14" t="s">
        <v>4568</v>
      </c>
      <c r="D828" s="14"/>
      <c r="E828" s="14"/>
      <c r="F828" s="14"/>
      <c r="G828" s="14"/>
      <c r="H828" s="14"/>
      <c r="I828" s="15" t="s">
        <v>3528</v>
      </c>
      <c r="J828" s="14"/>
      <c r="K828" s="14"/>
      <c r="L828" s="14" t="s">
        <v>3529</v>
      </c>
      <c r="M828" s="14" t="s">
        <v>111</v>
      </c>
      <c r="N828" s="14" t="s">
        <v>13</v>
      </c>
      <c r="O828" s="14" t="b">
        <v>1</v>
      </c>
      <c r="P828" s="14" t="s">
        <v>3530</v>
      </c>
      <c r="Q828" s="14"/>
      <c r="R828" s="14"/>
      <c r="S828" s="14" t="s">
        <v>3531</v>
      </c>
      <c r="T828" s="14" t="s">
        <v>4197</v>
      </c>
      <c r="U828" s="17">
        <v>45231.0</v>
      </c>
      <c r="V828" s="14"/>
      <c r="W828" s="14"/>
      <c r="X828" s="18"/>
      <c r="Y828" s="18"/>
      <c r="Z828" s="18"/>
      <c r="AA828" s="19">
        <f t="shared" si="1"/>
        <v>10</v>
      </c>
      <c r="AB828" s="19" t="str">
        <f t="shared" si="2"/>
        <v/>
      </c>
      <c r="AC828" s="19" t="s">
        <v>373</v>
      </c>
    </row>
    <row r="829" ht="15.75" customHeight="1">
      <c r="A829" s="12">
        <v>45204.0</v>
      </c>
      <c r="B829" s="14" t="s">
        <v>340</v>
      </c>
      <c r="C829" s="14"/>
      <c r="D829" s="14" t="s">
        <v>672</v>
      </c>
      <c r="E829" s="14"/>
      <c r="F829" s="14">
        <v>2005.0</v>
      </c>
      <c r="G829" s="14"/>
      <c r="H829" s="14"/>
      <c r="I829" s="15" t="s">
        <v>3532</v>
      </c>
      <c r="J829" s="14"/>
      <c r="K829" s="14"/>
      <c r="L829" s="14" t="s">
        <v>3533</v>
      </c>
      <c r="M829" s="14" t="s">
        <v>111</v>
      </c>
      <c r="N829" s="14" t="s">
        <v>34</v>
      </c>
      <c r="O829" s="14" t="b">
        <v>1</v>
      </c>
      <c r="P829" s="14" t="s">
        <v>3534</v>
      </c>
      <c r="Q829" s="14"/>
      <c r="R829" s="14"/>
      <c r="S829" s="14" t="s">
        <v>3535</v>
      </c>
      <c r="T829" s="14"/>
      <c r="U829" s="17"/>
      <c r="V829" s="14"/>
      <c r="W829" s="14"/>
      <c r="X829" s="18"/>
      <c r="Y829" s="18"/>
      <c r="Z829" s="18"/>
      <c r="AA829" s="19">
        <f t="shared" si="1"/>
        <v>10</v>
      </c>
      <c r="AB829" s="19" t="str">
        <f t="shared" si="2"/>
        <v/>
      </c>
      <c r="AC829" s="19"/>
    </row>
    <row r="830" ht="15.75" customHeight="1">
      <c r="A830" s="12">
        <v>45205.0</v>
      </c>
      <c r="B830" s="13" t="s">
        <v>28</v>
      </c>
      <c r="C830" s="14" t="s">
        <v>3536</v>
      </c>
      <c r="D830" s="14"/>
      <c r="E830" s="14"/>
      <c r="F830" s="14"/>
      <c r="G830" s="14"/>
      <c r="H830" s="14"/>
      <c r="I830" s="15" t="s">
        <v>3537</v>
      </c>
      <c r="J830" s="14"/>
      <c r="K830" s="14"/>
      <c r="L830" s="14"/>
      <c r="M830" s="14" t="s">
        <v>111</v>
      </c>
      <c r="N830" s="14" t="s">
        <v>565</v>
      </c>
      <c r="O830" s="14" t="b">
        <v>0</v>
      </c>
      <c r="P830" s="14"/>
      <c r="Q830" s="14"/>
      <c r="R830" s="14"/>
      <c r="S830" s="14" t="s">
        <v>3538</v>
      </c>
      <c r="T830" s="14" t="s">
        <v>4197</v>
      </c>
      <c r="U830" s="17">
        <v>45210.0</v>
      </c>
      <c r="V830" s="14"/>
      <c r="W830" s="14"/>
      <c r="X830" s="18"/>
      <c r="Y830" s="18"/>
      <c r="Z830" s="18"/>
      <c r="AA830" s="19">
        <f t="shared" si="1"/>
        <v>10</v>
      </c>
      <c r="AB830" s="19" t="str">
        <f t="shared" si="2"/>
        <v/>
      </c>
      <c r="AC830" s="19" t="s">
        <v>373</v>
      </c>
    </row>
    <row r="831" ht="15.75" customHeight="1">
      <c r="A831" s="12">
        <v>45205.0</v>
      </c>
      <c r="B831" s="13" t="s">
        <v>28</v>
      </c>
      <c r="C831" s="14" t="s">
        <v>3539</v>
      </c>
      <c r="D831" s="14"/>
      <c r="E831" s="14"/>
      <c r="F831" s="14">
        <v>2012.0</v>
      </c>
      <c r="G831" s="14">
        <v>6.0</v>
      </c>
      <c r="H831" s="14"/>
      <c r="I831" s="15" t="s">
        <v>3540</v>
      </c>
      <c r="J831" s="14"/>
      <c r="K831" s="14"/>
      <c r="L831" s="14" t="s">
        <v>3541</v>
      </c>
      <c r="M831" s="14" t="s">
        <v>111</v>
      </c>
      <c r="N831" s="14" t="s">
        <v>34</v>
      </c>
      <c r="O831" s="14" t="b">
        <v>0</v>
      </c>
      <c r="P831" s="14"/>
      <c r="Q831" s="14"/>
      <c r="R831" s="14"/>
      <c r="S831" s="14" t="s">
        <v>3542</v>
      </c>
      <c r="T831" s="14" t="s">
        <v>4197</v>
      </c>
      <c r="U831" s="17">
        <v>45214.0</v>
      </c>
      <c r="V831" s="14"/>
      <c r="W831" s="14"/>
      <c r="X831" s="18"/>
      <c r="Y831" s="18"/>
      <c r="Z831" s="18"/>
      <c r="AA831" s="19">
        <f t="shared" si="1"/>
        <v>10</v>
      </c>
      <c r="AB831" s="19" t="str">
        <f t="shared" si="2"/>
        <v/>
      </c>
      <c r="AC831" s="19"/>
    </row>
    <row r="832" ht="15.75" customHeight="1">
      <c r="A832" s="12">
        <v>45206.0</v>
      </c>
      <c r="B832" s="14" t="s">
        <v>84</v>
      </c>
      <c r="C832" s="14" t="s">
        <v>3543</v>
      </c>
      <c r="D832" s="14"/>
      <c r="E832" s="14"/>
      <c r="F832" s="14"/>
      <c r="G832" s="14"/>
      <c r="H832" s="14"/>
      <c r="I832" s="15" t="s">
        <v>3544</v>
      </c>
      <c r="J832" s="14"/>
      <c r="K832" s="14"/>
      <c r="L832" s="14" t="s">
        <v>3541</v>
      </c>
      <c r="M832" s="14" t="s">
        <v>111</v>
      </c>
      <c r="N832" s="14" t="s">
        <v>34</v>
      </c>
      <c r="O832" s="14" t="b">
        <v>0</v>
      </c>
      <c r="P832" s="14"/>
      <c r="Q832" s="14"/>
      <c r="R832" s="14"/>
      <c r="S832" s="14" t="s">
        <v>3545</v>
      </c>
      <c r="T832" s="14" t="s">
        <v>4069</v>
      </c>
      <c r="U832" s="17"/>
      <c r="V832" s="14"/>
      <c r="W832" s="14"/>
      <c r="X832" s="18"/>
      <c r="Y832" s="18"/>
      <c r="Z832" s="18"/>
      <c r="AA832" s="19">
        <f t="shared" si="1"/>
        <v>10</v>
      </c>
      <c r="AB832" s="19" t="str">
        <f t="shared" si="2"/>
        <v/>
      </c>
      <c r="AC832" s="19" t="s">
        <v>373</v>
      </c>
    </row>
    <row r="833" ht="15.75" customHeight="1">
      <c r="A833" s="12">
        <v>45206.0</v>
      </c>
      <c r="B833" s="13" t="s">
        <v>28</v>
      </c>
      <c r="C833" s="14" t="s">
        <v>3546</v>
      </c>
      <c r="D833" s="14"/>
      <c r="E833" s="14"/>
      <c r="F833" s="14">
        <v>2007.0</v>
      </c>
      <c r="G833" s="14">
        <v>10.0</v>
      </c>
      <c r="H833" s="14"/>
      <c r="I833" s="15" t="s">
        <v>3547</v>
      </c>
      <c r="J833" s="14"/>
      <c r="K833" s="14">
        <v>8.62118208E8</v>
      </c>
      <c r="L833" s="14"/>
      <c r="M833" s="14" t="s">
        <v>111</v>
      </c>
      <c r="N833" s="14" t="s">
        <v>565</v>
      </c>
      <c r="O833" s="14" t="b">
        <v>0</v>
      </c>
      <c r="P833" s="14"/>
      <c r="Q833" s="14"/>
      <c r="R833" s="14"/>
      <c r="S833" s="14" t="s">
        <v>3548</v>
      </c>
      <c r="T833" s="14" t="s">
        <v>4096</v>
      </c>
      <c r="U833" s="17"/>
      <c r="V833" s="14"/>
      <c r="W833" s="14"/>
      <c r="X833" s="18"/>
      <c r="Y833" s="18"/>
      <c r="Z833" s="18"/>
      <c r="AA833" s="19">
        <f t="shared" si="1"/>
        <v>10</v>
      </c>
      <c r="AB833" s="19" t="str">
        <f t="shared" si="2"/>
        <v/>
      </c>
      <c r="AC833" s="19"/>
    </row>
    <row r="834" ht="15.75" customHeight="1">
      <c r="A834" s="26">
        <v>45208.0</v>
      </c>
      <c r="B834" s="27" t="s">
        <v>84</v>
      </c>
      <c r="C834" s="27" t="s">
        <v>3549</v>
      </c>
      <c r="D834" s="27"/>
      <c r="E834" s="27"/>
      <c r="F834" s="27">
        <v>1990.0</v>
      </c>
      <c r="G834" s="27"/>
      <c r="H834" s="27"/>
      <c r="I834" s="34" t="s">
        <v>3550</v>
      </c>
      <c r="J834" s="27"/>
      <c r="K834" s="27"/>
      <c r="L834" s="27" t="s">
        <v>2989</v>
      </c>
      <c r="M834" s="27" t="s">
        <v>111</v>
      </c>
      <c r="N834" s="27" t="s">
        <v>67</v>
      </c>
      <c r="O834" s="14" t="b">
        <v>0</v>
      </c>
      <c r="P834" s="27"/>
      <c r="Q834" s="27"/>
      <c r="R834" s="27"/>
      <c r="S834" s="27" t="s">
        <v>3551</v>
      </c>
      <c r="T834" s="27"/>
      <c r="U834" s="26"/>
      <c r="V834" s="32">
        <v>45208.0</v>
      </c>
      <c r="W834" s="27" t="s">
        <v>4207</v>
      </c>
      <c r="X834" s="25">
        <v>2.1E7</v>
      </c>
      <c r="Y834" s="25">
        <v>2100000.0</v>
      </c>
      <c r="Z834" s="25">
        <v>1.89E7</v>
      </c>
      <c r="AA834" s="19">
        <f t="shared" si="1"/>
        <v>10</v>
      </c>
      <c r="AB834" s="19">
        <f t="shared" si="2"/>
        <v>10</v>
      </c>
      <c r="AC834" s="19"/>
    </row>
    <row r="835" ht="15.75" customHeight="1">
      <c r="A835" s="12">
        <v>45208.0</v>
      </c>
      <c r="B835" s="14" t="s">
        <v>84</v>
      </c>
      <c r="C835" s="14" t="s">
        <v>3549</v>
      </c>
      <c r="D835" s="14" t="s">
        <v>3552</v>
      </c>
      <c r="E835" s="14"/>
      <c r="F835" s="14">
        <v>2019.0</v>
      </c>
      <c r="G835" s="14"/>
      <c r="H835" s="14"/>
      <c r="I835" s="15" t="s">
        <v>3550</v>
      </c>
      <c r="J835" s="14"/>
      <c r="K835" s="14"/>
      <c r="L835" s="14" t="s">
        <v>2989</v>
      </c>
      <c r="M835" s="14" t="s">
        <v>111</v>
      </c>
      <c r="N835" s="14" t="s">
        <v>34</v>
      </c>
      <c r="O835" s="14" t="b">
        <v>0</v>
      </c>
      <c r="P835" s="14"/>
      <c r="Q835" s="14"/>
      <c r="R835" s="14"/>
      <c r="S835" s="14" t="s">
        <v>3553</v>
      </c>
      <c r="T835" s="14"/>
      <c r="U835" s="17"/>
      <c r="V835" s="142"/>
      <c r="W835" s="14"/>
      <c r="X835" s="18"/>
      <c r="Y835" s="18"/>
      <c r="Z835" s="18"/>
      <c r="AA835" s="19">
        <f t="shared" si="1"/>
        <v>10</v>
      </c>
      <c r="AB835" s="19" t="str">
        <f t="shared" si="2"/>
        <v/>
      </c>
      <c r="AC835" s="19" t="s">
        <v>373</v>
      </c>
    </row>
    <row r="836" ht="15.75" customHeight="1">
      <c r="A836" s="12">
        <v>45208.0</v>
      </c>
      <c r="B836" s="24" t="s">
        <v>28</v>
      </c>
      <c r="C836" s="14" t="s">
        <v>3554</v>
      </c>
      <c r="D836" s="14"/>
      <c r="E836" s="14"/>
      <c r="F836" s="14"/>
      <c r="G836" s="14"/>
      <c r="H836" s="14"/>
      <c r="I836" s="15" t="s">
        <v>3555</v>
      </c>
      <c r="J836" s="14"/>
      <c r="K836" s="14"/>
      <c r="L836" s="14" t="s">
        <v>3556</v>
      </c>
      <c r="M836" s="14" t="s">
        <v>111</v>
      </c>
      <c r="N836" s="14" t="s">
        <v>565</v>
      </c>
      <c r="O836" s="14" t="b">
        <v>0</v>
      </c>
      <c r="P836" s="14"/>
      <c r="Q836" s="14"/>
      <c r="R836" s="14"/>
      <c r="S836" s="14" t="s">
        <v>3557</v>
      </c>
      <c r="T836" s="14" t="s">
        <v>4096</v>
      </c>
      <c r="U836" s="17">
        <v>45212.0</v>
      </c>
      <c r="V836" s="14"/>
      <c r="W836" s="14"/>
      <c r="X836" s="18"/>
      <c r="Y836" s="18"/>
      <c r="Z836" s="18"/>
      <c r="AA836" s="19">
        <f t="shared" si="1"/>
        <v>10</v>
      </c>
      <c r="AB836" s="19" t="str">
        <f t="shared" si="2"/>
        <v/>
      </c>
      <c r="AC836" s="19"/>
    </row>
    <row r="837" ht="15.75" customHeight="1">
      <c r="A837" s="26">
        <v>45208.0</v>
      </c>
      <c r="B837" s="27" t="s">
        <v>201</v>
      </c>
      <c r="C837" s="27" t="s">
        <v>4569</v>
      </c>
      <c r="D837" s="27" t="s">
        <v>3559</v>
      </c>
      <c r="E837" s="27"/>
      <c r="F837" s="27">
        <v>2010.0</v>
      </c>
      <c r="G837" s="27">
        <v>8.0</v>
      </c>
      <c r="H837" s="27"/>
      <c r="I837" s="34" t="s">
        <v>3560</v>
      </c>
      <c r="J837" s="27"/>
      <c r="K837" s="27"/>
      <c r="L837" s="27" t="s">
        <v>3561</v>
      </c>
      <c r="M837" s="27" t="s">
        <v>111</v>
      </c>
      <c r="N837" s="27" t="s">
        <v>67</v>
      </c>
      <c r="O837" s="14" t="b">
        <v>1</v>
      </c>
      <c r="P837" s="27" t="s">
        <v>3562</v>
      </c>
      <c r="Q837" s="27"/>
      <c r="R837" s="27"/>
      <c r="S837" s="27" t="s">
        <v>3563</v>
      </c>
      <c r="T837" s="27" t="s">
        <v>4197</v>
      </c>
      <c r="U837" s="26"/>
      <c r="V837" s="32">
        <v>45215.0</v>
      </c>
      <c r="W837" s="27" t="s">
        <v>4570</v>
      </c>
      <c r="X837" s="25">
        <v>4375000.0</v>
      </c>
      <c r="Y837" s="25">
        <v>437500.0</v>
      </c>
      <c r="Z837" s="25">
        <v>3937500.0</v>
      </c>
      <c r="AA837" s="19">
        <f t="shared" si="1"/>
        <v>10</v>
      </c>
      <c r="AB837" s="19">
        <f t="shared" si="2"/>
        <v>10</v>
      </c>
      <c r="AC837" s="19"/>
    </row>
    <row r="838" ht="15.75" customHeight="1">
      <c r="A838" s="26">
        <v>45208.0</v>
      </c>
      <c r="B838" s="27" t="s">
        <v>201</v>
      </c>
      <c r="C838" s="27" t="s">
        <v>4569</v>
      </c>
      <c r="D838" s="27" t="s">
        <v>3564</v>
      </c>
      <c r="E838" s="27"/>
      <c r="F838" s="27">
        <v>2012.0</v>
      </c>
      <c r="G838" s="27">
        <v>6.0</v>
      </c>
      <c r="H838" s="27"/>
      <c r="I838" s="34" t="s">
        <v>3560</v>
      </c>
      <c r="J838" s="27"/>
      <c r="K838" s="27"/>
      <c r="L838" s="27" t="s">
        <v>3561</v>
      </c>
      <c r="M838" s="27" t="s">
        <v>111</v>
      </c>
      <c r="N838" s="27" t="s">
        <v>67</v>
      </c>
      <c r="O838" s="14" t="b">
        <v>1</v>
      </c>
      <c r="P838" s="27" t="s">
        <v>3565</v>
      </c>
      <c r="Q838" s="27"/>
      <c r="R838" s="27"/>
      <c r="S838" s="27" t="s">
        <v>3563</v>
      </c>
      <c r="T838" s="27" t="s">
        <v>4197</v>
      </c>
      <c r="U838" s="26"/>
      <c r="V838" s="32">
        <v>45215.0</v>
      </c>
      <c r="W838" s="27" t="s">
        <v>4570</v>
      </c>
      <c r="X838" s="25">
        <v>4375000.0</v>
      </c>
      <c r="Y838" s="25">
        <v>437500.0</v>
      </c>
      <c r="Z838" s="25">
        <v>3937500.0</v>
      </c>
      <c r="AA838" s="19">
        <f t="shared" si="1"/>
        <v>10</v>
      </c>
      <c r="AB838" s="19">
        <f t="shared" si="2"/>
        <v>10</v>
      </c>
      <c r="AC838" s="19"/>
    </row>
    <row r="839" ht="15.75" customHeight="1">
      <c r="A839" s="26">
        <v>45208.0</v>
      </c>
      <c r="B839" s="27" t="s">
        <v>201</v>
      </c>
      <c r="C839" s="27" t="s">
        <v>4571</v>
      </c>
      <c r="D839" s="27" t="s">
        <v>3567</v>
      </c>
      <c r="E839" s="27"/>
      <c r="F839" s="27">
        <v>2012.0</v>
      </c>
      <c r="G839" s="27">
        <v>6.0</v>
      </c>
      <c r="H839" s="27"/>
      <c r="I839" s="34" t="s">
        <v>3568</v>
      </c>
      <c r="J839" s="27"/>
      <c r="K839" s="27"/>
      <c r="L839" s="27" t="s">
        <v>3561</v>
      </c>
      <c r="M839" s="27" t="s">
        <v>111</v>
      </c>
      <c r="N839" s="27" t="s">
        <v>67</v>
      </c>
      <c r="O839" s="14" t="b">
        <v>1</v>
      </c>
      <c r="P839" s="27" t="s">
        <v>3569</v>
      </c>
      <c r="Q839" s="27"/>
      <c r="R839" s="27"/>
      <c r="S839" s="27" t="s">
        <v>3570</v>
      </c>
      <c r="T839" s="27"/>
      <c r="U839" s="26"/>
      <c r="V839" s="32">
        <v>45216.0</v>
      </c>
      <c r="W839" s="27" t="s">
        <v>4570</v>
      </c>
      <c r="X839" s="25">
        <v>3062000.0</v>
      </c>
      <c r="Y839" s="25">
        <v>0.0</v>
      </c>
      <c r="Z839" s="25">
        <v>3062000.0</v>
      </c>
      <c r="AA839" s="19">
        <f t="shared" si="1"/>
        <v>10</v>
      </c>
      <c r="AB839" s="19">
        <f t="shared" si="2"/>
        <v>10</v>
      </c>
      <c r="AC839" s="19"/>
    </row>
    <row r="840" ht="15.75" customHeight="1">
      <c r="A840" s="12">
        <v>45208.0</v>
      </c>
      <c r="B840" s="13" t="s">
        <v>28</v>
      </c>
      <c r="C840" s="14" t="s">
        <v>3571</v>
      </c>
      <c r="D840" s="14"/>
      <c r="E840" s="14"/>
      <c r="F840" s="14"/>
      <c r="G840" s="14"/>
      <c r="H840" s="14"/>
      <c r="I840" s="15"/>
      <c r="J840" s="14"/>
      <c r="K840" s="14">
        <v>9.06919729E8</v>
      </c>
      <c r="L840" s="14" t="s">
        <v>91</v>
      </c>
      <c r="M840" s="14" t="s">
        <v>111</v>
      </c>
      <c r="N840" s="14" t="s">
        <v>565</v>
      </c>
      <c r="O840" s="14" t="b">
        <v>0</v>
      </c>
      <c r="P840" s="14"/>
      <c r="Q840" s="14"/>
      <c r="R840" s="14"/>
      <c r="S840" s="14" t="s">
        <v>3572</v>
      </c>
      <c r="T840" s="14" t="s">
        <v>4096</v>
      </c>
      <c r="U840" s="17">
        <v>45211.0</v>
      </c>
      <c r="V840" s="14"/>
      <c r="W840" s="14"/>
      <c r="X840" s="18"/>
      <c r="Y840" s="18"/>
      <c r="Z840" s="18"/>
      <c r="AA840" s="19">
        <f t="shared" si="1"/>
        <v>10</v>
      </c>
      <c r="AB840" s="19" t="str">
        <f t="shared" si="2"/>
        <v/>
      </c>
      <c r="AC840" s="19"/>
    </row>
    <row r="841" ht="15.75" customHeight="1">
      <c r="A841" s="12">
        <v>45208.0</v>
      </c>
      <c r="B841" s="13" t="s">
        <v>28</v>
      </c>
      <c r="C841" s="14" t="s">
        <v>3573</v>
      </c>
      <c r="D841" s="14"/>
      <c r="E841" s="14"/>
      <c r="F841" s="14"/>
      <c r="G841" s="14"/>
      <c r="H841" s="14"/>
      <c r="I841" s="15" t="s">
        <v>3574</v>
      </c>
      <c r="J841" s="14"/>
      <c r="K841" s="14"/>
      <c r="L841" s="14" t="s">
        <v>91</v>
      </c>
      <c r="M841" s="14" t="s">
        <v>111</v>
      </c>
      <c r="N841" s="14" t="s">
        <v>565</v>
      </c>
      <c r="O841" s="14" t="b">
        <v>0</v>
      </c>
      <c r="P841" s="14"/>
      <c r="Q841" s="14"/>
      <c r="R841" s="14"/>
      <c r="S841" s="14" t="s">
        <v>3575</v>
      </c>
      <c r="T841" s="14" t="s">
        <v>4096</v>
      </c>
      <c r="U841" s="17">
        <v>45211.0</v>
      </c>
      <c r="V841" s="14"/>
      <c r="W841" s="14"/>
      <c r="X841" s="18"/>
      <c r="Y841" s="18"/>
      <c r="Z841" s="18"/>
      <c r="AA841" s="19">
        <f t="shared" si="1"/>
        <v>10</v>
      </c>
      <c r="AB841" s="19" t="str">
        <f t="shared" si="2"/>
        <v/>
      </c>
      <c r="AC841" s="19"/>
    </row>
    <row r="842" ht="15.75" customHeight="1">
      <c r="A842" s="12">
        <v>45208.0</v>
      </c>
      <c r="B842" s="13" t="s">
        <v>28</v>
      </c>
      <c r="C842" s="14" t="s">
        <v>3576</v>
      </c>
      <c r="D842" s="14"/>
      <c r="E842" s="14"/>
      <c r="F842" s="14">
        <v>2014.0</v>
      </c>
      <c r="G842" s="14">
        <v>4.0</v>
      </c>
      <c r="H842" s="14"/>
      <c r="I842" s="15" t="s">
        <v>3577</v>
      </c>
      <c r="J842" s="14"/>
      <c r="K842" s="14"/>
      <c r="L842" s="14"/>
      <c r="M842" s="14" t="s">
        <v>111</v>
      </c>
      <c r="N842" s="14" t="s">
        <v>565</v>
      </c>
      <c r="O842" s="14" t="b">
        <v>0</v>
      </c>
      <c r="P842" s="14"/>
      <c r="Q842" s="14"/>
      <c r="R842" s="14"/>
      <c r="S842" s="14" t="s">
        <v>4572</v>
      </c>
      <c r="T842" s="14" t="s">
        <v>4197</v>
      </c>
      <c r="U842" s="17">
        <v>45214.0</v>
      </c>
      <c r="V842" s="14"/>
      <c r="W842" s="14"/>
      <c r="X842" s="18"/>
      <c r="Y842" s="18"/>
      <c r="Z842" s="18"/>
      <c r="AA842" s="19">
        <f t="shared" si="1"/>
        <v>10</v>
      </c>
      <c r="AB842" s="19" t="str">
        <f t="shared" si="2"/>
        <v/>
      </c>
      <c r="AC842" s="19"/>
    </row>
    <row r="843" ht="15.75" customHeight="1">
      <c r="A843" s="12">
        <v>45208.0</v>
      </c>
      <c r="B843" s="13" t="s">
        <v>28</v>
      </c>
      <c r="C843" s="14" t="s">
        <v>3579</v>
      </c>
      <c r="D843" s="14" t="s">
        <v>3580</v>
      </c>
      <c r="E843" s="14"/>
      <c r="F843" s="14">
        <v>2010.0</v>
      </c>
      <c r="G843" s="14">
        <v>8.0</v>
      </c>
      <c r="H843" s="14"/>
      <c r="I843" s="15" t="s">
        <v>3581</v>
      </c>
      <c r="J843" s="14"/>
      <c r="K843" s="14"/>
      <c r="L843" s="14" t="s">
        <v>3582</v>
      </c>
      <c r="M843" s="14" t="s">
        <v>111</v>
      </c>
      <c r="N843" s="14" t="s">
        <v>565</v>
      </c>
      <c r="O843" s="14" t="b">
        <v>0</v>
      </c>
      <c r="P843" s="14"/>
      <c r="Q843" s="14"/>
      <c r="R843" s="14"/>
      <c r="S843" s="14" t="s">
        <v>3583</v>
      </c>
      <c r="T843" s="14" t="s">
        <v>4197</v>
      </c>
      <c r="U843" s="17">
        <v>45218.0</v>
      </c>
      <c r="V843" s="14"/>
      <c r="W843" s="14"/>
      <c r="X843" s="18"/>
      <c r="Y843" s="18"/>
      <c r="Z843" s="18"/>
      <c r="AA843" s="19">
        <f t="shared" si="1"/>
        <v>10</v>
      </c>
      <c r="AB843" s="19" t="str">
        <f t="shared" si="2"/>
        <v/>
      </c>
      <c r="AC843" s="19"/>
    </row>
    <row r="844" ht="15.75" customHeight="1">
      <c r="A844" s="12">
        <v>45209.0</v>
      </c>
      <c r="B844" s="13" t="s">
        <v>28</v>
      </c>
      <c r="C844" s="14" t="s">
        <v>3584</v>
      </c>
      <c r="D844" s="14" t="s">
        <v>4573</v>
      </c>
      <c r="E844" s="14"/>
      <c r="F844" s="14">
        <v>2013.0</v>
      </c>
      <c r="G844" s="14">
        <v>5.0</v>
      </c>
      <c r="H844" s="14"/>
      <c r="I844" s="15" t="s">
        <v>971</v>
      </c>
      <c r="J844" s="14"/>
      <c r="K844" s="14"/>
      <c r="L844" s="14" t="s">
        <v>3541</v>
      </c>
      <c r="M844" s="14" t="s">
        <v>111</v>
      </c>
      <c r="N844" s="14" t="s">
        <v>13</v>
      </c>
      <c r="O844" s="14" t="b">
        <v>1</v>
      </c>
      <c r="P844" s="14" t="s">
        <v>3586</v>
      </c>
      <c r="Q844" s="14"/>
      <c r="R844" s="14"/>
      <c r="S844" s="14" t="s">
        <v>3587</v>
      </c>
      <c r="T844" s="14" t="s">
        <v>4197</v>
      </c>
      <c r="U844" s="17">
        <v>45219.0</v>
      </c>
      <c r="V844" s="14"/>
      <c r="W844" s="14"/>
      <c r="X844" s="18"/>
      <c r="Y844" s="18"/>
      <c r="Z844" s="18"/>
      <c r="AA844" s="19">
        <f t="shared" si="1"/>
        <v>10</v>
      </c>
      <c r="AB844" s="19" t="str">
        <f t="shared" si="2"/>
        <v/>
      </c>
      <c r="AC844" s="19" t="s">
        <v>373</v>
      </c>
    </row>
    <row r="845" ht="15.75" customHeight="1">
      <c r="A845" s="12">
        <v>45209.0</v>
      </c>
      <c r="B845" s="13" t="s">
        <v>28</v>
      </c>
      <c r="C845" s="14" t="s">
        <v>3584</v>
      </c>
      <c r="D845" s="14" t="s">
        <v>3588</v>
      </c>
      <c r="E845" s="14"/>
      <c r="F845" s="14">
        <v>2018.0</v>
      </c>
      <c r="G845" s="14" t="s">
        <v>457</v>
      </c>
      <c r="H845" s="14"/>
      <c r="I845" s="15" t="s">
        <v>971</v>
      </c>
      <c r="J845" s="14"/>
      <c r="K845" s="14"/>
      <c r="L845" s="14" t="s">
        <v>3541</v>
      </c>
      <c r="M845" s="14" t="s">
        <v>111</v>
      </c>
      <c r="N845" s="14" t="s">
        <v>13</v>
      </c>
      <c r="O845" s="14" t="b">
        <v>1</v>
      </c>
      <c r="P845" s="14" t="s">
        <v>3589</v>
      </c>
      <c r="Q845" s="14"/>
      <c r="R845" s="14"/>
      <c r="S845" s="14" t="s">
        <v>3587</v>
      </c>
      <c r="T845" s="14" t="s">
        <v>4197</v>
      </c>
      <c r="U845" s="17">
        <v>45218.0</v>
      </c>
      <c r="V845" s="14"/>
      <c r="W845" s="14"/>
      <c r="X845" s="18"/>
      <c r="Y845" s="18"/>
      <c r="Z845" s="18"/>
      <c r="AA845" s="19">
        <f t="shared" si="1"/>
        <v>10</v>
      </c>
      <c r="AB845" s="19" t="str">
        <f t="shared" si="2"/>
        <v/>
      </c>
      <c r="AC845" s="19" t="s">
        <v>373</v>
      </c>
    </row>
    <row r="846" ht="15.75" customHeight="1">
      <c r="A846" s="12">
        <v>45209.0</v>
      </c>
      <c r="B846" s="13" t="s">
        <v>28</v>
      </c>
      <c r="C846" s="14" t="s">
        <v>3590</v>
      </c>
      <c r="D846" s="14" t="s">
        <v>3591</v>
      </c>
      <c r="E846" s="14"/>
      <c r="F846" s="14">
        <v>2015.0</v>
      </c>
      <c r="G846" s="14">
        <v>8.0</v>
      </c>
      <c r="H846" s="14"/>
      <c r="I846" s="15" t="s">
        <v>3592</v>
      </c>
      <c r="J846" s="14"/>
      <c r="K846" s="14"/>
      <c r="L846" s="14" t="s">
        <v>4207</v>
      </c>
      <c r="M846" s="14" t="s">
        <v>111</v>
      </c>
      <c r="N846" s="14" t="s">
        <v>565</v>
      </c>
      <c r="O846" s="14" t="b">
        <v>0</v>
      </c>
      <c r="P846" s="14"/>
      <c r="Q846" s="14"/>
      <c r="R846" s="14"/>
      <c r="S846" s="14" t="s">
        <v>3593</v>
      </c>
      <c r="T846" s="14" t="s">
        <v>4197</v>
      </c>
      <c r="U846" s="17"/>
      <c r="V846" s="14"/>
      <c r="W846" s="14"/>
      <c r="X846" s="18"/>
      <c r="Y846" s="18"/>
      <c r="Z846" s="18"/>
      <c r="AA846" s="19">
        <f t="shared" si="1"/>
        <v>10</v>
      </c>
      <c r="AB846" s="19" t="str">
        <f t="shared" si="2"/>
        <v/>
      </c>
      <c r="AC846" s="19" t="s">
        <v>373</v>
      </c>
    </row>
    <row r="847" ht="15.75" customHeight="1">
      <c r="A847" s="12">
        <v>45209.0</v>
      </c>
      <c r="B847" s="13" t="s">
        <v>28</v>
      </c>
      <c r="C847" s="14" t="s">
        <v>3590</v>
      </c>
      <c r="D847" s="14" t="s">
        <v>3594</v>
      </c>
      <c r="E847" s="14"/>
      <c r="F847" s="14">
        <v>2018.0</v>
      </c>
      <c r="G847" s="14" t="s">
        <v>457</v>
      </c>
      <c r="H847" s="14"/>
      <c r="I847" s="15" t="s">
        <v>3592</v>
      </c>
      <c r="J847" s="14"/>
      <c r="K847" s="14"/>
      <c r="L847" s="14" t="s">
        <v>4207</v>
      </c>
      <c r="M847" s="14" t="s">
        <v>111</v>
      </c>
      <c r="N847" s="14" t="s">
        <v>565</v>
      </c>
      <c r="O847" s="14" t="b">
        <v>0</v>
      </c>
      <c r="P847" s="14"/>
      <c r="Q847" s="14"/>
      <c r="R847" s="14"/>
      <c r="S847" s="14" t="s">
        <v>3595</v>
      </c>
      <c r="T847" s="14" t="s">
        <v>4197</v>
      </c>
      <c r="U847" s="17"/>
      <c r="V847" s="14"/>
      <c r="W847" s="14"/>
      <c r="X847" s="18"/>
      <c r="Y847" s="18"/>
      <c r="Z847" s="18"/>
      <c r="AA847" s="19">
        <f t="shared" si="1"/>
        <v>10</v>
      </c>
      <c r="AB847" s="19" t="str">
        <f t="shared" si="2"/>
        <v/>
      </c>
      <c r="AC847" s="19"/>
    </row>
    <row r="848" ht="15.75" customHeight="1">
      <c r="A848" s="12">
        <v>45210.0</v>
      </c>
      <c r="B848" s="13" t="s">
        <v>28</v>
      </c>
      <c r="C848" s="14" t="s">
        <v>3596</v>
      </c>
      <c r="D848" s="14"/>
      <c r="E848" s="14"/>
      <c r="F848" s="14" t="s">
        <v>419</v>
      </c>
      <c r="G848" s="14"/>
      <c r="H848" s="14"/>
      <c r="I848" s="15" t="s">
        <v>3597</v>
      </c>
      <c r="J848" s="14"/>
      <c r="K848" s="14"/>
      <c r="L848" s="14" t="s">
        <v>4207</v>
      </c>
      <c r="M848" s="14" t="s">
        <v>111</v>
      </c>
      <c r="N848" s="14" t="s">
        <v>565</v>
      </c>
      <c r="O848" s="14" t="b">
        <v>0</v>
      </c>
      <c r="P848" s="14"/>
      <c r="Q848" s="14"/>
      <c r="R848" s="14"/>
      <c r="S848" s="14" t="s">
        <v>3598</v>
      </c>
      <c r="T848" s="14" t="s">
        <v>4326</v>
      </c>
      <c r="U848" s="17"/>
      <c r="V848" s="14"/>
      <c r="W848" s="14"/>
      <c r="X848" s="18"/>
      <c r="Y848" s="18"/>
      <c r="Z848" s="18"/>
      <c r="AA848" s="19">
        <f t="shared" si="1"/>
        <v>10</v>
      </c>
      <c r="AB848" s="19" t="str">
        <f t="shared" si="2"/>
        <v/>
      </c>
      <c r="AC848" s="19"/>
    </row>
    <row r="849" ht="15.75" customHeight="1">
      <c r="A849" s="12">
        <v>45210.0</v>
      </c>
      <c r="B849" s="13" t="s">
        <v>28</v>
      </c>
      <c r="C849" s="14" t="s">
        <v>3599</v>
      </c>
      <c r="D849" s="14" t="s">
        <v>3600</v>
      </c>
      <c r="E849" s="14"/>
      <c r="F849" s="142">
        <v>41130.0</v>
      </c>
      <c r="G849" s="14">
        <v>6.0</v>
      </c>
      <c r="H849" s="14"/>
      <c r="I849" s="15" t="s">
        <v>3601</v>
      </c>
      <c r="J849" s="14"/>
      <c r="K849" s="14"/>
      <c r="L849" s="14" t="s">
        <v>3602</v>
      </c>
      <c r="M849" s="14" t="s">
        <v>111</v>
      </c>
      <c r="N849" s="14" t="s">
        <v>13</v>
      </c>
      <c r="O849" s="14" t="b">
        <v>1</v>
      </c>
      <c r="P849" s="14" t="s">
        <v>3603</v>
      </c>
      <c r="Q849" s="14"/>
      <c r="R849" s="14"/>
      <c r="S849" s="14" t="s">
        <v>3604</v>
      </c>
      <c r="T849" s="14" t="s">
        <v>4326</v>
      </c>
      <c r="U849" s="17"/>
      <c r="V849" s="14"/>
      <c r="W849" s="14"/>
      <c r="X849" s="18"/>
      <c r="Y849" s="18"/>
      <c r="Z849" s="18"/>
      <c r="AA849" s="19">
        <f t="shared" si="1"/>
        <v>10</v>
      </c>
      <c r="AB849" s="19" t="str">
        <f t="shared" si="2"/>
        <v/>
      </c>
      <c r="AC849" s="19" t="s">
        <v>373</v>
      </c>
    </row>
    <row r="850" ht="15.75" customHeight="1">
      <c r="A850" s="12">
        <v>45210.0</v>
      </c>
      <c r="B850" s="13" t="s">
        <v>28</v>
      </c>
      <c r="C850" s="14" t="s">
        <v>3605</v>
      </c>
      <c r="D850" s="14" t="s">
        <v>3606</v>
      </c>
      <c r="E850" s="14"/>
      <c r="F850" s="59">
        <v>41545.0</v>
      </c>
      <c r="G850" s="14" t="s">
        <v>155</v>
      </c>
      <c r="H850" s="14"/>
      <c r="I850" s="15" t="s">
        <v>3607</v>
      </c>
      <c r="J850" s="14"/>
      <c r="K850" s="14"/>
      <c r="L850" s="14" t="s">
        <v>3608</v>
      </c>
      <c r="M850" s="14" t="s">
        <v>111</v>
      </c>
      <c r="N850" s="14" t="s">
        <v>565</v>
      </c>
      <c r="O850" s="14" t="b">
        <v>0</v>
      </c>
      <c r="P850" s="14"/>
      <c r="Q850" s="14"/>
      <c r="R850" s="14"/>
      <c r="S850" s="14" t="s">
        <v>3609</v>
      </c>
      <c r="T850" s="14"/>
      <c r="U850" s="17"/>
      <c r="V850" s="14"/>
      <c r="W850" s="14"/>
      <c r="X850" s="18"/>
      <c r="Y850" s="18"/>
      <c r="Z850" s="18"/>
      <c r="AA850" s="19">
        <f t="shared" si="1"/>
        <v>10</v>
      </c>
      <c r="AB850" s="19" t="str">
        <f t="shared" si="2"/>
        <v/>
      </c>
      <c r="AC850" s="19"/>
    </row>
    <row r="851" ht="15.75" customHeight="1">
      <c r="A851" s="12">
        <v>45210.0</v>
      </c>
      <c r="B851" s="14" t="s">
        <v>201</v>
      </c>
      <c r="C851" s="14" t="s">
        <v>4574</v>
      </c>
      <c r="D851" s="14" t="s">
        <v>289</v>
      </c>
      <c r="E851" s="14"/>
      <c r="F851" s="14"/>
      <c r="G851" s="14"/>
      <c r="H851" s="14"/>
      <c r="I851" s="15" t="s">
        <v>3611</v>
      </c>
      <c r="J851" s="14"/>
      <c r="K851" s="14"/>
      <c r="L851" s="14" t="s">
        <v>3612</v>
      </c>
      <c r="M851" s="14" t="s">
        <v>111</v>
      </c>
      <c r="N851" s="14" t="s">
        <v>34</v>
      </c>
      <c r="O851" s="14" t="b">
        <v>0</v>
      </c>
      <c r="P851" s="14"/>
      <c r="Q851" s="14"/>
      <c r="R851" s="14"/>
      <c r="S851" s="14" t="s">
        <v>3613</v>
      </c>
      <c r="T851" s="14" t="s">
        <v>4096</v>
      </c>
      <c r="U851" s="17"/>
      <c r="V851" s="14"/>
      <c r="W851" s="14"/>
      <c r="X851" s="18"/>
      <c r="Y851" s="18"/>
      <c r="Z851" s="18"/>
      <c r="AA851" s="19">
        <f t="shared" si="1"/>
        <v>10</v>
      </c>
      <c r="AB851" s="19" t="str">
        <f t="shared" si="2"/>
        <v/>
      </c>
      <c r="AC851" s="19" t="s">
        <v>373</v>
      </c>
    </row>
    <row r="852" ht="15.75" customHeight="1">
      <c r="A852" s="12">
        <v>45211.0</v>
      </c>
      <c r="B852" s="13" t="s">
        <v>28</v>
      </c>
      <c r="C852" s="14" t="s">
        <v>3614</v>
      </c>
      <c r="D852" s="14"/>
      <c r="E852" s="14"/>
      <c r="F852" s="14">
        <v>2016.0</v>
      </c>
      <c r="G852" s="14">
        <v>2.0</v>
      </c>
      <c r="H852" s="14"/>
      <c r="I852" s="15" t="s">
        <v>3615</v>
      </c>
      <c r="J852" s="14"/>
      <c r="K852" s="14"/>
      <c r="L852" s="14"/>
      <c r="M852" s="14" t="s">
        <v>111</v>
      </c>
      <c r="N852" s="14" t="s">
        <v>565</v>
      </c>
      <c r="O852" s="14" t="b">
        <v>0</v>
      </c>
      <c r="P852" s="14"/>
      <c r="Q852" s="14"/>
      <c r="R852" s="14"/>
      <c r="S852" s="14" t="s">
        <v>3616</v>
      </c>
      <c r="T852" s="14"/>
      <c r="U852" s="17"/>
      <c r="V852" s="14"/>
      <c r="W852" s="14"/>
      <c r="X852" s="18"/>
      <c r="Y852" s="18"/>
      <c r="Z852" s="18"/>
      <c r="AA852" s="19">
        <f t="shared" si="1"/>
        <v>10</v>
      </c>
      <c r="AB852" s="19" t="str">
        <f t="shared" si="2"/>
        <v/>
      </c>
      <c r="AC852" s="19"/>
    </row>
    <row r="853" ht="15.75" customHeight="1">
      <c r="A853" s="12">
        <v>45212.0</v>
      </c>
      <c r="B853" s="13" t="s">
        <v>28</v>
      </c>
      <c r="C853" s="14" t="s">
        <v>3617</v>
      </c>
      <c r="D853" s="14"/>
      <c r="E853" s="14"/>
      <c r="F853" s="14"/>
      <c r="G853" s="14"/>
      <c r="H853" s="14"/>
      <c r="I853" s="15" t="s">
        <v>3618</v>
      </c>
      <c r="J853" s="14"/>
      <c r="K853" s="14"/>
      <c r="L853" s="14"/>
      <c r="M853" s="14" t="s">
        <v>111</v>
      </c>
      <c r="N853" s="14" t="s">
        <v>34</v>
      </c>
      <c r="O853" s="14" t="b">
        <v>0</v>
      </c>
      <c r="P853" s="14"/>
      <c r="Q853" s="14"/>
      <c r="R853" s="14"/>
      <c r="S853" s="14" t="s">
        <v>3619</v>
      </c>
      <c r="T853" s="14"/>
      <c r="U853" s="17"/>
      <c r="V853" s="14"/>
      <c r="W853" s="14"/>
      <c r="X853" s="18"/>
      <c r="Y853" s="18"/>
      <c r="Z853" s="18"/>
      <c r="AA853" s="19">
        <f t="shared" si="1"/>
        <v>10</v>
      </c>
      <c r="AB853" s="19" t="str">
        <f t="shared" si="2"/>
        <v/>
      </c>
      <c r="AC853" s="19"/>
    </row>
    <row r="854" ht="15.75" customHeight="1">
      <c r="A854" s="12">
        <v>45215.0</v>
      </c>
      <c r="B854" s="13" t="s">
        <v>28</v>
      </c>
      <c r="C854" s="14" t="s">
        <v>3620</v>
      </c>
      <c r="D854" s="14" t="s">
        <v>3621</v>
      </c>
      <c r="E854" s="14"/>
      <c r="F854" s="59">
        <v>41951.0</v>
      </c>
      <c r="G854" s="14"/>
      <c r="H854" s="14"/>
      <c r="I854" s="15" t="s">
        <v>3622</v>
      </c>
      <c r="J854" s="14"/>
      <c r="K854" s="14"/>
      <c r="L854" s="14" t="s">
        <v>3623</v>
      </c>
      <c r="M854" s="14" t="s">
        <v>111</v>
      </c>
      <c r="N854" s="14" t="s">
        <v>565</v>
      </c>
      <c r="O854" s="14" t="b">
        <v>0</v>
      </c>
      <c r="P854" s="14"/>
      <c r="Q854" s="14"/>
      <c r="R854" s="14"/>
      <c r="S854" s="14" t="s">
        <v>3624</v>
      </c>
      <c r="T854" s="14"/>
      <c r="U854" s="17"/>
      <c r="V854" s="14"/>
      <c r="W854" s="14"/>
      <c r="X854" s="18"/>
      <c r="Y854" s="18"/>
      <c r="Z854" s="18"/>
      <c r="AA854" s="19">
        <f t="shared" si="1"/>
        <v>10</v>
      </c>
      <c r="AB854" s="19" t="str">
        <f t="shared" si="2"/>
        <v/>
      </c>
      <c r="AC854" s="19"/>
    </row>
    <row r="855" ht="15.75" customHeight="1">
      <c r="A855" s="26">
        <v>45216.0</v>
      </c>
      <c r="B855" s="27" t="s">
        <v>84</v>
      </c>
      <c r="C855" s="27" t="s">
        <v>3625</v>
      </c>
      <c r="D855" s="27" t="s">
        <v>3626</v>
      </c>
      <c r="E855" s="27"/>
      <c r="F855" s="27">
        <v>2013.0</v>
      </c>
      <c r="G855" s="27">
        <v>5.0</v>
      </c>
      <c r="H855" s="27"/>
      <c r="I855" s="34" t="s">
        <v>3627</v>
      </c>
      <c r="J855" s="27"/>
      <c r="K855" s="27"/>
      <c r="L855" s="27" t="s">
        <v>3628</v>
      </c>
      <c r="M855" s="27" t="s">
        <v>111</v>
      </c>
      <c r="N855" s="27" t="s">
        <v>67</v>
      </c>
      <c r="O855" s="14" t="b">
        <v>1</v>
      </c>
      <c r="P855" s="27" t="s">
        <v>3629</v>
      </c>
      <c r="Q855" s="27"/>
      <c r="R855" s="27"/>
      <c r="S855" s="27" t="s">
        <v>3630</v>
      </c>
      <c r="T855" s="27" t="s">
        <v>4197</v>
      </c>
      <c r="U855" s="26"/>
      <c r="V855" s="32">
        <v>45218.0</v>
      </c>
      <c r="W855" s="27" t="s">
        <v>4528</v>
      </c>
      <c r="X855" s="25">
        <v>3840000.0</v>
      </c>
      <c r="Y855" s="25">
        <v>576000.0</v>
      </c>
      <c r="Z855" s="25">
        <v>3264000.0</v>
      </c>
      <c r="AA855" s="19">
        <f t="shared" si="1"/>
        <v>10</v>
      </c>
      <c r="AB855" s="19">
        <f t="shared" si="2"/>
        <v>10</v>
      </c>
      <c r="AC855" s="19"/>
    </row>
    <row r="856" ht="15.75" customHeight="1">
      <c r="A856" s="12">
        <v>45216.0</v>
      </c>
      <c r="B856" s="13" t="s">
        <v>28</v>
      </c>
      <c r="C856" s="14" t="s">
        <v>3631</v>
      </c>
      <c r="D856" s="14" t="s">
        <v>3632</v>
      </c>
      <c r="E856" s="14"/>
      <c r="F856" s="14">
        <v>2014.0</v>
      </c>
      <c r="G856" s="14">
        <v>4.0</v>
      </c>
      <c r="H856" s="14"/>
      <c r="I856" s="15" t="s">
        <v>3633</v>
      </c>
      <c r="J856" s="14"/>
      <c r="K856" s="14"/>
      <c r="L856" s="14"/>
      <c r="M856" s="14" t="s">
        <v>111</v>
      </c>
      <c r="N856" s="14" t="s">
        <v>13</v>
      </c>
      <c r="O856" s="14" t="b">
        <v>1</v>
      </c>
      <c r="P856" s="14" t="s">
        <v>3634</v>
      </c>
      <c r="Q856" s="14"/>
      <c r="R856" s="14"/>
      <c r="S856" s="14" t="s">
        <v>3635</v>
      </c>
      <c r="T856" s="14"/>
      <c r="U856" s="17"/>
      <c r="V856" s="14"/>
      <c r="W856" s="14"/>
      <c r="X856" s="18"/>
      <c r="Y856" s="18"/>
      <c r="Z856" s="18"/>
      <c r="AA856" s="19">
        <f t="shared" si="1"/>
        <v>10</v>
      </c>
      <c r="AB856" s="19" t="str">
        <f t="shared" si="2"/>
        <v/>
      </c>
      <c r="AC856" s="19" t="s">
        <v>373</v>
      </c>
    </row>
    <row r="857" ht="15.75" customHeight="1">
      <c r="A857" s="12">
        <v>45216.0</v>
      </c>
      <c r="B857" s="13" t="s">
        <v>28</v>
      </c>
      <c r="C857" s="14" t="s">
        <v>3636</v>
      </c>
      <c r="D857" s="14"/>
      <c r="E857" s="14"/>
      <c r="F857" s="14"/>
      <c r="G857" s="14"/>
      <c r="H857" s="14"/>
      <c r="I857" s="15" t="s">
        <v>3637</v>
      </c>
      <c r="J857" s="14"/>
      <c r="K857" s="14"/>
      <c r="L857" s="14" t="s">
        <v>3638</v>
      </c>
      <c r="M857" s="14" t="s">
        <v>111</v>
      </c>
      <c r="N857" s="14" t="s">
        <v>34</v>
      </c>
      <c r="O857" s="14" t="b">
        <v>0</v>
      </c>
      <c r="P857" s="14"/>
      <c r="Q857" s="14"/>
      <c r="R857" s="14"/>
      <c r="S857" s="14" t="s">
        <v>3639</v>
      </c>
      <c r="T857" s="14"/>
      <c r="U857" s="17"/>
      <c r="V857" s="14"/>
      <c r="W857" s="14"/>
      <c r="X857" s="18"/>
      <c r="Y857" s="18"/>
      <c r="Z857" s="18"/>
      <c r="AA857" s="19">
        <f t="shared" si="1"/>
        <v>10</v>
      </c>
      <c r="AB857" s="19" t="str">
        <f t="shared" si="2"/>
        <v/>
      </c>
      <c r="AC857" s="19"/>
    </row>
    <row r="858" ht="15.75" customHeight="1">
      <c r="A858" s="12">
        <v>45216.0</v>
      </c>
      <c r="B858" s="13" t="s">
        <v>28</v>
      </c>
      <c r="C858" s="14" t="s">
        <v>3640</v>
      </c>
      <c r="D858" s="14" t="s">
        <v>3641</v>
      </c>
      <c r="E858" s="14"/>
      <c r="F858" s="14">
        <v>2015.0</v>
      </c>
      <c r="G858" s="14">
        <v>3.0</v>
      </c>
      <c r="H858" s="14"/>
      <c r="I858" s="15" t="s">
        <v>3642</v>
      </c>
      <c r="J858" s="14"/>
      <c r="K858" s="14"/>
      <c r="L858" s="14"/>
      <c r="M858" s="14" t="s">
        <v>111</v>
      </c>
      <c r="N858" s="14" t="s">
        <v>13</v>
      </c>
      <c r="O858" s="14" t="b">
        <v>1</v>
      </c>
      <c r="P858" s="14" t="s">
        <v>3643</v>
      </c>
      <c r="Q858" s="14"/>
      <c r="R858" s="14"/>
      <c r="S858" s="14" t="s">
        <v>3644</v>
      </c>
      <c r="T858" s="14" t="s">
        <v>4197</v>
      </c>
      <c r="U858" s="17"/>
      <c r="V858" s="14"/>
      <c r="W858" s="14"/>
      <c r="X858" s="18"/>
      <c r="Y858" s="18"/>
      <c r="Z858" s="18"/>
      <c r="AA858" s="19">
        <f t="shared" si="1"/>
        <v>10</v>
      </c>
      <c r="AB858" s="19" t="str">
        <f t="shared" si="2"/>
        <v/>
      </c>
      <c r="AC858" s="19" t="s">
        <v>373</v>
      </c>
    </row>
    <row r="859" ht="15.75" customHeight="1">
      <c r="A859" s="12">
        <v>45216.0</v>
      </c>
      <c r="B859" s="13" t="s">
        <v>28</v>
      </c>
      <c r="C859" s="14"/>
      <c r="D859" s="14" t="s">
        <v>3645</v>
      </c>
      <c r="E859" s="14"/>
      <c r="F859" s="14"/>
      <c r="G859" s="14"/>
      <c r="H859" s="14"/>
      <c r="I859" s="15" t="s">
        <v>3646</v>
      </c>
      <c r="J859" s="14"/>
      <c r="K859" s="14"/>
      <c r="L859" s="14" t="s">
        <v>3647</v>
      </c>
      <c r="M859" s="14" t="s">
        <v>111</v>
      </c>
      <c r="N859" s="14" t="s">
        <v>565</v>
      </c>
      <c r="O859" s="14" t="b">
        <v>0</v>
      </c>
      <c r="P859" s="14"/>
      <c r="Q859" s="14"/>
      <c r="R859" s="14"/>
      <c r="S859" s="14" t="s">
        <v>4575</v>
      </c>
      <c r="T859" s="14"/>
      <c r="U859" s="17"/>
      <c r="V859" s="14"/>
      <c r="W859" s="14"/>
      <c r="X859" s="18"/>
      <c r="Y859" s="18"/>
      <c r="Z859" s="18"/>
      <c r="AA859" s="19">
        <f t="shared" si="1"/>
        <v>10</v>
      </c>
      <c r="AB859" s="19" t="str">
        <f t="shared" si="2"/>
        <v/>
      </c>
      <c r="AC859" s="19"/>
    </row>
    <row r="860" ht="15.75" customHeight="1">
      <c r="A860" s="26">
        <v>45218.0</v>
      </c>
      <c r="B860" s="27" t="s">
        <v>201</v>
      </c>
      <c r="C860" s="27" t="s">
        <v>3649</v>
      </c>
      <c r="D860" s="27" t="s">
        <v>3650</v>
      </c>
      <c r="E860" s="27"/>
      <c r="F860" s="27">
        <v>2016.0</v>
      </c>
      <c r="G860" s="27">
        <v>2.0</v>
      </c>
      <c r="H860" s="27"/>
      <c r="I860" s="34" t="s">
        <v>3651</v>
      </c>
      <c r="J860" s="27"/>
      <c r="K860" s="27"/>
      <c r="L860" s="27" t="s">
        <v>4576</v>
      </c>
      <c r="M860" s="27" t="s">
        <v>111</v>
      </c>
      <c r="N860" s="27" t="s">
        <v>67</v>
      </c>
      <c r="O860" s="14" t="b">
        <v>1</v>
      </c>
      <c r="P860" s="27" t="s">
        <v>3653</v>
      </c>
      <c r="Q860" s="27"/>
      <c r="R860" s="27"/>
      <c r="S860" s="27" t="s">
        <v>3654</v>
      </c>
      <c r="T860" s="27" t="s">
        <v>4517</v>
      </c>
      <c r="U860" s="26"/>
      <c r="V860" s="32">
        <v>45223.0</v>
      </c>
      <c r="W860" s="27" t="s">
        <v>4207</v>
      </c>
      <c r="X860" s="25">
        <v>6124000.0</v>
      </c>
      <c r="Y860" s="25">
        <v>796000.0</v>
      </c>
      <c r="Z860" s="25">
        <v>5328000.0</v>
      </c>
      <c r="AA860" s="19">
        <f t="shared" si="1"/>
        <v>10</v>
      </c>
      <c r="AB860" s="19">
        <f t="shared" si="2"/>
        <v>10</v>
      </c>
      <c r="AC860" s="19"/>
    </row>
    <row r="861" ht="15.75" customHeight="1">
      <c r="A861" s="12">
        <v>45218.0</v>
      </c>
      <c r="B861" s="13" t="s">
        <v>28</v>
      </c>
      <c r="C861" s="14" t="s">
        <v>3655</v>
      </c>
      <c r="D861" s="14" t="s">
        <v>3656</v>
      </c>
      <c r="E861" s="14"/>
      <c r="F861" s="14" t="s">
        <v>297</v>
      </c>
      <c r="G861" s="14"/>
      <c r="H861" s="14"/>
      <c r="I861" s="15" t="s">
        <v>3657</v>
      </c>
      <c r="J861" s="14"/>
      <c r="K861" s="14"/>
      <c r="L861" s="14" t="s">
        <v>3658</v>
      </c>
      <c r="M861" s="14" t="s">
        <v>111</v>
      </c>
      <c r="N861" s="14" t="s">
        <v>13</v>
      </c>
      <c r="O861" s="14" t="b">
        <v>1</v>
      </c>
      <c r="P861" s="14" t="s">
        <v>3659</v>
      </c>
      <c r="Q861" s="14"/>
      <c r="R861" s="14"/>
      <c r="S861" s="14" t="s">
        <v>3660</v>
      </c>
      <c r="T861" s="14" t="s">
        <v>4197</v>
      </c>
      <c r="U861" s="17">
        <v>45268.0</v>
      </c>
      <c r="V861" s="14"/>
      <c r="W861" s="14"/>
      <c r="X861" s="18"/>
      <c r="Y861" s="18"/>
      <c r="Z861" s="18"/>
      <c r="AA861" s="19">
        <f t="shared" si="1"/>
        <v>10</v>
      </c>
      <c r="AB861" s="19" t="str">
        <f t="shared" si="2"/>
        <v/>
      </c>
      <c r="AC861" s="19" t="s">
        <v>373</v>
      </c>
    </row>
    <row r="862" ht="15.75" customHeight="1">
      <c r="A862" s="12">
        <v>45218.0</v>
      </c>
      <c r="B862" s="13" t="s">
        <v>28</v>
      </c>
      <c r="C862" s="14" t="s">
        <v>3655</v>
      </c>
      <c r="D862" s="14" t="s">
        <v>3661</v>
      </c>
      <c r="E862" s="14"/>
      <c r="F862" s="14" t="s">
        <v>234</v>
      </c>
      <c r="G862" s="14"/>
      <c r="H862" s="14"/>
      <c r="I862" s="15" t="s">
        <v>3657</v>
      </c>
      <c r="J862" s="14"/>
      <c r="K862" s="14"/>
      <c r="L862" s="14" t="s">
        <v>3658</v>
      </c>
      <c r="M862" s="14" t="s">
        <v>111</v>
      </c>
      <c r="N862" s="14" t="s">
        <v>13</v>
      </c>
      <c r="O862" s="14" t="b">
        <v>1</v>
      </c>
      <c r="P862" s="14" t="s">
        <v>3662</v>
      </c>
      <c r="Q862" s="14"/>
      <c r="R862" s="14"/>
      <c r="S862" s="14" t="s">
        <v>3663</v>
      </c>
      <c r="T862" s="14" t="s">
        <v>4197</v>
      </c>
      <c r="U862" s="17">
        <v>45268.0</v>
      </c>
      <c r="V862" s="14"/>
      <c r="W862" s="14"/>
      <c r="X862" s="18"/>
      <c r="Y862" s="18"/>
      <c r="Z862" s="18"/>
      <c r="AA862" s="19">
        <f t="shared" si="1"/>
        <v>10</v>
      </c>
      <c r="AB862" s="19" t="str">
        <f t="shared" si="2"/>
        <v/>
      </c>
      <c r="AC862" s="19" t="s">
        <v>373</v>
      </c>
    </row>
    <row r="863" ht="15.75" customHeight="1">
      <c r="A863" s="12">
        <v>45218.0</v>
      </c>
      <c r="B863" s="13" t="s">
        <v>28</v>
      </c>
      <c r="C863" s="14"/>
      <c r="D863" s="14" t="s">
        <v>3664</v>
      </c>
      <c r="E863" s="14"/>
      <c r="F863" s="14"/>
      <c r="G863" s="14"/>
      <c r="H863" s="14"/>
      <c r="I863" s="15" t="s">
        <v>3665</v>
      </c>
      <c r="J863" s="14"/>
      <c r="K863" s="14"/>
      <c r="L863" s="14" t="s">
        <v>3666</v>
      </c>
      <c r="M863" s="14" t="s">
        <v>111</v>
      </c>
      <c r="N863" s="14" t="s">
        <v>565</v>
      </c>
      <c r="O863" s="14" t="b">
        <v>0</v>
      </c>
      <c r="P863" s="14"/>
      <c r="Q863" s="14"/>
      <c r="R863" s="14"/>
      <c r="S863" s="14" t="s">
        <v>3667</v>
      </c>
      <c r="T863" s="14"/>
      <c r="U863" s="17"/>
      <c r="V863" s="14"/>
      <c r="W863" s="14"/>
      <c r="X863" s="18"/>
      <c r="Y863" s="18"/>
      <c r="Z863" s="18"/>
      <c r="AA863" s="19">
        <f t="shared" si="1"/>
        <v>10</v>
      </c>
      <c r="AB863" s="19" t="str">
        <f t="shared" si="2"/>
        <v/>
      </c>
      <c r="AC863" s="19"/>
    </row>
    <row r="864" ht="15.75" customHeight="1">
      <c r="A864" s="12">
        <v>45218.0</v>
      </c>
      <c r="B864" s="13" t="s">
        <v>28</v>
      </c>
      <c r="C864" s="14" t="s">
        <v>3668</v>
      </c>
      <c r="D864" s="14"/>
      <c r="E864" s="14"/>
      <c r="F864" s="14">
        <v>2015.0</v>
      </c>
      <c r="G864" s="14">
        <v>3.0</v>
      </c>
      <c r="H864" s="14"/>
      <c r="I864" s="15" t="s">
        <v>3669</v>
      </c>
      <c r="J864" s="14"/>
      <c r="K864" s="14"/>
      <c r="L864" s="14"/>
      <c r="M864" s="14" t="s">
        <v>111</v>
      </c>
      <c r="N864" s="14" t="s">
        <v>565</v>
      </c>
      <c r="O864" s="14" t="b">
        <v>0</v>
      </c>
      <c r="P864" s="14"/>
      <c r="Q864" s="14"/>
      <c r="R864" s="14"/>
      <c r="S864" s="14" t="s">
        <v>3670</v>
      </c>
      <c r="T864" s="14"/>
      <c r="U864" s="17"/>
      <c r="V864" s="14"/>
      <c r="W864" s="14"/>
      <c r="X864" s="18"/>
      <c r="Y864" s="18"/>
      <c r="Z864" s="18"/>
      <c r="AA864" s="19">
        <f t="shared" si="1"/>
        <v>10</v>
      </c>
      <c r="AB864" s="19" t="str">
        <f t="shared" si="2"/>
        <v/>
      </c>
      <c r="AC864" s="19"/>
    </row>
    <row r="865" ht="15.75" customHeight="1">
      <c r="A865" s="12">
        <v>45218.0</v>
      </c>
      <c r="B865" s="13" t="s">
        <v>28</v>
      </c>
      <c r="C865" s="14" t="s">
        <v>3668</v>
      </c>
      <c r="D865" s="14"/>
      <c r="E865" s="14"/>
      <c r="F865" s="14">
        <v>2017.0</v>
      </c>
      <c r="G865" s="14">
        <v>1.0</v>
      </c>
      <c r="H865" s="14"/>
      <c r="I865" s="15" t="s">
        <v>3669</v>
      </c>
      <c r="J865" s="14"/>
      <c r="K865" s="14"/>
      <c r="L865" s="14"/>
      <c r="M865" s="14" t="s">
        <v>111</v>
      </c>
      <c r="N865" s="14" t="s">
        <v>565</v>
      </c>
      <c r="O865" s="14" t="b">
        <v>0</v>
      </c>
      <c r="P865" s="14"/>
      <c r="Q865" s="14"/>
      <c r="R865" s="14"/>
      <c r="S865" s="14" t="s">
        <v>3670</v>
      </c>
      <c r="T865" s="14"/>
      <c r="U865" s="17"/>
      <c r="V865" s="14"/>
      <c r="W865" s="14"/>
      <c r="X865" s="18"/>
      <c r="Y865" s="18"/>
      <c r="Z865" s="18"/>
      <c r="AA865" s="19">
        <f t="shared" si="1"/>
        <v>10</v>
      </c>
      <c r="AB865" s="19" t="str">
        <f t="shared" si="2"/>
        <v/>
      </c>
      <c r="AC865" s="19"/>
    </row>
    <row r="866" ht="15.75" customHeight="1">
      <c r="A866" s="12">
        <v>45219.0</v>
      </c>
      <c r="B866" s="13" t="s">
        <v>28</v>
      </c>
      <c r="C866" s="14" t="s">
        <v>3671</v>
      </c>
      <c r="D866" s="14"/>
      <c r="E866" s="14"/>
      <c r="F866" s="14"/>
      <c r="G866" s="14"/>
      <c r="H866" s="14"/>
      <c r="I866" s="15" t="s">
        <v>3672</v>
      </c>
      <c r="J866" s="14"/>
      <c r="K866" s="14"/>
      <c r="L866" s="14"/>
      <c r="M866" s="14" t="s">
        <v>111</v>
      </c>
      <c r="N866" s="14" t="s">
        <v>565</v>
      </c>
      <c r="O866" s="14" t="b">
        <v>0</v>
      </c>
      <c r="P866" s="14"/>
      <c r="Q866" s="14"/>
      <c r="R866" s="14"/>
      <c r="S866" s="14" t="s">
        <v>3673</v>
      </c>
      <c r="T866" s="14"/>
      <c r="U866" s="17"/>
      <c r="V866" s="14"/>
      <c r="W866" s="14"/>
      <c r="X866" s="18"/>
      <c r="Y866" s="18"/>
      <c r="Z866" s="18"/>
      <c r="AA866" s="19">
        <f t="shared" si="1"/>
        <v>10</v>
      </c>
      <c r="AB866" s="19" t="str">
        <f t="shared" si="2"/>
        <v/>
      </c>
      <c r="AC866" s="19"/>
    </row>
    <row r="867" ht="15.75" customHeight="1">
      <c r="A867" s="12">
        <v>45189.0</v>
      </c>
      <c r="B867" s="13" t="s">
        <v>28</v>
      </c>
      <c r="C867" s="14" t="s">
        <v>3674</v>
      </c>
      <c r="D867" s="14" t="s">
        <v>3228</v>
      </c>
      <c r="E867" s="14"/>
      <c r="F867" s="14">
        <v>2015.0</v>
      </c>
      <c r="G867" s="14">
        <v>3.0</v>
      </c>
      <c r="H867" s="14"/>
      <c r="I867" s="15" t="s">
        <v>3675</v>
      </c>
      <c r="J867" s="14"/>
      <c r="K867" s="14"/>
      <c r="L867" s="14"/>
      <c r="M867" s="14" t="s">
        <v>111</v>
      </c>
      <c r="N867" s="14" t="s">
        <v>13</v>
      </c>
      <c r="O867" s="14" t="b">
        <v>1</v>
      </c>
      <c r="P867" s="14" t="s">
        <v>3676</v>
      </c>
      <c r="Q867" s="14"/>
      <c r="R867" s="14"/>
      <c r="S867" s="14" t="s">
        <v>4577</v>
      </c>
      <c r="T867" s="14" t="s">
        <v>4197</v>
      </c>
      <c r="U867" s="17"/>
      <c r="V867" s="14"/>
      <c r="W867" s="14"/>
      <c r="X867" s="18"/>
      <c r="Y867" s="18"/>
      <c r="Z867" s="18"/>
      <c r="AA867" s="19">
        <f t="shared" si="1"/>
        <v>9</v>
      </c>
      <c r="AB867" s="19" t="str">
        <f t="shared" si="2"/>
        <v/>
      </c>
      <c r="AC867" s="19" t="s">
        <v>373</v>
      </c>
    </row>
    <row r="868" ht="15.75" customHeight="1">
      <c r="A868" s="12">
        <v>45190.0</v>
      </c>
      <c r="B868" s="14" t="s">
        <v>84</v>
      </c>
      <c r="C868" s="14" t="s">
        <v>3678</v>
      </c>
      <c r="D868" s="14" t="s">
        <v>3678</v>
      </c>
      <c r="E868" s="14"/>
      <c r="F868" s="14"/>
      <c r="G868" s="14"/>
      <c r="H868" s="14"/>
      <c r="I868" s="15" t="s">
        <v>3646</v>
      </c>
      <c r="J868" s="14"/>
      <c r="K868" s="14"/>
      <c r="L868" s="14" t="s">
        <v>3679</v>
      </c>
      <c r="M868" s="14" t="s">
        <v>111</v>
      </c>
      <c r="N868" s="14" t="s">
        <v>565</v>
      </c>
      <c r="O868" s="14" t="b">
        <v>0</v>
      </c>
      <c r="P868" s="14"/>
      <c r="Q868" s="14"/>
      <c r="R868" s="14"/>
      <c r="S868" s="14" t="s">
        <v>3680</v>
      </c>
      <c r="T868" s="14" t="s">
        <v>4197</v>
      </c>
      <c r="U868" s="17"/>
      <c r="V868" s="14"/>
      <c r="W868" s="14"/>
      <c r="X868" s="18"/>
      <c r="Y868" s="18"/>
      <c r="Z868" s="18"/>
      <c r="AA868" s="19">
        <f t="shared" si="1"/>
        <v>9</v>
      </c>
      <c r="AB868" s="19" t="str">
        <f t="shared" si="2"/>
        <v/>
      </c>
      <c r="AC868" s="19"/>
    </row>
    <row r="869" ht="15.75" customHeight="1">
      <c r="A869" s="12">
        <v>45190.0</v>
      </c>
      <c r="B869" s="13" t="s">
        <v>28</v>
      </c>
      <c r="C869" s="14" t="s">
        <v>3681</v>
      </c>
      <c r="D869" s="14"/>
      <c r="E869" s="14"/>
      <c r="F869" s="14"/>
      <c r="G869" s="14"/>
      <c r="H869" s="14"/>
      <c r="I869" s="15" t="s">
        <v>3682</v>
      </c>
      <c r="J869" s="14"/>
      <c r="K869" s="14"/>
      <c r="L869" s="14" t="s">
        <v>3431</v>
      </c>
      <c r="M869" s="14" t="s">
        <v>111</v>
      </c>
      <c r="N869" s="14" t="s">
        <v>565</v>
      </c>
      <c r="O869" s="14" t="b">
        <v>0</v>
      </c>
      <c r="P869" s="14" t="s">
        <v>3683</v>
      </c>
      <c r="Q869" s="14"/>
      <c r="R869" s="14"/>
      <c r="S869" s="14" t="s">
        <v>3684</v>
      </c>
      <c r="T869" s="14" t="s">
        <v>4197</v>
      </c>
      <c r="U869" s="17"/>
      <c r="V869" s="14"/>
      <c r="W869" s="14"/>
      <c r="X869" s="18"/>
      <c r="Y869" s="18"/>
      <c r="Z869" s="18"/>
      <c r="AA869" s="19">
        <f t="shared" si="1"/>
        <v>9</v>
      </c>
      <c r="AB869" s="19" t="str">
        <f t="shared" si="2"/>
        <v/>
      </c>
      <c r="AC869" s="19"/>
    </row>
    <row r="870" ht="15.75" customHeight="1">
      <c r="A870" s="12">
        <v>45190.0</v>
      </c>
      <c r="B870" s="13" t="s">
        <v>28</v>
      </c>
      <c r="C870" s="14" t="s">
        <v>3685</v>
      </c>
      <c r="D870" s="14"/>
      <c r="E870" s="14"/>
      <c r="F870" s="14">
        <v>2014.0</v>
      </c>
      <c r="G870" s="14">
        <v>4.0</v>
      </c>
      <c r="H870" s="14"/>
      <c r="I870" s="15" t="s">
        <v>3686</v>
      </c>
      <c r="J870" s="14"/>
      <c r="K870" s="14"/>
      <c r="L870" s="120" t="s">
        <v>4578</v>
      </c>
      <c r="M870" s="14" t="s">
        <v>111</v>
      </c>
      <c r="N870" s="14" t="s">
        <v>158</v>
      </c>
      <c r="O870" s="14" t="b">
        <v>0</v>
      </c>
      <c r="P870" s="14"/>
      <c r="Q870" s="14"/>
      <c r="R870" s="14"/>
      <c r="S870" s="14" t="s">
        <v>3688</v>
      </c>
      <c r="T870" s="14" t="s">
        <v>4069</v>
      </c>
      <c r="U870" s="17"/>
      <c r="V870" s="14"/>
      <c r="W870" s="14"/>
      <c r="X870" s="18"/>
      <c r="Y870" s="18"/>
      <c r="Z870" s="18"/>
      <c r="AA870" s="19">
        <f t="shared" si="1"/>
        <v>9</v>
      </c>
      <c r="AB870" s="19" t="str">
        <f t="shared" si="2"/>
        <v/>
      </c>
      <c r="AC870" s="19"/>
    </row>
    <row r="871" ht="15.75" customHeight="1">
      <c r="A871" s="12">
        <v>45190.0</v>
      </c>
      <c r="B871" s="13" t="s">
        <v>28</v>
      </c>
      <c r="C871" s="14" t="s">
        <v>3689</v>
      </c>
      <c r="D871" s="14"/>
      <c r="E871" s="14"/>
      <c r="F871" s="14"/>
      <c r="G871" s="14"/>
      <c r="H871" s="14"/>
      <c r="I871" s="15" t="s">
        <v>3690</v>
      </c>
      <c r="J871" s="14"/>
      <c r="K871" s="14"/>
      <c r="L871" s="14" t="s">
        <v>3691</v>
      </c>
      <c r="M871" s="14" t="s">
        <v>111</v>
      </c>
      <c r="N871" s="14" t="s">
        <v>565</v>
      </c>
      <c r="O871" s="14" t="b">
        <v>0</v>
      </c>
      <c r="P871" s="14"/>
      <c r="Q871" s="14"/>
      <c r="R871" s="14"/>
      <c r="S871" s="14" t="s">
        <v>3692</v>
      </c>
      <c r="T871" s="14" t="s">
        <v>4096</v>
      </c>
      <c r="U871" s="17"/>
      <c r="V871" s="14"/>
      <c r="W871" s="14"/>
      <c r="X871" s="18"/>
      <c r="Y871" s="18"/>
      <c r="Z871" s="18"/>
      <c r="AA871" s="19">
        <f t="shared" si="1"/>
        <v>9</v>
      </c>
      <c r="AB871" s="19" t="str">
        <f t="shared" si="2"/>
        <v/>
      </c>
      <c r="AC871" s="19"/>
    </row>
    <row r="872" ht="15.75" customHeight="1">
      <c r="A872" s="26">
        <v>45222.0</v>
      </c>
      <c r="B872" s="13" t="s">
        <v>28</v>
      </c>
      <c r="C872" s="27" t="s">
        <v>3693</v>
      </c>
      <c r="D872" s="27" t="s">
        <v>3694</v>
      </c>
      <c r="E872" s="27"/>
      <c r="F872" s="27">
        <v>2015.0</v>
      </c>
      <c r="G872" s="27">
        <v>3.0</v>
      </c>
      <c r="H872" s="27"/>
      <c r="I872" s="34" t="s">
        <v>3695</v>
      </c>
      <c r="J872" s="27"/>
      <c r="K872" s="27"/>
      <c r="L872" s="27" t="s">
        <v>4579</v>
      </c>
      <c r="M872" s="27" t="s">
        <v>111</v>
      </c>
      <c r="N872" s="27" t="s">
        <v>67</v>
      </c>
      <c r="O872" s="14" t="b">
        <v>1</v>
      </c>
      <c r="P872" s="27" t="s">
        <v>3697</v>
      </c>
      <c r="Q872" s="27"/>
      <c r="R872" s="27"/>
      <c r="S872" s="27" t="s">
        <v>3698</v>
      </c>
      <c r="T872" s="27"/>
      <c r="U872" s="26"/>
      <c r="V872" s="32">
        <v>45230.0</v>
      </c>
      <c r="W872" s="27" t="s">
        <v>4207</v>
      </c>
      <c r="X872" s="25">
        <v>6124000.0</v>
      </c>
      <c r="Y872" s="25">
        <v>796000.0</v>
      </c>
      <c r="Z872" s="25">
        <v>5328000.0</v>
      </c>
      <c r="AA872" s="19">
        <f t="shared" si="1"/>
        <v>10</v>
      </c>
      <c r="AB872" s="19">
        <f t="shared" si="2"/>
        <v>10</v>
      </c>
      <c r="AC872" s="19"/>
    </row>
    <row r="873" ht="15.75" customHeight="1">
      <c r="A873" s="12">
        <v>45223.0</v>
      </c>
      <c r="B873" s="13" t="s">
        <v>28</v>
      </c>
      <c r="C873" s="14" t="s">
        <v>3699</v>
      </c>
      <c r="D873" s="14"/>
      <c r="E873" s="14"/>
      <c r="F873" s="14"/>
      <c r="G873" s="14"/>
      <c r="H873" s="14"/>
      <c r="I873" s="15" t="s">
        <v>3700</v>
      </c>
      <c r="J873" s="14"/>
      <c r="K873" s="14"/>
      <c r="L873" s="14" t="s">
        <v>3701</v>
      </c>
      <c r="M873" s="14" t="s">
        <v>111</v>
      </c>
      <c r="N873" s="14" t="s">
        <v>216</v>
      </c>
      <c r="O873" s="14" t="b">
        <v>0</v>
      </c>
      <c r="P873" s="14"/>
      <c r="Q873" s="14"/>
      <c r="R873" s="14"/>
      <c r="S873" s="14" t="s">
        <v>3702</v>
      </c>
      <c r="T873" s="14"/>
      <c r="U873" s="17"/>
      <c r="V873" s="14"/>
      <c r="W873" s="14"/>
      <c r="X873" s="18"/>
      <c r="Y873" s="18"/>
      <c r="Z873" s="18"/>
      <c r="AA873" s="19">
        <f t="shared" si="1"/>
        <v>10</v>
      </c>
      <c r="AB873" s="19" t="str">
        <f t="shared" si="2"/>
        <v/>
      </c>
      <c r="AC873" s="19"/>
    </row>
    <row r="874" ht="15.75" customHeight="1">
      <c r="A874" s="26">
        <v>45223.0</v>
      </c>
      <c r="B874" s="27" t="s">
        <v>84</v>
      </c>
      <c r="C874" s="27" t="s">
        <v>3703</v>
      </c>
      <c r="D874" s="27" t="s">
        <v>3704</v>
      </c>
      <c r="E874" s="27" t="s">
        <v>4580</v>
      </c>
      <c r="F874" s="27">
        <v>2014.0</v>
      </c>
      <c r="G874" s="27">
        <v>4.0</v>
      </c>
      <c r="H874" s="27"/>
      <c r="I874" s="34" t="s">
        <v>3705</v>
      </c>
      <c r="J874" s="27"/>
      <c r="K874" s="27"/>
      <c r="L874" s="27"/>
      <c r="M874" s="27" t="s">
        <v>111</v>
      </c>
      <c r="N874" s="27" t="s">
        <v>67</v>
      </c>
      <c r="O874" s="14" t="b">
        <v>1</v>
      </c>
      <c r="P874" s="27" t="s">
        <v>3706</v>
      </c>
      <c r="Q874" s="27"/>
      <c r="R874" s="27"/>
      <c r="S874" s="27" t="s">
        <v>3707</v>
      </c>
      <c r="T874" s="27" t="s">
        <v>4432</v>
      </c>
      <c r="U874" s="26"/>
      <c r="V874" s="32">
        <v>45226.0</v>
      </c>
      <c r="W874" s="27" t="s">
        <v>4581</v>
      </c>
      <c r="X874" s="25">
        <v>5500000.0</v>
      </c>
      <c r="Y874" s="25">
        <v>715000.0</v>
      </c>
      <c r="Z874" s="25">
        <v>4785000.0</v>
      </c>
      <c r="AA874" s="19">
        <f t="shared" si="1"/>
        <v>10</v>
      </c>
      <c r="AB874" s="19">
        <f t="shared" si="2"/>
        <v>10</v>
      </c>
      <c r="AC874" s="19"/>
    </row>
    <row r="875" ht="15.75" customHeight="1">
      <c r="A875" s="17">
        <v>45223.0</v>
      </c>
      <c r="B875" s="61" t="s">
        <v>84</v>
      </c>
      <c r="C875" s="61" t="s">
        <v>3703</v>
      </c>
      <c r="D875" s="61" t="s">
        <v>3708</v>
      </c>
      <c r="E875" s="61"/>
      <c r="F875" s="61" t="s">
        <v>4582</v>
      </c>
      <c r="G875" s="61"/>
      <c r="H875" s="61"/>
      <c r="I875" s="99" t="s">
        <v>3705</v>
      </c>
      <c r="J875" s="61"/>
      <c r="K875" s="61"/>
      <c r="L875" s="61"/>
      <c r="M875" s="61" t="s">
        <v>111</v>
      </c>
      <c r="N875" s="61" t="s">
        <v>13</v>
      </c>
      <c r="O875" s="14" t="b">
        <v>1</v>
      </c>
      <c r="P875" s="61" t="s">
        <v>3709</v>
      </c>
      <c r="Q875" s="61"/>
      <c r="R875" s="61"/>
      <c r="S875" s="61" t="s">
        <v>3710</v>
      </c>
      <c r="T875" s="61" t="s">
        <v>4517</v>
      </c>
      <c r="U875" s="17"/>
      <c r="V875" s="41"/>
      <c r="W875" s="61"/>
      <c r="X875" s="211"/>
      <c r="Y875" s="211"/>
      <c r="Z875" s="211"/>
      <c r="AA875" s="19">
        <f t="shared" si="1"/>
        <v>10</v>
      </c>
      <c r="AB875" s="19" t="str">
        <f t="shared" si="2"/>
        <v/>
      </c>
      <c r="AC875" s="19"/>
    </row>
    <row r="876" ht="15.75" customHeight="1">
      <c r="A876" s="12">
        <v>45223.0</v>
      </c>
      <c r="B876" s="13" t="s">
        <v>28</v>
      </c>
      <c r="C876" s="14" t="s">
        <v>3711</v>
      </c>
      <c r="D876" s="14" t="s">
        <v>3712</v>
      </c>
      <c r="E876" s="14"/>
      <c r="F876" s="14">
        <v>2015.0</v>
      </c>
      <c r="G876" s="14">
        <v>3.0</v>
      </c>
      <c r="H876" s="14"/>
      <c r="I876" s="15" t="s">
        <v>3713</v>
      </c>
      <c r="J876" s="14"/>
      <c r="K876" s="14"/>
      <c r="L876" s="14"/>
      <c r="M876" s="14" t="s">
        <v>111</v>
      </c>
      <c r="N876" s="14" t="s">
        <v>13</v>
      </c>
      <c r="O876" s="14" t="b">
        <v>1</v>
      </c>
      <c r="P876" s="14" t="s">
        <v>3714</v>
      </c>
      <c r="Q876" s="14"/>
      <c r="R876" s="14"/>
      <c r="S876" s="14" t="s">
        <v>3715</v>
      </c>
      <c r="T876" s="14" t="s">
        <v>4197</v>
      </c>
      <c r="U876" s="17"/>
      <c r="V876" s="14"/>
      <c r="W876" s="14"/>
      <c r="X876" s="18"/>
      <c r="Y876" s="18"/>
      <c r="Z876" s="18"/>
      <c r="AA876" s="19">
        <f t="shared" si="1"/>
        <v>10</v>
      </c>
      <c r="AB876" s="19" t="str">
        <f t="shared" si="2"/>
        <v/>
      </c>
      <c r="AC876" s="19" t="s">
        <v>373</v>
      </c>
    </row>
    <row r="877" ht="15.75" customHeight="1">
      <c r="A877" s="12">
        <v>45224.0</v>
      </c>
      <c r="B877" s="13" t="s">
        <v>28</v>
      </c>
      <c r="C877" s="14" t="s">
        <v>3716</v>
      </c>
      <c r="D877" s="14"/>
      <c r="E877" s="14"/>
      <c r="F877" s="14">
        <v>2015.0</v>
      </c>
      <c r="G877" s="14">
        <v>3.0</v>
      </c>
      <c r="H877" s="14"/>
      <c r="I877" s="15" t="s">
        <v>3717</v>
      </c>
      <c r="J877" s="14"/>
      <c r="K877" s="14"/>
      <c r="L877" s="14"/>
      <c r="M877" s="14" t="s">
        <v>111</v>
      </c>
      <c r="N877" s="14" t="s">
        <v>565</v>
      </c>
      <c r="O877" s="14" t="b">
        <v>0</v>
      </c>
      <c r="P877" s="14"/>
      <c r="Q877" s="14"/>
      <c r="R877" s="14"/>
      <c r="S877" s="14" t="s">
        <v>4583</v>
      </c>
      <c r="T877" s="14" t="s">
        <v>4197</v>
      </c>
      <c r="U877" s="17"/>
      <c r="V877" s="14"/>
      <c r="W877" s="14"/>
      <c r="X877" s="18"/>
      <c r="Y877" s="18"/>
      <c r="Z877" s="18"/>
      <c r="AA877" s="19">
        <f t="shared" si="1"/>
        <v>10</v>
      </c>
      <c r="AB877" s="19" t="str">
        <f t="shared" si="2"/>
        <v/>
      </c>
      <c r="AC877" s="19"/>
    </row>
    <row r="878" ht="15.75" customHeight="1">
      <c r="A878" s="12">
        <v>45224.0</v>
      </c>
      <c r="B878" s="13" t="s">
        <v>28</v>
      </c>
      <c r="C878" s="14" t="s">
        <v>3719</v>
      </c>
      <c r="D878" s="14"/>
      <c r="E878" s="14"/>
      <c r="F878" s="14">
        <v>2014.0</v>
      </c>
      <c r="G878" s="14">
        <v>4.0</v>
      </c>
      <c r="H878" s="14"/>
      <c r="I878" s="15" t="s">
        <v>3720</v>
      </c>
      <c r="J878" s="14"/>
      <c r="K878" s="14"/>
      <c r="L878" s="14"/>
      <c r="M878" s="14" t="s">
        <v>111</v>
      </c>
      <c r="N878" s="14" t="s">
        <v>565</v>
      </c>
      <c r="O878" s="14" t="b">
        <v>0</v>
      </c>
      <c r="P878" s="14"/>
      <c r="Q878" s="14"/>
      <c r="R878" s="14"/>
      <c r="S878" s="14" t="s">
        <v>4584</v>
      </c>
      <c r="T878" s="14"/>
      <c r="U878" s="17"/>
      <c r="V878" s="14"/>
      <c r="W878" s="14"/>
      <c r="X878" s="18"/>
      <c r="Y878" s="18"/>
      <c r="Z878" s="18"/>
      <c r="AA878" s="19">
        <f t="shared" si="1"/>
        <v>10</v>
      </c>
      <c r="AB878" s="19" t="str">
        <f t="shared" si="2"/>
        <v/>
      </c>
      <c r="AC878" s="19"/>
    </row>
    <row r="879" ht="15.75" customHeight="1">
      <c r="A879" s="12">
        <v>45226.0</v>
      </c>
      <c r="B879" s="14" t="s">
        <v>703</v>
      </c>
      <c r="C879" s="14" t="s">
        <v>3722</v>
      </c>
      <c r="D879" s="14"/>
      <c r="E879" s="14"/>
      <c r="F879" s="14"/>
      <c r="G879" s="14"/>
      <c r="H879" s="14"/>
      <c r="I879" s="15" t="s">
        <v>3723</v>
      </c>
      <c r="J879" s="14"/>
      <c r="K879" s="14"/>
      <c r="L879" s="14"/>
      <c r="M879" s="14" t="s">
        <v>111</v>
      </c>
      <c r="N879" s="14" t="s">
        <v>34</v>
      </c>
      <c r="O879" s="14" t="b">
        <v>0</v>
      </c>
      <c r="P879" s="14"/>
      <c r="Q879" s="14"/>
      <c r="R879" s="14"/>
      <c r="S879" s="14" t="s">
        <v>3724</v>
      </c>
      <c r="T879" s="14"/>
      <c r="U879" s="17"/>
      <c r="V879" s="14"/>
      <c r="W879" s="14"/>
      <c r="X879" s="18"/>
      <c r="Y879" s="18"/>
      <c r="Z879" s="18"/>
      <c r="AA879" s="19">
        <f t="shared" si="1"/>
        <v>10</v>
      </c>
      <c r="AB879" s="19" t="str">
        <f t="shared" si="2"/>
        <v/>
      </c>
      <c r="AC879" s="19"/>
    </row>
    <row r="880" ht="15.75" customHeight="1">
      <c r="A880" s="12">
        <v>45226.0</v>
      </c>
      <c r="B880" s="14" t="s">
        <v>703</v>
      </c>
      <c r="C880" s="14" t="s">
        <v>3725</v>
      </c>
      <c r="D880" s="14"/>
      <c r="E880" s="14"/>
      <c r="F880" s="14"/>
      <c r="G880" s="14"/>
      <c r="H880" s="14"/>
      <c r="I880" s="15" t="s">
        <v>3726</v>
      </c>
      <c r="J880" s="14"/>
      <c r="K880" s="14"/>
      <c r="L880" s="14"/>
      <c r="M880" s="14" t="s">
        <v>111</v>
      </c>
      <c r="N880" s="14" t="s">
        <v>34</v>
      </c>
      <c r="O880" s="14" t="b">
        <v>0</v>
      </c>
      <c r="P880" s="14"/>
      <c r="Q880" s="14"/>
      <c r="R880" s="14"/>
      <c r="S880" s="14" t="s">
        <v>3727</v>
      </c>
      <c r="T880" s="14"/>
      <c r="U880" s="17"/>
      <c r="V880" s="14"/>
      <c r="W880" s="14"/>
      <c r="X880" s="18"/>
      <c r="Y880" s="18"/>
      <c r="Z880" s="18"/>
      <c r="AA880" s="19">
        <f t="shared" si="1"/>
        <v>10</v>
      </c>
      <c r="AB880" s="19" t="str">
        <f t="shared" si="2"/>
        <v/>
      </c>
      <c r="AC880" s="19"/>
    </row>
    <row r="881" ht="15.75" customHeight="1">
      <c r="A881" s="12">
        <v>45226.0</v>
      </c>
      <c r="B881" s="14" t="s">
        <v>703</v>
      </c>
      <c r="C881" s="14" t="s">
        <v>3728</v>
      </c>
      <c r="D881" s="14"/>
      <c r="E881" s="14"/>
      <c r="F881" s="14"/>
      <c r="G881" s="14"/>
      <c r="H881" s="14"/>
      <c r="I881" s="15" t="s">
        <v>3729</v>
      </c>
      <c r="J881" s="14"/>
      <c r="K881" s="14"/>
      <c r="L881" s="14"/>
      <c r="M881" s="14" t="s">
        <v>111</v>
      </c>
      <c r="N881" s="14" t="s">
        <v>34</v>
      </c>
      <c r="O881" s="14" t="b">
        <v>0</v>
      </c>
      <c r="P881" s="14"/>
      <c r="Q881" s="14"/>
      <c r="R881" s="14"/>
      <c r="S881" s="14" t="s">
        <v>3730</v>
      </c>
      <c r="T881" s="14"/>
      <c r="U881" s="17"/>
      <c r="V881" s="14"/>
      <c r="W881" s="14"/>
      <c r="X881" s="18"/>
      <c r="Y881" s="18"/>
      <c r="Z881" s="18"/>
      <c r="AA881" s="19">
        <f t="shared" si="1"/>
        <v>10</v>
      </c>
      <c r="AB881" s="19" t="str">
        <f t="shared" si="2"/>
        <v/>
      </c>
      <c r="AC881" s="19"/>
    </row>
    <row r="882" ht="15.75" customHeight="1">
      <c r="A882" s="12">
        <v>45226.0</v>
      </c>
      <c r="B882" s="13" t="s">
        <v>28</v>
      </c>
      <c r="C882" s="14" t="s">
        <v>3731</v>
      </c>
      <c r="D882" s="14"/>
      <c r="E882" s="14"/>
      <c r="F882" s="14"/>
      <c r="G882" s="14"/>
      <c r="H882" s="14"/>
      <c r="I882" s="15" t="s">
        <v>3732</v>
      </c>
      <c r="J882" s="14"/>
      <c r="K882" s="14"/>
      <c r="L882" s="14"/>
      <c r="M882" s="14" t="s">
        <v>111</v>
      </c>
      <c r="N882" s="14" t="s">
        <v>565</v>
      </c>
      <c r="O882" s="14" t="b">
        <v>0</v>
      </c>
      <c r="P882" s="14"/>
      <c r="Q882" s="14"/>
      <c r="R882" s="14"/>
      <c r="S882" s="14" t="s">
        <v>3733</v>
      </c>
      <c r="T882" s="14"/>
      <c r="U882" s="17"/>
      <c r="V882" s="14"/>
      <c r="W882" s="14"/>
      <c r="X882" s="18"/>
      <c r="Y882" s="18"/>
      <c r="Z882" s="18"/>
      <c r="AA882" s="19">
        <f t="shared" si="1"/>
        <v>10</v>
      </c>
      <c r="AB882" s="19" t="str">
        <f t="shared" si="2"/>
        <v/>
      </c>
      <c r="AC882" s="19"/>
    </row>
    <row r="883" ht="15.75" customHeight="1">
      <c r="A883" s="12">
        <v>45227.0</v>
      </c>
      <c r="B883" s="13" t="s">
        <v>28</v>
      </c>
      <c r="C883" s="14" t="s">
        <v>3734</v>
      </c>
      <c r="D883" s="14" t="s">
        <v>3735</v>
      </c>
      <c r="E883" s="14"/>
      <c r="F883" s="14">
        <v>2011.0</v>
      </c>
      <c r="G883" s="14">
        <v>7.0</v>
      </c>
      <c r="H883" s="14"/>
      <c r="I883" s="15" t="s">
        <v>3736</v>
      </c>
      <c r="J883" s="14"/>
      <c r="K883" s="14"/>
      <c r="L883" s="14" t="s">
        <v>3737</v>
      </c>
      <c r="M883" s="14" t="s">
        <v>111</v>
      </c>
      <c r="N883" s="14" t="s">
        <v>565</v>
      </c>
      <c r="O883" s="14" t="b">
        <v>0</v>
      </c>
      <c r="P883" s="14"/>
      <c r="Q883" s="14"/>
      <c r="R883" s="14"/>
      <c r="S883" s="14" t="s">
        <v>3738</v>
      </c>
      <c r="T883" s="14" t="s">
        <v>4085</v>
      </c>
      <c r="U883" s="17"/>
      <c r="V883" s="14"/>
      <c r="W883" s="14"/>
      <c r="X883" s="18"/>
      <c r="Y883" s="18"/>
      <c r="Z883" s="18"/>
      <c r="AA883" s="19">
        <f t="shared" si="1"/>
        <v>10</v>
      </c>
      <c r="AB883" s="19" t="str">
        <f t="shared" si="2"/>
        <v/>
      </c>
      <c r="AC883" s="19" t="s">
        <v>373</v>
      </c>
    </row>
    <row r="884" ht="15.75" customHeight="1">
      <c r="A884" s="12">
        <v>45228.0</v>
      </c>
      <c r="B884" s="13" t="s">
        <v>28</v>
      </c>
      <c r="C884" s="14" t="s">
        <v>3739</v>
      </c>
      <c r="D884" s="14"/>
      <c r="E884" s="14"/>
      <c r="F884" s="14">
        <v>2015.0</v>
      </c>
      <c r="G884" s="14">
        <v>3.0</v>
      </c>
      <c r="H884" s="14"/>
      <c r="I884" s="15" t="s">
        <v>3740</v>
      </c>
      <c r="J884" s="14"/>
      <c r="K884" s="14"/>
      <c r="L884" s="14" t="s">
        <v>3741</v>
      </c>
      <c r="M884" s="14" t="s">
        <v>111</v>
      </c>
      <c r="N884" s="14" t="s">
        <v>565</v>
      </c>
      <c r="O884" s="14" t="b">
        <v>0</v>
      </c>
      <c r="P884" s="14"/>
      <c r="Q884" s="14"/>
      <c r="R884" s="14"/>
      <c r="S884" s="14" t="s">
        <v>3742</v>
      </c>
      <c r="T884" s="14" t="s">
        <v>4096</v>
      </c>
      <c r="U884" s="17"/>
      <c r="V884" s="14"/>
      <c r="W884" s="14"/>
      <c r="X884" s="18"/>
      <c r="Y884" s="18"/>
      <c r="Z884" s="18"/>
      <c r="AA884" s="19">
        <f t="shared" si="1"/>
        <v>10</v>
      </c>
      <c r="AB884" s="19" t="str">
        <f t="shared" si="2"/>
        <v/>
      </c>
      <c r="AC884" s="19" t="s">
        <v>373</v>
      </c>
    </row>
    <row r="885" ht="15.75" customHeight="1">
      <c r="A885" s="12">
        <v>45229.0</v>
      </c>
      <c r="B885" s="13" t="s">
        <v>28</v>
      </c>
      <c r="C885" s="14" t="s">
        <v>3743</v>
      </c>
      <c r="D885" s="14" t="s">
        <v>3744</v>
      </c>
      <c r="E885" s="14"/>
      <c r="F885" s="14">
        <v>2012.0</v>
      </c>
      <c r="G885" s="14">
        <v>6.0</v>
      </c>
      <c r="H885" s="14"/>
      <c r="I885" s="15" t="s">
        <v>3745</v>
      </c>
      <c r="J885" s="14"/>
      <c r="K885" s="14"/>
      <c r="L885" s="14" t="s">
        <v>3746</v>
      </c>
      <c r="M885" s="14" t="s">
        <v>111</v>
      </c>
      <c r="N885" s="14" t="s">
        <v>13</v>
      </c>
      <c r="O885" s="14" t="b">
        <v>1</v>
      </c>
      <c r="P885" s="14" t="s">
        <v>3747</v>
      </c>
      <c r="Q885" s="14" t="s">
        <v>289</v>
      </c>
      <c r="R885" s="14"/>
      <c r="S885" s="14" t="s">
        <v>3748</v>
      </c>
      <c r="T885" s="14"/>
      <c r="U885" s="17"/>
      <c r="V885" s="14"/>
      <c r="W885" s="14"/>
      <c r="X885" s="18"/>
      <c r="Y885" s="18"/>
      <c r="Z885" s="18"/>
      <c r="AA885" s="19">
        <f t="shared" si="1"/>
        <v>10</v>
      </c>
      <c r="AB885" s="19" t="str">
        <f t="shared" si="2"/>
        <v/>
      </c>
      <c r="AC885" s="19" t="s">
        <v>373</v>
      </c>
    </row>
    <row r="886" ht="15.75" customHeight="1">
      <c r="A886" s="12">
        <v>45229.0</v>
      </c>
      <c r="B886" s="13" t="s">
        <v>28</v>
      </c>
      <c r="C886" s="14" t="s">
        <v>3749</v>
      </c>
      <c r="D886" s="14"/>
      <c r="E886" s="14"/>
      <c r="F886" s="14">
        <v>2013.0</v>
      </c>
      <c r="G886" s="14">
        <v>5.0</v>
      </c>
      <c r="H886" s="14"/>
      <c r="I886" s="15" t="s">
        <v>3750</v>
      </c>
      <c r="J886" s="14"/>
      <c r="K886" s="14"/>
      <c r="L886" s="14"/>
      <c r="M886" s="14" t="s">
        <v>111</v>
      </c>
      <c r="N886" s="14" t="s">
        <v>565</v>
      </c>
      <c r="O886" s="14" t="b">
        <v>0</v>
      </c>
      <c r="P886" s="14"/>
      <c r="Q886" s="14"/>
      <c r="R886" s="14"/>
      <c r="S886" s="14" t="s">
        <v>3751</v>
      </c>
      <c r="T886" s="14"/>
      <c r="U886" s="17"/>
      <c r="V886" s="14"/>
      <c r="W886" s="14"/>
      <c r="X886" s="18"/>
      <c r="Y886" s="18"/>
      <c r="Z886" s="18"/>
      <c r="AA886" s="19">
        <f t="shared" si="1"/>
        <v>10</v>
      </c>
      <c r="AB886" s="19" t="str">
        <f t="shared" si="2"/>
        <v/>
      </c>
      <c r="AC886" s="19" t="s">
        <v>373</v>
      </c>
    </row>
    <row r="887" ht="15.75" customHeight="1">
      <c r="A887" s="12">
        <v>45230.0</v>
      </c>
      <c r="B887" s="14" t="s">
        <v>201</v>
      </c>
      <c r="C887" s="14" t="s">
        <v>4585</v>
      </c>
      <c r="D887" s="14" t="s">
        <v>3753</v>
      </c>
      <c r="E887" s="14"/>
      <c r="F887" s="14">
        <v>2017.0</v>
      </c>
      <c r="G887" s="14">
        <v>1.0</v>
      </c>
      <c r="H887" s="14"/>
      <c r="I887" s="15" t="s">
        <v>3754</v>
      </c>
      <c r="J887" s="14"/>
      <c r="K887" s="14"/>
      <c r="L887" s="14"/>
      <c r="M887" s="14" t="s">
        <v>111</v>
      </c>
      <c r="N887" s="14" t="s">
        <v>13</v>
      </c>
      <c r="O887" s="14" t="b">
        <v>1</v>
      </c>
      <c r="P887" s="14" t="s">
        <v>3755</v>
      </c>
      <c r="Q887" s="14"/>
      <c r="R887" s="14"/>
      <c r="S887" s="14" t="s">
        <v>3756</v>
      </c>
      <c r="T887" s="14"/>
      <c r="U887" s="17"/>
      <c r="V887" s="14"/>
      <c r="W887" s="14"/>
      <c r="X887" s="18"/>
      <c r="Y887" s="18"/>
      <c r="Z887" s="18"/>
      <c r="AA887" s="19">
        <f t="shared" si="1"/>
        <v>10</v>
      </c>
      <c r="AB887" s="19" t="str">
        <f t="shared" si="2"/>
        <v/>
      </c>
      <c r="AC887" s="19" t="s">
        <v>373</v>
      </c>
    </row>
    <row r="888" ht="15.75" customHeight="1">
      <c r="A888" s="12">
        <v>45231.0</v>
      </c>
      <c r="B888" s="14" t="s">
        <v>201</v>
      </c>
      <c r="C888" s="14" t="s">
        <v>3757</v>
      </c>
      <c r="D888" s="14"/>
      <c r="E888" s="14"/>
      <c r="F888" s="14">
        <v>2014.0</v>
      </c>
      <c r="G888" s="14">
        <v>5.0</v>
      </c>
      <c r="H888" s="14"/>
      <c r="I888" s="15" t="s">
        <v>3758</v>
      </c>
      <c r="J888" s="14"/>
      <c r="K888" s="14"/>
      <c r="L888" s="14" t="s">
        <v>4586</v>
      </c>
      <c r="M888" s="14" t="s">
        <v>111</v>
      </c>
      <c r="N888" s="14" t="s">
        <v>565</v>
      </c>
      <c r="O888" s="14" t="b">
        <v>0</v>
      </c>
      <c r="P888" s="14"/>
      <c r="Q888" s="14"/>
      <c r="R888" s="14"/>
      <c r="S888" s="14" t="s">
        <v>3759</v>
      </c>
      <c r="T888" s="14"/>
      <c r="U888" s="17"/>
      <c r="V888" s="14"/>
      <c r="W888" s="14"/>
      <c r="X888" s="18"/>
      <c r="Y888" s="18"/>
      <c r="Z888" s="18"/>
      <c r="AA888" s="19">
        <f t="shared" si="1"/>
        <v>11</v>
      </c>
      <c r="AB888" s="19" t="str">
        <f t="shared" si="2"/>
        <v/>
      </c>
      <c r="AC888" s="19" t="s">
        <v>373</v>
      </c>
    </row>
    <row r="889" ht="15.75" customHeight="1">
      <c r="A889" s="12">
        <v>45231.0</v>
      </c>
      <c r="B889" s="14" t="s">
        <v>201</v>
      </c>
      <c r="C889" s="14" t="s">
        <v>3760</v>
      </c>
      <c r="D889" s="14"/>
      <c r="E889" s="14"/>
      <c r="F889" s="14">
        <v>2015.0</v>
      </c>
      <c r="G889" s="14">
        <v>3.0</v>
      </c>
      <c r="H889" s="14"/>
      <c r="I889" s="15" t="s">
        <v>3761</v>
      </c>
      <c r="J889" s="14"/>
      <c r="K889" s="14"/>
      <c r="L889" s="14" t="s">
        <v>4586</v>
      </c>
      <c r="M889" s="14" t="s">
        <v>111</v>
      </c>
      <c r="N889" s="14" t="s">
        <v>565</v>
      </c>
      <c r="O889" s="14" t="b">
        <v>0</v>
      </c>
      <c r="P889" s="14"/>
      <c r="Q889" s="14"/>
      <c r="R889" s="14"/>
      <c r="S889" s="14" t="s">
        <v>3762</v>
      </c>
      <c r="T889" s="14"/>
      <c r="U889" s="17"/>
      <c r="V889" s="14"/>
      <c r="W889" s="14"/>
      <c r="X889" s="18"/>
      <c r="Y889" s="18"/>
      <c r="Z889" s="18"/>
      <c r="AA889" s="19">
        <f t="shared" si="1"/>
        <v>11</v>
      </c>
      <c r="AB889" s="19" t="str">
        <f t="shared" si="2"/>
        <v/>
      </c>
      <c r="AC889" s="19" t="s">
        <v>373</v>
      </c>
    </row>
    <row r="890" ht="15.75" customHeight="1">
      <c r="A890" s="26">
        <v>45107.0</v>
      </c>
      <c r="B890" s="13" t="s">
        <v>28</v>
      </c>
      <c r="C890" s="27" t="s">
        <v>3763</v>
      </c>
      <c r="D890" s="27" t="s">
        <v>3764</v>
      </c>
      <c r="E890" s="27"/>
      <c r="F890" s="27">
        <v>2013.0</v>
      </c>
      <c r="G890" s="27">
        <v>5.0</v>
      </c>
      <c r="H890" s="27"/>
      <c r="I890" s="34" t="s">
        <v>3765</v>
      </c>
      <c r="J890" s="27"/>
      <c r="K890" s="27"/>
      <c r="L890" s="27"/>
      <c r="M890" s="27" t="s">
        <v>111</v>
      </c>
      <c r="N890" s="27" t="s">
        <v>67</v>
      </c>
      <c r="O890" s="14" t="b">
        <v>1</v>
      </c>
      <c r="P890" s="27" t="s">
        <v>4587</v>
      </c>
      <c r="Q890" s="27"/>
      <c r="R890" s="27"/>
      <c r="S890" s="27" t="s">
        <v>3767</v>
      </c>
      <c r="T890" s="27" t="s">
        <v>4197</v>
      </c>
      <c r="U890" s="26">
        <v>45124.0</v>
      </c>
      <c r="V890" s="32">
        <v>45248.0</v>
      </c>
      <c r="W890" s="27" t="s">
        <v>4207</v>
      </c>
      <c r="X890" s="25">
        <v>2750000.0</v>
      </c>
      <c r="Y890" s="25">
        <v>0.0</v>
      </c>
      <c r="Z890" s="25">
        <v>2750000.0</v>
      </c>
      <c r="AA890" s="19">
        <f t="shared" si="1"/>
        <v>6</v>
      </c>
      <c r="AB890" s="19">
        <f t="shared" si="2"/>
        <v>11</v>
      </c>
      <c r="AC890" s="19"/>
    </row>
    <row r="891" ht="15.75" customHeight="1">
      <c r="A891" s="12">
        <v>45236.0</v>
      </c>
      <c r="B891" s="13" t="s">
        <v>28</v>
      </c>
      <c r="C891" s="14" t="s">
        <v>3768</v>
      </c>
      <c r="D891" s="14"/>
      <c r="E891" s="14"/>
      <c r="F891" s="14"/>
      <c r="G891" s="14">
        <v>7.0</v>
      </c>
      <c r="H891" s="14"/>
      <c r="I891" s="15" t="s">
        <v>3769</v>
      </c>
      <c r="J891" s="14"/>
      <c r="K891" s="14"/>
      <c r="L891" s="14"/>
      <c r="M891" s="27" t="s">
        <v>111</v>
      </c>
      <c r="N891" s="14" t="s">
        <v>565</v>
      </c>
      <c r="O891" s="14" t="b">
        <v>0</v>
      </c>
      <c r="P891" s="14"/>
      <c r="Q891" s="14"/>
      <c r="R891" s="14"/>
      <c r="S891" s="14" t="s">
        <v>3770</v>
      </c>
      <c r="T891" s="14"/>
      <c r="U891" s="17"/>
      <c r="V891" s="14"/>
      <c r="W891" s="14"/>
      <c r="X891" s="18"/>
      <c r="Y891" s="18"/>
      <c r="Z891" s="18"/>
      <c r="AA891" s="19">
        <f t="shared" si="1"/>
        <v>11</v>
      </c>
      <c r="AB891" s="19" t="str">
        <f t="shared" si="2"/>
        <v/>
      </c>
      <c r="AC891" s="19"/>
    </row>
    <row r="892" ht="15.75" customHeight="1">
      <c r="A892" s="12">
        <v>45236.0</v>
      </c>
      <c r="B892" s="13" t="s">
        <v>28</v>
      </c>
      <c r="C892" s="14" t="s">
        <v>3768</v>
      </c>
      <c r="D892" s="14"/>
      <c r="E892" s="14"/>
      <c r="F892" s="14"/>
      <c r="G892" s="14">
        <v>5.0</v>
      </c>
      <c r="H892" s="14"/>
      <c r="I892" s="15" t="s">
        <v>3769</v>
      </c>
      <c r="J892" s="14"/>
      <c r="K892" s="14"/>
      <c r="L892" s="14"/>
      <c r="M892" s="27" t="s">
        <v>111</v>
      </c>
      <c r="N892" s="14" t="s">
        <v>565</v>
      </c>
      <c r="O892" s="14" t="b">
        <v>0</v>
      </c>
      <c r="P892" s="14"/>
      <c r="Q892" s="14"/>
      <c r="R892" s="14"/>
      <c r="S892" s="14" t="s">
        <v>3770</v>
      </c>
      <c r="T892" s="14"/>
      <c r="U892" s="17"/>
      <c r="V892" s="14"/>
      <c r="W892" s="14"/>
      <c r="X892" s="18"/>
      <c r="Y892" s="18"/>
      <c r="Z892" s="18"/>
      <c r="AA892" s="19">
        <f t="shared" si="1"/>
        <v>11</v>
      </c>
      <c r="AB892" s="19" t="str">
        <f t="shared" si="2"/>
        <v/>
      </c>
      <c r="AC892" s="19"/>
    </row>
    <row r="893" ht="15.75" customHeight="1">
      <c r="A893" s="26">
        <v>45236.0</v>
      </c>
      <c r="B893" s="27" t="s">
        <v>84</v>
      </c>
      <c r="C893" s="27" t="s">
        <v>3771</v>
      </c>
      <c r="D893" s="27" t="s">
        <v>3772</v>
      </c>
      <c r="E893" s="27"/>
      <c r="F893" s="27"/>
      <c r="G893" s="27">
        <v>7.0</v>
      </c>
      <c r="H893" s="27"/>
      <c r="I893" s="34" t="s">
        <v>3773</v>
      </c>
      <c r="J893" s="27"/>
      <c r="K893" s="27"/>
      <c r="L893" s="27"/>
      <c r="M893" s="27" t="s">
        <v>111</v>
      </c>
      <c r="N893" s="27" t="s">
        <v>67</v>
      </c>
      <c r="O893" s="14" t="b">
        <v>1</v>
      </c>
      <c r="P893" s="27" t="s">
        <v>3774</v>
      </c>
      <c r="Q893" s="27"/>
      <c r="R893" s="27"/>
      <c r="S893" s="27" t="s">
        <v>3775</v>
      </c>
      <c r="T893" s="27"/>
      <c r="U893" s="26"/>
      <c r="V893" s="32">
        <v>45246.0</v>
      </c>
      <c r="W893" s="27" t="s">
        <v>4588</v>
      </c>
      <c r="X893" s="25">
        <v>5784000.0</v>
      </c>
      <c r="Y893" s="25">
        <v>867600.0</v>
      </c>
      <c r="Z893" s="25">
        <v>4916400.0</v>
      </c>
      <c r="AA893" s="19">
        <f t="shared" si="1"/>
        <v>11</v>
      </c>
      <c r="AB893" s="19">
        <f t="shared" si="2"/>
        <v>11</v>
      </c>
      <c r="AC893" s="19"/>
    </row>
    <row r="894" ht="15.75" customHeight="1">
      <c r="A894" s="12">
        <v>45237.0</v>
      </c>
      <c r="B894" s="13" t="s">
        <v>28</v>
      </c>
      <c r="C894" s="14" t="s">
        <v>3776</v>
      </c>
      <c r="D894" s="14"/>
      <c r="E894" s="14"/>
      <c r="F894" s="14"/>
      <c r="G894" s="14"/>
      <c r="H894" s="14"/>
      <c r="I894" s="15" t="s">
        <v>3777</v>
      </c>
      <c r="J894" s="14"/>
      <c r="K894" s="14"/>
      <c r="L894" s="14"/>
      <c r="M894" s="27" t="s">
        <v>111</v>
      </c>
      <c r="N894" s="14" t="s">
        <v>13</v>
      </c>
      <c r="O894" s="14" t="b">
        <v>1</v>
      </c>
      <c r="P894" s="14" t="s">
        <v>3778</v>
      </c>
      <c r="Q894" s="14"/>
      <c r="R894" s="14"/>
      <c r="S894" s="14" t="s">
        <v>3779</v>
      </c>
      <c r="T894" s="14"/>
      <c r="U894" s="17"/>
      <c r="V894" s="14"/>
      <c r="W894" s="14"/>
      <c r="X894" s="18"/>
      <c r="Y894" s="18"/>
      <c r="Z894" s="18"/>
      <c r="AA894" s="19">
        <f t="shared" si="1"/>
        <v>11</v>
      </c>
      <c r="AB894" s="19" t="str">
        <f t="shared" si="2"/>
        <v/>
      </c>
      <c r="AC894" s="19"/>
    </row>
    <row r="895" ht="15.75" customHeight="1">
      <c r="A895" s="12">
        <v>45238.0</v>
      </c>
      <c r="B895" s="13" t="s">
        <v>28</v>
      </c>
      <c r="C895" s="14" t="s">
        <v>3780</v>
      </c>
      <c r="D895" s="14" t="s">
        <v>3781</v>
      </c>
      <c r="E895" s="14"/>
      <c r="F895" s="14" t="s">
        <v>4589</v>
      </c>
      <c r="G895" s="14"/>
      <c r="H895" s="14"/>
      <c r="I895" s="15" t="s">
        <v>3782</v>
      </c>
      <c r="J895" s="14"/>
      <c r="K895" s="14"/>
      <c r="L895" s="14"/>
      <c r="M895" s="27" t="s">
        <v>111</v>
      </c>
      <c r="N895" s="14" t="s">
        <v>565</v>
      </c>
      <c r="O895" s="14" t="b">
        <v>0</v>
      </c>
      <c r="P895" s="14"/>
      <c r="Q895" s="14"/>
      <c r="R895" s="14"/>
      <c r="S895" s="14" t="s">
        <v>3783</v>
      </c>
      <c r="T895" s="14"/>
      <c r="U895" s="17"/>
      <c r="V895" s="14"/>
      <c r="W895" s="14"/>
      <c r="X895" s="18"/>
      <c r="Y895" s="18"/>
      <c r="Z895" s="18"/>
      <c r="AA895" s="19">
        <f t="shared" si="1"/>
        <v>11</v>
      </c>
      <c r="AB895" s="19" t="str">
        <f t="shared" si="2"/>
        <v/>
      </c>
      <c r="AC895" s="19"/>
    </row>
    <row r="896" ht="15.75" customHeight="1">
      <c r="A896" s="12">
        <v>45240.0</v>
      </c>
      <c r="B896" s="14" t="s">
        <v>84</v>
      </c>
      <c r="C896" s="14" t="s">
        <v>3784</v>
      </c>
      <c r="D896" s="14"/>
      <c r="E896" s="14"/>
      <c r="F896" s="14">
        <v>2014.0</v>
      </c>
      <c r="G896" s="14">
        <v>4.0</v>
      </c>
      <c r="H896" s="14"/>
      <c r="I896" s="15" t="s">
        <v>3785</v>
      </c>
      <c r="J896" s="14"/>
      <c r="K896" s="14"/>
      <c r="L896" s="14"/>
      <c r="M896" s="27" t="s">
        <v>111</v>
      </c>
      <c r="N896" s="14" t="s">
        <v>565</v>
      </c>
      <c r="O896" s="14" t="b">
        <v>0</v>
      </c>
      <c r="P896" s="14"/>
      <c r="Q896" s="14"/>
      <c r="R896" s="14"/>
      <c r="S896" s="14" t="s">
        <v>3786</v>
      </c>
      <c r="T896" s="14" t="s">
        <v>4197</v>
      </c>
      <c r="U896" s="17"/>
      <c r="V896" s="14"/>
      <c r="W896" s="14"/>
      <c r="X896" s="18"/>
      <c r="Y896" s="18"/>
      <c r="Z896" s="18"/>
      <c r="AA896" s="19">
        <f t="shared" si="1"/>
        <v>11</v>
      </c>
      <c r="AB896" s="19" t="str">
        <f t="shared" si="2"/>
        <v/>
      </c>
      <c r="AC896" s="19" t="s">
        <v>373</v>
      </c>
    </row>
    <row r="897" ht="15.75" customHeight="1">
      <c r="A897" s="12">
        <v>45240.0</v>
      </c>
      <c r="B897" s="13" t="s">
        <v>28</v>
      </c>
      <c r="C897" s="14" t="s">
        <v>3787</v>
      </c>
      <c r="D897" s="14" t="s">
        <v>3788</v>
      </c>
      <c r="E897" s="14"/>
      <c r="F897" s="14">
        <v>2013.0</v>
      </c>
      <c r="G897" s="14">
        <v>5.0</v>
      </c>
      <c r="H897" s="14"/>
      <c r="I897" s="15" t="s">
        <v>3789</v>
      </c>
      <c r="J897" s="14"/>
      <c r="K897" s="14"/>
      <c r="L897" s="14"/>
      <c r="M897" s="27" t="s">
        <v>111</v>
      </c>
      <c r="N897" s="14" t="s">
        <v>565</v>
      </c>
      <c r="O897" s="14" t="b">
        <v>0</v>
      </c>
      <c r="P897" s="14"/>
      <c r="Q897" s="14"/>
      <c r="R897" s="14"/>
      <c r="S897" s="14" t="s">
        <v>3790</v>
      </c>
      <c r="T897" s="14" t="s">
        <v>4197</v>
      </c>
      <c r="U897" s="17"/>
      <c r="V897" s="14"/>
      <c r="W897" s="14"/>
      <c r="X897" s="18"/>
      <c r="Y897" s="18"/>
      <c r="Z897" s="18"/>
      <c r="AA897" s="19">
        <f t="shared" si="1"/>
        <v>11</v>
      </c>
      <c r="AB897" s="19" t="str">
        <f t="shared" si="2"/>
        <v/>
      </c>
      <c r="AC897" s="19" t="s">
        <v>373</v>
      </c>
    </row>
    <row r="898" ht="15.75" customHeight="1">
      <c r="A898" s="12">
        <v>45243.0</v>
      </c>
      <c r="B898" s="13" t="s">
        <v>28</v>
      </c>
      <c r="C898" s="14" t="s">
        <v>3791</v>
      </c>
      <c r="D898" s="14" t="s">
        <v>3792</v>
      </c>
      <c r="E898" s="14"/>
      <c r="F898" s="14">
        <v>2013.0</v>
      </c>
      <c r="G898" s="14">
        <v>5.0</v>
      </c>
      <c r="H898" s="14"/>
      <c r="I898" s="15" t="s">
        <v>3793</v>
      </c>
      <c r="J898" s="14"/>
      <c r="K898" s="14"/>
      <c r="L898" s="14"/>
      <c r="M898" s="27" t="s">
        <v>111</v>
      </c>
      <c r="N898" s="14" t="s">
        <v>13</v>
      </c>
      <c r="O898" s="14" t="b">
        <v>1</v>
      </c>
      <c r="P898" s="14" t="s">
        <v>3794</v>
      </c>
      <c r="Q898" s="14"/>
      <c r="R898" s="14"/>
      <c r="S898" s="14" t="s">
        <v>3795</v>
      </c>
      <c r="T898" s="14" t="s">
        <v>4507</v>
      </c>
      <c r="U898" s="17"/>
      <c r="V898" s="14"/>
      <c r="W898" s="14"/>
      <c r="X898" s="18"/>
      <c r="Y898" s="18"/>
      <c r="Z898" s="18"/>
      <c r="AA898" s="19">
        <f t="shared" si="1"/>
        <v>11</v>
      </c>
      <c r="AB898" s="19" t="str">
        <f t="shared" si="2"/>
        <v/>
      </c>
      <c r="AC898" s="19"/>
    </row>
    <row r="899" ht="15.75" customHeight="1">
      <c r="A899" s="12">
        <v>45244.0</v>
      </c>
      <c r="B899" s="13" t="s">
        <v>28</v>
      </c>
      <c r="C899" s="14" t="s">
        <v>3796</v>
      </c>
      <c r="D899" s="350"/>
      <c r="E899" s="14"/>
      <c r="F899" s="14">
        <v>2012.0</v>
      </c>
      <c r="G899" s="14">
        <v>6.0</v>
      </c>
      <c r="H899" s="14"/>
      <c r="I899" s="350">
        <v>9.05881786E8</v>
      </c>
      <c r="J899" s="14"/>
      <c r="K899" s="14"/>
      <c r="L899" s="14"/>
      <c r="M899" s="27" t="s">
        <v>111</v>
      </c>
      <c r="N899" s="14" t="s">
        <v>565</v>
      </c>
      <c r="O899" s="14" t="b">
        <v>0</v>
      </c>
      <c r="P899" s="14"/>
      <c r="Q899" s="14"/>
      <c r="R899" s="14"/>
      <c r="S899" s="14" t="s">
        <v>3797</v>
      </c>
      <c r="T899" s="14"/>
      <c r="U899" s="17"/>
      <c r="V899" s="14"/>
      <c r="W899" s="14"/>
      <c r="X899" s="18"/>
      <c r="Y899" s="18"/>
      <c r="Z899" s="18"/>
      <c r="AA899" s="19">
        <f t="shared" si="1"/>
        <v>11</v>
      </c>
      <c r="AB899" s="19" t="str">
        <f t="shared" si="2"/>
        <v/>
      </c>
      <c r="AC899" s="19"/>
    </row>
    <row r="900" ht="15.75" customHeight="1">
      <c r="A900" s="26">
        <v>45245.0</v>
      </c>
      <c r="B900" s="13" t="s">
        <v>28</v>
      </c>
      <c r="C900" s="27" t="s">
        <v>3798</v>
      </c>
      <c r="D900" s="27" t="s">
        <v>3799</v>
      </c>
      <c r="E900" s="27"/>
      <c r="F900" s="27">
        <v>2013.0</v>
      </c>
      <c r="G900" s="27">
        <v>5.0</v>
      </c>
      <c r="H900" s="27"/>
      <c r="I900" s="34" t="s">
        <v>3800</v>
      </c>
      <c r="J900" s="27"/>
      <c r="K900" s="27"/>
      <c r="L900" s="27"/>
      <c r="M900" s="27" t="s">
        <v>111</v>
      </c>
      <c r="N900" s="27" t="s">
        <v>67</v>
      </c>
      <c r="O900" s="14" t="b">
        <v>1</v>
      </c>
      <c r="P900" s="27" t="s">
        <v>3801</v>
      </c>
      <c r="Q900" s="27"/>
      <c r="R900" s="27"/>
      <c r="S900" s="27" t="s">
        <v>3802</v>
      </c>
      <c r="T900" s="27" t="s">
        <v>4507</v>
      </c>
      <c r="U900" s="26"/>
      <c r="V900" s="32">
        <v>45248.0</v>
      </c>
      <c r="W900" s="27" t="s">
        <v>4194</v>
      </c>
      <c r="X900" s="25">
        <v>5116000.0</v>
      </c>
      <c r="Y900" s="25">
        <v>516000.0</v>
      </c>
      <c r="Z900" s="25">
        <v>4605000.0</v>
      </c>
      <c r="AA900" s="19">
        <f t="shared" si="1"/>
        <v>11</v>
      </c>
      <c r="AB900" s="19">
        <f t="shared" si="2"/>
        <v>11</v>
      </c>
      <c r="AC900" s="19"/>
    </row>
    <row r="901" ht="15.75" customHeight="1">
      <c r="A901" s="12">
        <v>45246.0</v>
      </c>
      <c r="B901" s="13" t="s">
        <v>28</v>
      </c>
      <c r="C901" s="14" t="s">
        <v>3803</v>
      </c>
      <c r="D901" s="14" t="s">
        <v>3804</v>
      </c>
      <c r="E901" s="14"/>
      <c r="F901" s="14">
        <v>2012.0</v>
      </c>
      <c r="G901" s="14">
        <v>6.0</v>
      </c>
      <c r="H901" s="14"/>
      <c r="I901" s="351" t="s">
        <v>3805</v>
      </c>
      <c r="J901" s="14"/>
      <c r="K901" s="14"/>
      <c r="L901" s="14"/>
      <c r="M901" s="27" t="s">
        <v>111</v>
      </c>
      <c r="N901" s="14" t="s">
        <v>565</v>
      </c>
      <c r="O901" s="14" t="b">
        <v>0</v>
      </c>
      <c r="P901" s="14"/>
      <c r="Q901" s="14"/>
      <c r="R901" s="14"/>
      <c r="S901" s="14" t="s">
        <v>3806</v>
      </c>
      <c r="T901" s="14" t="s">
        <v>4507</v>
      </c>
      <c r="U901" s="17"/>
      <c r="V901" s="14"/>
      <c r="W901" s="14"/>
      <c r="X901" s="18"/>
      <c r="Y901" s="18"/>
      <c r="Z901" s="18"/>
      <c r="AA901" s="19">
        <f t="shared" si="1"/>
        <v>11</v>
      </c>
      <c r="AB901" s="19" t="str">
        <f t="shared" si="2"/>
        <v/>
      </c>
      <c r="AC901" s="19"/>
    </row>
    <row r="902" ht="15.75" customHeight="1">
      <c r="A902" s="12">
        <v>45246.0</v>
      </c>
      <c r="B902" s="14" t="s">
        <v>201</v>
      </c>
      <c r="C902" s="14" t="s">
        <v>4590</v>
      </c>
      <c r="D902" s="14"/>
      <c r="E902" s="14"/>
      <c r="F902" s="14"/>
      <c r="G902" s="14"/>
      <c r="H902" s="14"/>
      <c r="I902" s="15" t="s">
        <v>3808</v>
      </c>
      <c r="J902" s="14"/>
      <c r="K902" s="14"/>
      <c r="L902" s="14"/>
      <c r="M902" s="27" t="s">
        <v>111</v>
      </c>
      <c r="N902" s="14" t="s">
        <v>565</v>
      </c>
      <c r="O902" s="14" t="b">
        <v>0</v>
      </c>
      <c r="P902" s="14"/>
      <c r="Q902" s="14"/>
      <c r="R902" s="14"/>
      <c r="S902" s="14" t="s">
        <v>3809</v>
      </c>
      <c r="T902" s="14"/>
      <c r="U902" s="17"/>
      <c r="V902" s="14"/>
      <c r="W902" s="14"/>
      <c r="X902" s="18"/>
      <c r="Y902" s="18"/>
      <c r="Z902" s="18"/>
      <c r="AA902" s="19">
        <f t="shared" si="1"/>
        <v>11</v>
      </c>
      <c r="AB902" s="19" t="str">
        <f t="shared" si="2"/>
        <v/>
      </c>
      <c r="AC902" s="19" t="s">
        <v>373</v>
      </c>
    </row>
    <row r="903" ht="15.75" customHeight="1">
      <c r="A903" s="26">
        <v>45247.0</v>
      </c>
      <c r="B903" s="13" t="s">
        <v>28</v>
      </c>
      <c r="C903" s="27" t="s">
        <v>3810</v>
      </c>
      <c r="D903" s="27" t="s">
        <v>3811</v>
      </c>
      <c r="E903" s="27"/>
      <c r="F903" s="27">
        <v>2013.0</v>
      </c>
      <c r="G903" s="27">
        <v>5.0</v>
      </c>
      <c r="H903" s="27"/>
      <c r="I903" s="34"/>
      <c r="J903" s="27"/>
      <c r="K903" s="27"/>
      <c r="L903" s="27"/>
      <c r="M903" s="27" t="s">
        <v>111</v>
      </c>
      <c r="N903" s="27" t="s">
        <v>67</v>
      </c>
      <c r="O903" s="14" t="b">
        <v>1</v>
      </c>
      <c r="P903" s="34" t="s">
        <v>3812</v>
      </c>
      <c r="Q903" s="27"/>
      <c r="R903" s="27"/>
      <c r="S903" s="27" t="s">
        <v>3813</v>
      </c>
      <c r="T903" s="27" t="s">
        <v>4432</v>
      </c>
      <c r="U903" s="26"/>
      <c r="V903" s="32">
        <v>45258.0</v>
      </c>
      <c r="W903" s="27" t="s">
        <v>4207</v>
      </c>
      <c r="X903" s="25">
        <v>6124000.0</v>
      </c>
      <c r="Y903" s="25">
        <v>918600.0</v>
      </c>
      <c r="Z903" s="25">
        <v>5205400.0</v>
      </c>
      <c r="AA903" s="19">
        <f t="shared" si="1"/>
        <v>11</v>
      </c>
      <c r="AB903" s="19">
        <f t="shared" si="2"/>
        <v>11</v>
      </c>
      <c r="AC903" s="19"/>
    </row>
    <row r="904" ht="15.75" customHeight="1">
      <c r="A904" s="12">
        <v>45250.0</v>
      </c>
      <c r="B904" s="13" t="s">
        <v>28</v>
      </c>
      <c r="C904" s="14" t="s">
        <v>1214</v>
      </c>
      <c r="D904" s="14" t="s">
        <v>3814</v>
      </c>
      <c r="E904" s="14"/>
      <c r="F904" s="14">
        <v>2017.0</v>
      </c>
      <c r="G904" s="14">
        <v>1.0</v>
      </c>
      <c r="H904" s="14"/>
      <c r="I904" s="351" t="s">
        <v>1216</v>
      </c>
      <c r="J904" s="14"/>
      <c r="K904" s="14"/>
      <c r="L904" s="14"/>
      <c r="M904" s="27" t="s">
        <v>111</v>
      </c>
      <c r="N904" s="14" t="s">
        <v>565</v>
      </c>
      <c r="O904" s="14" t="b">
        <v>0</v>
      </c>
      <c r="P904" s="14"/>
      <c r="Q904" s="14"/>
      <c r="R904" s="14"/>
      <c r="S904" s="14" t="s">
        <v>3815</v>
      </c>
      <c r="T904" s="14"/>
      <c r="U904" s="17"/>
      <c r="V904" s="14"/>
      <c r="W904" s="14"/>
      <c r="X904" s="18"/>
      <c r="Y904" s="18"/>
      <c r="Z904" s="18"/>
      <c r="AA904" s="19">
        <f t="shared" si="1"/>
        <v>11</v>
      </c>
      <c r="AB904" s="19" t="str">
        <f t="shared" si="2"/>
        <v/>
      </c>
      <c r="AC904" s="19"/>
    </row>
    <row r="905" ht="15.75" customHeight="1">
      <c r="A905" s="12">
        <v>45249.0</v>
      </c>
      <c r="B905" s="13" t="s">
        <v>28</v>
      </c>
      <c r="C905" s="14" t="s">
        <v>3816</v>
      </c>
      <c r="D905" s="14"/>
      <c r="E905" s="14"/>
      <c r="F905" s="14"/>
      <c r="G905" s="14"/>
      <c r="H905" s="14"/>
      <c r="I905" s="351" t="s">
        <v>3817</v>
      </c>
      <c r="J905" s="14"/>
      <c r="K905" s="14"/>
      <c r="L905" s="14"/>
      <c r="M905" s="27" t="s">
        <v>111</v>
      </c>
      <c r="N905" s="14" t="s">
        <v>565</v>
      </c>
      <c r="O905" s="14" t="b">
        <v>0</v>
      </c>
      <c r="P905" s="14"/>
      <c r="Q905" s="14"/>
      <c r="R905" s="14"/>
      <c r="S905" s="14" t="s">
        <v>3818</v>
      </c>
      <c r="T905" s="14"/>
      <c r="U905" s="17"/>
      <c r="V905" s="14"/>
      <c r="W905" s="14"/>
      <c r="X905" s="18"/>
      <c r="Y905" s="18"/>
      <c r="Z905" s="18"/>
      <c r="AA905" s="19">
        <f t="shared" si="1"/>
        <v>11</v>
      </c>
      <c r="AB905" s="19" t="str">
        <f t="shared" si="2"/>
        <v/>
      </c>
      <c r="AC905" s="19"/>
    </row>
    <row r="906" ht="15.75" customHeight="1">
      <c r="A906" s="12">
        <v>45250.0</v>
      </c>
      <c r="B906" s="13" t="s">
        <v>28</v>
      </c>
      <c r="C906" s="14" t="s">
        <v>3819</v>
      </c>
      <c r="D906" s="14" t="s">
        <v>3820</v>
      </c>
      <c r="E906" s="14"/>
      <c r="F906" s="14">
        <v>2016.0</v>
      </c>
      <c r="G906" s="14">
        <v>2.0</v>
      </c>
      <c r="H906" s="14"/>
      <c r="I906" s="15" t="s">
        <v>426</v>
      </c>
      <c r="J906" s="14"/>
      <c r="K906" s="14"/>
      <c r="L906" s="14"/>
      <c r="M906" s="27" t="s">
        <v>111</v>
      </c>
      <c r="N906" s="14" t="s">
        <v>13</v>
      </c>
      <c r="O906" s="14" t="b">
        <v>1</v>
      </c>
      <c r="P906" s="14" t="s">
        <v>3821</v>
      </c>
      <c r="Q906" s="14"/>
      <c r="R906" s="14"/>
      <c r="S906" s="14" t="s">
        <v>3822</v>
      </c>
      <c r="T906" s="14"/>
      <c r="U906" s="17"/>
      <c r="V906" s="14"/>
      <c r="W906" s="14"/>
      <c r="X906" s="18"/>
      <c r="Y906" s="18"/>
      <c r="Z906" s="18"/>
      <c r="AA906" s="19">
        <f t="shared" si="1"/>
        <v>11</v>
      </c>
      <c r="AB906" s="19" t="str">
        <f t="shared" si="2"/>
        <v/>
      </c>
      <c r="AC906" s="19" t="s">
        <v>373</v>
      </c>
    </row>
    <row r="907" ht="15.75" customHeight="1">
      <c r="A907" s="12">
        <v>45250.0</v>
      </c>
      <c r="B907" s="13" t="s">
        <v>28</v>
      </c>
      <c r="C907" s="14" t="s">
        <v>4591</v>
      </c>
      <c r="D907" s="14"/>
      <c r="E907" s="14"/>
      <c r="F907" s="14">
        <v>2017.0</v>
      </c>
      <c r="G907" s="14">
        <v>1.0</v>
      </c>
      <c r="H907" s="14"/>
      <c r="I907" s="15" t="s">
        <v>3824</v>
      </c>
      <c r="J907" s="14"/>
      <c r="K907" s="14"/>
      <c r="L907" s="14"/>
      <c r="M907" s="27" t="s">
        <v>111</v>
      </c>
      <c r="N907" s="14" t="s">
        <v>565</v>
      </c>
      <c r="O907" s="14" t="b">
        <v>0</v>
      </c>
      <c r="P907" s="14"/>
      <c r="Q907" s="14"/>
      <c r="R907" s="14"/>
      <c r="S907" s="14" t="s">
        <v>3825</v>
      </c>
      <c r="T907" s="14"/>
      <c r="U907" s="17"/>
      <c r="V907" s="14"/>
      <c r="W907" s="14"/>
      <c r="X907" s="18"/>
      <c r="Y907" s="18"/>
      <c r="Z907" s="18"/>
      <c r="AA907" s="19">
        <f t="shared" si="1"/>
        <v>11</v>
      </c>
      <c r="AB907" s="19" t="str">
        <f t="shared" si="2"/>
        <v/>
      </c>
      <c r="AC907" s="19" t="s">
        <v>373</v>
      </c>
    </row>
    <row r="908" ht="15.75" customHeight="1">
      <c r="A908" s="12">
        <v>45250.0</v>
      </c>
      <c r="B908" s="13" t="s">
        <v>28</v>
      </c>
      <c r="C908" s="14" t="s">
        <v>3826</v>
      </c>
      <c r="D908" s="14" t="s">
        <v>3827</v>
      </c>
      <c r="E908" s="14"/>
      <c r="F908" s="14">
        <v>2010.0</v>
      </c>
      <c r="G908" s="14">
        <v>8.0</v>
      </c>
      <c r="H908" s="14"/>
      <c r="I908" s="15" t="s">
        <v>3828</v>
      </c>
      <c r="J908" s="14"/>
      <c r="K908" s="14"/>
      <c r="L908" s="14"/>
      <c r="M908" s="27" t="s">
        <v>111</v>
      </c>
      <c r="N908" s="14" t="s">
        <v>13</v>
      </c>
      <c r="O908" s="14" t="b">
        <v>1</v>
      </c>
      <c r="P908" s="14" t="s">
        <v>3829</v>
      </c>
      <c r="Q908" s="14"/>
      <c r="R908" s="14"/>
      <c r="S908" s="14" t="s">
        <v>3830</v>
      </c>
      <c r="T908" s="14" t="s">
        <v>4197</v>
      </c>
      <c r="U908" s="17"/>
      <c r="V908" s="14"/>
      <c r="W908" s="14"/>
      <c r="X908" s="18"/>
      <c r="Y908" s="18"/>
      <c r="Z908" s="18"/>
      <c r="AA908" s="19">
        <f t="shared" si="1"/>
        <v>11</v>
      </c>
      <c r="AB908" s="19" t="str">
        <f t="shared" si="2"/>
        <v/>
      </c>
      <c r="AC908" s="19"/>
    </row>
    <row r="909" ht="15.75" customHeight="1">
      <c r="A909" s="12">
        <v>45251.0</v>
      </c>
      <c r="B909" s="13" t="s">
        <v>28</v>
      </c>
      <c r="C909" s="14" t="s">
        <v>3831</v>
      </c>
      <c r="D909" s="14" t="s">
        <v>3832</v>
      </c>
      <c r="E909" s="14"/>
      <c r="F909" s="14">
        <v>2018.0</v>
      </c>
      <c r="G909" s="14" t="s">
        <v>3833</v>
      </c>
      <c r="H909" s="14"/>
      <c r="I909" s="351" t="s">
        <v>3834</v>
      </c>
      <c r="J909" s="14"/>
      <c r="K909" s="14"/>
      <c r="L909" s="14"/>
      <c r="M909" s="27" t="s">
        <v>111</v>
      </c>
      <c r="N909" s="14" t="s">
        <v>565</v>
      </c>
      <c r="O909" s="14" t="b">
        <v>0</v>
      </c>
      <c r="P909" s="14"/>
      <c r="Q909" s="14"/>
      <c r="R909" s="14"/>
      <c r="S909" s="14" t="s">
        <v>3835</v>
      </c>
      <c r="T909" s="14" t="s">
        <v>4096</v>
      </c>
      <c r="U909" s="17"/>
      <c r="V909" s="14"/>
      <c r="W909" s="14"/>
      <c r="X909" s="18"/>
      <c r="Y909" s="18"/>
      <c r="Z909" s="18"/>
      <c r="AA909" s="19">
        <f t="shared" si="1"/>
        <v>11</v>
      </c>
      <c r="AB909" s="19" t="str">
        <f t="shared" si="2"/>
        <v/>
      </c>
      <c r="AC909" s="19"/>
    </row>
    <row r="910" ht="15.75" customHeight="1">
      <c r="A910" s="26">
        <v>45251.0</v>
      </c>
      <c r="B910" s="13" t="s">
        <v>28</v>
      </c>
      <c r="C910" s="27" t="s">
        <v>3836</v>
      </c>
      <c r="D910" s="27" t="s">
        <v>3837</v>
      </c>
      <c r="E910" s="27"/>
      <c r="F910" s="27">
        <v>2014.0</v>
      </c>
      <c r="G910" s="27">
        <v>4.0</v>
      </c>
      <c r="H910" s="27"/>
      <c r="I910" s="34" t="s">
        <v>3838</v>
      </c>
      <c r="J910" s="27"/>
      <c r="K910" s="27"/>
      <c r="L910" s="27"/>
      <c r="M910" s="27" t="s">
        <v>111</v>
      </c>
      <c r="N910" s="27" t="s">
        <v>67</v>
      </c>
      <c r="O910" s="14" t="b">
        <v>1</v>
      </c>
      <c r="P910" s="27" t="s">
        <v>3839</v>
      </c>
      <c r="Q910" s="27"/>
      <c r="R910" s="27"/>
      <c r="S910" s="27" t="s">
        <v>3840</v>
      </c>
      <c r="T910" s="27" t="s">
        <v>4197</v>
      </c>
      <c r="U910" s="26"/>
      <c r="V910" s="32">
        <v>45275.0</v>
      </c>
      <c r="W910" s="27" t="s">
        <v>4207</v>
      </c>
      <c r="X910" s="25">
        <v>6124000.0</v>
      </c>
      <c r="Y910" s="25">
        <v>600000.0</v>
      </c>
      <c r="Z910" s="25">
        <v>5524000.0</v>
      </c>
      <c r="AA910" s="123">
        <f t="shared" si="1"/>
        <v>11</v>
      </c>
      <c r="AB910" s="123">
        <f t="shared" si="2"/>
        <v>12</v>
      </c>
      <c r="AC910" s="123" t="s">
        <v>373</v>
      </c>
    </row>
    <row r="911" ht="15.75" customHeight="1">
      <c r="A911" s="12">
        <v>45253.0</v>
      </c>
      <c r="B911" s="14" t="s">
        <v>84</v>
      </c>
      <c r="C911" s="14" t="s">
        <v>4592</v>
      </c>
      <c r="D911" s="14" t="s">
        <v>3842</v>
      </c>
      <c r="E911" s="14"/>
      <c r="F911" s="14">
        <v>2016.0</v>
      </c>
      <c r="G911" s="14">
        <v>2.0</v>
      </c>
      <c r="H911" s="14"/>
      <c r="I911" s="15" t="s">
        <v>3843</v>
      </c>
      <c r="J911" s="14"/>
      <c r="K911" s="14"/>
      <c r="L911" s="14"/>
      <c r="M911" s="27" t="s">
        <v>111</v>
      </c>
      <c r="N911" s="14" t="s">
        <v>13</v>
      </c>
      <c r="O911" s="14" t="b">
        <v>1</v>
      </c>
      <c r="P911" s="61" t="s">
        <v>3844</v>
      </c>
      <c r="Q911" s="14"/>
      <c r="R911" s="14"/>
      <c r="S911" s="14" t="s">
        <v>3845</v>
      </c>
      <c r="T911" s="14" t="s">
        <v>4197</v>
      </c>
      <c r="U911" s="17"/>
      <c r="V911" s="14"/>
      <c r="W911" s="14"/>
      <c r="X911" s="18"/>
      <c r="Y911" s="18"/>
      <c r="Z911" s="18"/>
      <c r="AA911" s="19">
        <f t="shared" si="1"/>
        <v>11</v>
      </c>
      <c r="AB911" s="19" t="str">
        <f t="shared" si="2"/>
        <v/>
      </c>
      <c r="AC911" s="19" t="s">
        <v>373</v>
      </c>
    </row>
    <row r="912" ht="15.75" customHeight="1">
      <c r="A912" s="26">
        <v>45253.0</v>
      </c>
      <c r="B912" s="27" t="s">
        <v>201</v>
      </c>
      <c r="C912" s="27" t="s">
        <v>4593</v>
      </c>
      <c r="D912" s="27" t="s">
        <v>3847</v>
      </c>
      <c r="E912" s="27"/>
      <c r="F912" s="27">
        <v>2015.0</v>
      </c>
      <c r="G912" s="27">
        <v>3.0</v>
      </c>
      <c r="H912" s="27"/>
      <c r="I912" s="34" t="s">
        <v>3848</v>
      </c>
      <c r="J912" s="27"/>
      <c r="K912" s="27"/>
      <c r="L912" s="27"/>
      <c r="M912" s="27" t="s">
        <v>111</v>
      </c>
      <c r="N912" s="27" t="s">
        <v>67</v>
      </c>
      <c r="O912" s="14" t="b">
        <v>1</v>
      </c>
      <c r="P912" s="27" t="s">
        <v>3849</v>
      </c>
      <c r="Q912" s="27"/>
      <c r="R912" s="27"/>
      <c r="S912" s="27" t="s">
        <v>3850</v>
      </c>
      <c r="T912" s="27"/>
      <c r="U912" s="26"/>
      <c r="V912" s="32">
        <v>45253.0</v>
      </c>
      <c r="W912" s="27" t="s">
        <v>4594</v>
      </c>
      <c r="X912" s="25">
        <v>3675000.0</v>
      </c>
      <c r="Y912" s="25">
        <v>367000.0</v>
      </c>
      <c r="Z912" s="25">
        <v>3308000.0</v>
      </c>
      <c r="AA912" s="19">
        <f t="shared" si="1"/>
        <v>11</v>
      </c>
      <c r="AB912" s="19">
        <f t="shared" si="2"/>
        <v>11</v>
      </c>
      <c r="AC912" s="19"/>
    </row>
    <row r="913" ht="15.75" customHeight="1">
      <c r="A913" s="12">
        <v>45253.0</v>
      </c>
      <c r="B913" s="13" t="s">
        <v>28</v>
      </c>
      <c r="C913" s="14" t="s">
        <v>3851</v>
      </c>
      <c r="D913" s="14" t="s">
        <v>3852</v>
      </c>
      <c r="E913" s="14"/>
      <c r="F913" s="14">
        <v>2012.0</v>
      </c>
      <c r="G913" s="14">
        <v>6.0</v>
      </c>
      <c r="H913" s="14"/>
      <c r="I913" s="351" t="s">
        <v>3853</v>
      </c>
      <c r="J913" s="14"/>
      <c r="K913" s="14"/>
      <c r="L913" s="14"/>
      <c r="M913" s="27" t="s">
        <v>111</v>
      </c>
      <c r="N913" s="27" t="s">
        <v>13</v>
      </c>
      <c r="O913" s="14" t="b">
        <v>1</v>
      </c>
      <c r="P913" s="14" t="s">
        <v>3854</v>
      </c>
      <c r="Q913" s="14"/>
      <c r="R913" s="14"/>
      <c r="S913" s="14" t="s">
        <v>3855</v>
      </c>
      <c r="T913" s="14" t="s">
        <v>4069</v>
      </c>
      <c r="U913" s="17"/>
      <c r="V913" s="14"/>
      <c r="W913" s="14"/>
      <c r="X913" s="18"/>
      <c r="Y913" s="18"/>
      <c r="Z913" s="18"/>
      <c r="AA913" s="19">
        <f t="shared" si="1"/>
        <v>11</v>
      </c>
      <c r="AB913" s="19" t="str">
        <f t="shared" si="2"/>
        <v/>
      </c>
      <c r="AC913" s="19" t="s">
        <v>373</v>
      </c>
    </row>
    <row r="914" ht="15.75" customHeight="1">
      <c r="A914" s="26">
        <v>45254.0</v>
      </c>
      <c r="B914" s="27" t="s">
        <v>201</v>
      </c>
      <c r="C914" s="27" t="s">
        <v>4595</v>
      </c>
      <c r="D914" s="27" t="s">
        <v>3857</v>
      </c>
      <c r="E914" s="27"/>
      <c r="F914" s="27">
        <v>2015.0</v>
      </c>
      <c r="G914" s="27">
        <v>3.0</v>
      </c>
      <c r="H914" s="27"/>
      <c r="I914" s="352" t="s">
        <v>3858</v>
      </c>
      <c r="J914" s="27"/>
      <c r="K914" s="27"/>
      <c r="L914" s="27"/>
      <c r="M914" s="27" t="s">
        <v>111</v>
      </c>
      <c r="N914" s="27" t="s">
        <v>67</v>
      </c>
      <c r="O914" s="14" t="b">
        <v>1</v>
      </c>
      <c r="P914" s="27" t="s">
        <v>3859</v>
      </c>
      <c r="Q914" s="27"/>
      <c r="R914" s="27"/>
      <c r="S914" s="27" t="s">
        <v>3860</v>
      </c>
      <c r="T914" s="27" t="s">
        <v>4197</v>
      </c>
      <c r="U914" s="26"/>
      <c r="V914" s="32">
        <v>45278.0</v>
      </c>
      <c r="W914" s="27" t="s">
        <v>4207</v>
      </c>
      <c r="X914" s="25">
        <v>6124000.0</v>
      </c>
      <c r="Y914" s="25">
        <v>612400.0</v>
      </c>
      <c r="Z914" s="25">
        <v>5511600.0</v>
      </c>
      <c r="AA914" s="123">
        <f t="shared" si="1"/>
        <v>11</v>
      </c>
      <c r="AB914" s="123">
        <f t="shared" si="2"/>
        <v>12</v>
      </c>
      <c r="AC914" s="123" t="s">
        <v>373</v>
      </c>
    </row>
    <row r="915" ht="15.75" customHeight="1">
      <c r="A915" s="12">
        <v>45254.0</v>
      </c>
      <c r="B915" s="13" t="s">
        <v>28</v>
      </c>
      <c r="C915" s="14" t="s">
        <v>3861</v>
      </c>
      <c r="D915" s="14" t="s">
        <v>3862</v>
      </c>
      <c r="E915" s="14"/>
      <c r="F915" s="14">
        <v>2012.0</v>
      </c>
      <c r="G915" s="14">
        <v>6.0</v>
      </c>
      <c r="H915" s="14"/>
      <c r="I915" s="351" t="s">
        <v>3863</v>
      </c>
      <c r="J915" s="14"/>
      <c r="K915" s="14"/>
      <c r="L915" s="14"/>
      <c r="M915" s="27" t="s">
        <v>111</v>
      </c>
      <c r="N915" s="27" t="s">
        <v>13</v>
      </c>
      <c r="O915" s="14" t="b">
        <v>1</v>
      </c>
      <c r="P915" s="14" t="s">
        <v>3864</v>
      </c>
      <c r="Q915" s="14"/>
      <c r="R915" s="14"/>
      <c r="S915" s="14" t="s">
        <v>3865</v>
      </c>
      <c r="T915" s="14" t="s">
        <v>4085</v>
      </c>
      <c r="U915" s="17">
        <v>45301.0</v>
      </c>
      <c r="V915" s="14"/>
      <c r="W915" s="14"/>
      <c r="X915" s="18"/>
      <c r="Y915" s="18"/>
      <c r="Z915" s="18"/>
      <c r="AA915" s="19">
        <f t="shared" si="1"/>
        <v>11</v>
      </c>
      <c r="AB915" s="19" t="str">
        <f t="shared" si="2"/>
        <v/>
      </c>
      <c r="AC915" s="19" t="s">
        <v>373</v>
      </c>
    </row>
    <row r="916" ht="15.75" customHeight="1">
      <c r="A916" s="81">
        <v>45254.0</v>
      </c>
      <c r="B916" s="13" t="s">
        <v>28</v>
      </c>
      <c r="C916" s="33" t="s">
        <v>3866</v>
      </c>
      <c r="D916" s="33" t="s">
        <v>3867</v>
      </c>
      <c r="E916" s="33"/>
      <c r="F916" s="33">
        <v>2017.0</v>
      </c>
      <c r="G916" s="33">
        <v>1.0</v>
      </c>
      <c r="H916" s="33"/>
      <c r="I916" s="82" t="s">
        <v>3868</v>
      </c>
      <c r="J916" s="33"/>
      <c r="K916" s="33"/>
      <c r="L916" s="33"/>
      <c r="M916" s="33" t="s">
        <v>111</v>
      </c>
      <c r="N916" s="33" t="s">
        <v>67</v>
      </c>
      <c r="O916" s="14" t="b">
        <v>1</v>
      </c>
      <c r="P916" s="33" t="s">
        <v>3869</v>
      </c>
      <c r="Q916" s="33"/>
      <c r="R916" s="33"/>
      <c r="S916" s="33" t="s">
        <v>3870</v>
      </c>
      <c r="T916" s="33" t="s">
        <v>4197</v>
      </c>
      <c r="U916" s="81"/>
      <c r="V916" s="216">
        <v>45273.0</v>
      </c>
      <c r="W916" s="33" t="s">
        <v>4207</v>
      </c>
      <c r="X916" s="80">
        <v>6124000.0</v>
      </c>
      <c r="Y916" s="80">
        <v>612400.0</v>
      </c>
      <c r="Z916" s="80">
        <v>5511600.0</v>
      </c>
      <c r="AA916" s="217">
        <f t="shared" si="1"/>
        <v>11</v>
      </c>
      <c r="AB916" s="217">
        <f t="shared" si="2"/>
        <v>12</v>
      </c>
      <c r="AC916" s="217" t="s">
        <v>373</v>
      </c>
    </row>
    <row r="917" ht="15.75" customHeight="1">
      <c r="A917" s="12">
        <v>45256.0</v>
      </c>
      <c r="B917" s="13" t="s">
        <v>28</v>
      </c>
      <c r="C917" s="14" t="s">
        <v>3871</v>
      </c>
      <c r="D917" s="14"/>
      <c r="E917" s="14"/>
      <c r="F917" s="14">
        <v>2013.0</v>
      </c>
      <c r="G917" s="14">
        <v>5.0</v>
      </c>
      <c r="H917" s="14"/>
      <c r="I917" s="351" t="s">
        <v>3872</v>
      </c>
      <c r="J917" s="14"/>
      <c r="K917" s="14"/>
      <c r="L917" s="14"/>
      <c r="M917" s="27" t="s">
        <v>111</v>
      </c>
      <c r="N917" s="27" t="s">
        <v>13</v>
      </c>
      <c r="O917" s="14" t="b">
        <v>1</v>
      </c>
      <c r="P917" s="14" t="s">
        <v>3873</v>
      </c>
      <c r="Q917" s="14"/>
      <c r="R917" s="14"/>
      <c r="S917" s="14" t="s">
        <v>3874</v>
      </c>
      <c r="T917" s="14" t="s">
        <v>4197</v>
      </c>
      <c r="U917" s="17"/>
      <c r="V917" s="14"/>
      <c r="W917" s="14"/>
      <c r="X917" s="18"/>
      <c r="Y917" s="18"/>
      <c r="Z917" s="18"/>
      <c r="AA917" s="19">
        <f t="shared" si="1"/>
        <v>11</v>
      </c>
      <c r="AB917" s="19" t="str">
        <f t="shared" si="2"/>
        <v/>
      </c>
      <c r="AC917" s="19" t="s">
        <v>373</v>
      </c>
    </row>
    <row r="918" ht="15.75" customHeight="1">
      <c r="A918" s="26">
        <v>45257.0</v>
      </c>
      <c r="B918" s="13" t="s">
        <v>28</v>
      </c>
      <c r="C918" s="27" t="s">
        <v>3875</v>
      </c>
      <c r="D918" s="27" t="s">
        <v>3876</v>
      </c>
      <c r="E918" s="27"/>
      <c r="F918" s="27">
        <v>3.0</v>
      </c>
      <c r="G918" s="27">
        <v>2015.0</v>
      </c>
      <c r="H918" s="27"/>
      <c r="I918" s="34" t="s">
        <v>3877</v>
      </c>
      <c r="J918" s="27"/>
      <c r="K918" s="27"/>
      <c r="L918" s="27"/>
      <c r="M918" s="27" t="s">
        <v>111</v>
      </c>
      <c r="N918" s="27" t="s">
        <v>67</v>
      </c>
      <c r="O918" s="14" t="b">
        <v>1</v>
      </c>
      <c r="P918" s="27" t="s">
        <v>3878</v>
      </c>
      <c r="Q918" s="27"/>
      <c r="R918" s="27"/>
      <c r="S918" s="27" t="s">
        <v>3879</v>
      </c>
      <c r="T918" s="27" t="s">
        <v>4197</v>
      </c>
      <c r="U918" s="26"/>
      <c r="V918" s="32">
        <v>45268.0</v>
      </c>
      <c r="W918" s="27" t="s">
        <v>4596</v>
      </c>
      <c r="X918" s="25">
        <v>5784000.0</v>
      </c>
      <c r="Y918" s="25">
        <v>578400.0</v>
      </c>
      <c r="Z918" s="25">
        <v>5205600.0</v>
      </c>
      <c r="AA918" s="123">
        <f t="shared" si="1"/>
        <v>11</v>
      </c>
      <c r="AB918" s="123">
        <f t="shared" si="2"/>
        <v>12</v>
      </c>
      <c r="AC918" s="123"/>
    </row>
    <row r="919" ht="15.75" customHeight="1">
      <c r="A919" s="26">
        <v>45258.0</v>
      </c>
      <c r="B919" s="13" t="s">
        <v>28</v>
      </c>
      <c r="C919" s="27" t="s">
        <v>3880</v>
      </c>
      <c r="D919" s="27" t="s">
        <v>3881</v>
      </c>
      <c r="E919" s="27"/>
      <c r="F919" s="27">
        <v>2016.0</v>
      </c>
      <c r="G919" s="27">
        <v>2.0</v>
      </c>
      <c r="H919" s="27"/>
      <c r="I919" s="34" t="s">
        <v>3882</v>
      </c>
      <c r="J919" s="27"/>
      <c r="K919" s="27"/>
      <c r="L919" s="27"/>
      <c r="M919" s="27" t="s">
        <v>111</v>
      </c>
      <c r="N919" s="27" t="s">
        <v>67</v>
      </c>
      <c r="O919" s="14" t="b">
        <v>1</v>
      </c>
      <c r="P919" s="27" t="s">
        <v>3883</v>
      </c>
      <c r="Q919" s="27"/>
      <c r="R919" s="27"/>
      <c r="S919" s="27" t="s">
        <v>3884</v>
      </c>
      <c r="T919" s="27"/>
      <c r="U919" s="26"/>
      <c r="V919" s="32">
        <v>45260.0</v>
      </c>
      <c r="W919" s="27" t="s">
        <v>4207</v>
      </c>
      <c r="X919" s="25">
        <v>5500000.0</v>
      </c>
      <c r="Y919" s="25">
        <v>825000.0</v>
      </c>
      <c r="Z919" s="25">
        <v>4675000.0</v>
      </c>
      <c r="AA919" s="19">
        <f t="shared" si="1"/>
        <v>11</v>
      </c>
      <c r="AB919" s="19">
        <f t="shared" si="2"/>
        <v>11</v>
      </c>
      <c r="AC919" s="19"/>
    </row>
    <row r="920" ht="15.75" customHeight="1">
      <c r="A920" s="12">
        <v>45260.0</v>
      </c>
      <c r="B920" s="13" t="s">
        <v>28</v>
      </c>
      <c r="C920" s="14" t="s">
        <v>2063</v>
      </c>
      <c r="D920" s="14" t="s">
        <v>3885</v>
      </c>
      <c r="E920" s="14"/>
      <c r="F920" s="14">
        <v>2015.0</v>
      </c>
      <c r="G920" s="14">
        <v>3.0</v>
      </c>
      <c r="H920" s="14"/>
      <c r="I920" s="351" t="s">
        <v>3886</v>
      </c>
      <c r="J920" s="14"/>
      <c r="K920" s="14"/>
      <c r="L920" s="14"/>
      <c r="M920" s="27" t="s">
        <v>111</v>
      </c>
      <c r="N920" s="27" t="s">
        <v>13</v>
      </c>
      <c r="O920" s="14" t="b">
        <v>1</v>
      </c>
      <c r="P920" s="14" t="s">
        <v>3887</v>
      </c>
      <c r="Q920" s="14"/>
      <c r="R920" s="14"/>
      <c r="S920" s="14" t="s">
        <v>3888</v>
      </c>
      <c r="T920" s="14" t="s">
        <v>4197</v>
      </c>
      <c r="U920" s="17"/>
      <c r="V920" s="14"/>
      <c r="W920" s="14"/>
      <c r="X920" s="18"/>
      <c r="Y920" s="18"/>
      <c r="Z920" s="18"/>
      <c r="AA920" s="19">
        <f t="shared" si="1"/>
        <v>11</v>
      </c>
      <c r="AB920" s="19" t="str">
        <f t="shared" si="2"/>
        <v/>
      </c>
      <c r="AC920" s="19" t="s">
        <v>373</v>
      </c>
    </row>
    <row r="921" ht="15.75" customHeight="1">
      <c r="A921" s="12">
        <v>45260.0</v>
      </c>
      <c r="B921" s="13" t="s">
        <v>28</v>
      </c>
      <c r="C921" s="14" t="s">
        <v>3889</v>
      </c>
      <c r="D921" s="14"/>
      <c r="E921" s="14"/>
      <c r="F921" s="14">
        <v>2012.0</v>
      </c>
      <c r="G921" s="14">
        <v>6.0</v>
      </c>
      <c r="H921" s="14"/>
      <c r="I921" s="15" t="s">
        <v>3890</v>
      </c>
      <c r="J921" s="14"/>
      <c r="K921" s="14"/>
      <c r="L921" s="14"/>
      <c r="M921" s="27" t="s">
        <v>111</v>
      </c>
      <c r="N921" s="27" t="s">
        <v>565</v>
      </c>
      <c r="O921" s="14" t="b">
        <v>0</v>
      </c>
      <c r="P921" s="14"/>
      <c r="Q921" s="14"/>
      <c r="R921" s="14"/>
      <c r="S921" s="14" t="s">
        <v>3891</v>
      </c>
      <c r="T921" s="14" t="s">
        <v>4096</v>
      </c>
      <c r="U921" s="17"/>
      <c r="V921" s="14"/>
      <c r="W921" s="14"/>
      <c r="X921" s="18"/>
      <c r="Y921" s="18"/>
      <c r="Z921" s="18"/>
      <c r="AA921" s="19">
        <f t="shared" si="1"/>
        <v>11</v>
      </c>
      <c r="AB921" s="19" t="str">
        <f t="shared" si="2"/>
        <v/>
      </c>
      <c r="AC921" s="19" t="s">
        <v>373</v>
      </c>
    </row>
    <row r="922" ht="15.75" customHeight="1">
      <c r="A922" s="12">
        <v>45260.0</v>
      </c>
      <c r="B922" s="13" t="s">
        <v>28</v>
      </c>
      <c r="C922" s="14" t="s">
        <v>3892</v>
      </c>
      <c r="D922" s="14"/>
      <c r="E922" s="14"/>
      <c r="F922" s="14"/>
      <c r="G922" s="14"/>
      <c r="H922" s="14"/>
      <c r="I922" s="15" t="s">
        <v>3893</v>
      </c>
      <c r="J922" s="14"/>
      <c r="K922" s="14"/>
      <c r="L922" s="14"/>
      <c r="M922" s="27" t="s">
        <v>111</v>
      </c>
      <c r="N922" s="27" t="s">
        <v>216</v>
      </c>
      <c r="O922" s="14" t="b">
        <v>0</v>
      </c>
      <c r="P922" s="14"/>
      <c r="Q922" s="14"/>
      <c r="R922" s="14"/>
      <c r="S922" s="14" t="s">
        <v>3894</v>
      </c>
      <c r="T922" s="14"/>
      <c r="U922" s="17"/>
      <c r="V922" s="14"/>
      <c r="W922" s="14"/>
      <c r="X922" s="18"/>
      <c r="Y922" s="18"/>
      <c r="Z922" s="18"/>
      <c r="AA922" s="19">
        <f t="shared" si="1"/>
        <v>11</v>
      </c>
      <c r="AB922" s="19" t="str">
        <f t="shared" si="2"/>
        <v/>
      </c>
      <c r="AC922" s="19"/>
    </row>
    <row r="923" ht="15.75" customHeight="1">
      <c r="A923" s="12">
        <v>45261.0</v>
      </c>
      <c r="B923" s="13" t="s">
        <v>28</v>
      </c>
      <c r="C923" s="14" t="s">
        <v>3895</v>
      </c>
      <c r="D923" s="14"/>
      <c r="E923" s="14"/>
      <c r="F923" s="14"/>
      <c r="G923" s="14"/>
      <c r="H923" s="14"/>
      <c r="I923" s="15" t="s">
        <v>3896</v>
      </c>
      <c r="J923" s="14"/>
      <c r="K923" s="14"/>
      <c r="L923" s="14" t="s">
        <v>2941</v>
      </c>
      <c r="M923" s="27" t="s">
        <v>111</v>
      </c>
      <c r="N923" s="27" t="s">
        <v>565</v>
      </c>
      <c r="O923" s="14" t="b">
        <v>0</v>
      </c>
      <c r="P923" s="14"/>
      <c r="Q923" s="14"/>
      <c r="R923" s="14"/>
      <c r="S923" s="14" t="s">
        <v>3897</v>
      </c>
      <c r="T923" s="14" t="s">
        <v>4096</v>
      </c>
      <c r="U923" s="17"/>
      <c r="V923" s="14"/>
      <c r="W923" s="14"/>
      <c r="X923" s="18"/>
      <c r="Y923" s="18"/>
      <c r="Z923" s="18"/>
      <c r="AA923" s="19">
        <f t="shared" si="1"/>
        <v>12</v>
      </c>
      <c r="AB923" s="19" t="str">
        <f t="shared" si="2"/>
        <v/>
      </c>
      <c r="AC923" s="19"/>
    </row>
    <row r="924" ht="15.75" customHeight="1">
      <c r="A924" s="12">
        <v>45264.0</v>
      </c>
      <c r="B924" s="13" t="s">
        <v>28</v>
      </c>
      <c r="C924" s="14" t="s">
        <v>3898</v>
      </c>
      <c r="D924" s="14"/>
      <c r="E924" s="14"/>
      <c r="F924" s="14"/>
      <c r="G924" s="14"/>
      <c r="H924" s="14"/>
      <c r="I924" s="15" t="s">
        <v>3899</v>
      </c>
      <c r="J924" s="14"/>
      <c r="K924" s="14"/>
      <c r="L924" s="14" t="s">
        <v>2941</v>
      </c>
      <c r="M924" s="27" t="s">
        <v>111</v>
      </c>
      <c r="N924" s="27" t="s">
        <v>565</v>
      </c>
      <c r="O924" s="14" t="b">
        <v>0</v>
      </c>
      <c r="P924" s="14"/>
      <c r="Q924" s="14"/>
      <c r="R924" s="14"/>
      <c r="S924" s="14" t="s">
        <v>3900</v>
      </c>
      <c r="T924" s="14" t="s">
        <v>4597</v>
      </c>
      <c r="U924" s="17"/>
      <c r="V924" s="14"/>
      <c r="W924" s="14"/>
      <c r="X924" s="18"/>
      <c r="Y924" s="18"/>
      <c r="Z924" s="18"/>
      <c r="AA924" s="19">
        <f t="shared" si="1"/>
        <v>12</v>
      </c>
      <c r="AB924" s="19" t="str">
        <f t="shared" si="2"/>
        <v/>
      </c>
      <c r="AC924" s="19"/>
    </row>
    <row r="925" ht="15.75" customHeight="1">
      <c r="A925" s="12">
        <v>45264.0</v>
      </c>
      <c r="B925" s="13" t="s">
        <v>28</v>
      </c>
      <c r="C925" s="14" t="s">
        <v>3901</v>
      </c>
      <c r="D925" s="14"/>
      <c r="E925" s="14"/>
      <c r="F925" s="14" t="s">
        <v>4598</v>
      </c>
      <c r="G925" s="14"/>
      <c r="H925" s="14"/>
      <c r="I925" s="15" t="s">
        <v>3902</v>
      </c>
      <c r="J925" s="14"/>
      <c r="K925" s="14"/>
      <c r="L925" s="14" t="s">
        <v>2941</v>
      </c>
      <c r="M925" s="27" t="s">
        <v>111</v>
      </c>
      <c r="N925" s="27" t="s">
        <v>565</v>
      </c>
      <c r="O925" s="14" t="b">
        <v>0</v>
      </c>
      <c r="P925" s="14"/>
      <c r="Q925" s="14"/>
      <c r="R925" s="14"/>
      <c r="S925" s="14" t="s">
        <v>3903</v>
      </c>
      <c r="T925" s="14"/>
      <c r="U925" s="17"/>
      <c r="V925" s="14"/>
      <c r="W925" s="14"/>
      <c r="X925" s="18"/>
      <c r="Y925" s="18"/>
      <c r="Z925" s="18"/>
      <c r="AA925" s="19">
        <f t="shared" si="1"/>
        <v>12</v>
      </c>
      <c r="AB925" s="19" t="str">
        <f t="shared" si="2"/>
        <v/>
      </c>
      <c r="AC925" s="19"/>
    </row>
    <row r="926" ht="15.75" customHeight="1">
      <c r="A926" s="12">
        <v>45265.0</v>
      </c>
      <c r="B926" s="13" t="s">
        <v>28</v>
      </c>
      <c r="C926" s="14" t="s">
        <v>3315</v>
      </c>
      <c r="D926" s="14" t="s">
        <v>3904</v>
      </c>
      <c r="E926" s="14"/>
      <c r="F926" s="14">
        <v>2013.0</v>
      </c>
      <c r="G926" s="14">
        <v>5.0</v>
      </c>
      <c r="H926" s="14"/>
      <c r="I926" s="15" t="s">
        <v>3316</v>
      </c>
      <c r="J926" s="14"/>
      <c r="K926" s="14">
        <v>9.19520301E8</v>
      </c>
      <c r="L926" s="14" t="s">
        <v>91</v>
      </c>
      <c r="M926" s="27" t="s">
        <v>111</v>
      </c>
      <c r="N926" s="27" t="s">
        <v>13</v>
      </c>
      <c r="O926" s="14" t="b">
        <v>1</v>
      </c>
      <c r="P926" s="14" t="s">
        <v>3905</v>
      </c>
      <c r="Q926" s="14"/>
      <c r="R926" s="14"/>
      <c r="S926" s="14" t="s">
        <v>3906</v>
      </c>
      <c r="T926" s="14" t="s">
        <v>4197</v>
      </c>
      <c r="U926" s="17"/>
      <c r="V926" s="14"/>
      <c r="W926" s="14"/>
      <c r="X926" s="18"/>
      <c r="Y926" s="18"/>
      <c r="Z926" s="18"/>
      <c r="AA926" s="19">
        <f t="shared" si="1"/>
        <v>12</v>
      </c>
      <c r="AB926" s="19" t="str">
        <f t="shared" si="2"/>
        <v/>
      </c>
      <c r="AC926" s="19" t="s">
        <v>373</v>
      </c>
    </row>
    <row r="927" ht="15.75" customHeight="1">
      <c r="A927" s="26">
        <v>45265.0</v>
      </c>
      <c r="B927" s="13" t="s">
        <v>28</v>
      </c>
      <c r="C927" s="27" t="s">
        <v>3908</v>
      </c>
      <c r="D927" s="27" t="s">
        <v>3909</v>
      </c>
      <c r="E927" s="27"/>
      <c r="F927" s="27">
        <v>2017.0</v>
      </c>
      <c r="G927" s="27">
        <v>1.0</v>
      </c>
      <c r="H927" s="27"/>
      <c r="I927" s="34" t="s">
        <v>3910</v>
      </c>
      <c r="J927" s="27"/>
      <c r="K927" s="27"/>
      <c r="L927" s="27" t="s">
        <v>91</v>
      </c>
      <c r="M927" s="27" t="s">
        <v>111</v>
      </c>
      <c r="N927" s="27" t="s">
        <v>67</v>
      </c>
      <c r="O927" s="14" t="b">
        <v>1</v>
      </c>
      <c r="P927" s="27" t="s">
        <v>3911</v>
      </c>
      <c r="Q927" s="27"/>
      <c r="R927" s="27"/>
      <c r="S927" s="27" t="s">
        <v>3912</v>
      </c>
      <c r="T927" s="27"/>
      <c r="U927" s="26"/>
      <c r="V927" s="32">
        <v>45266.0</v>
      </c>
      <c r="W927" s="27" t="s">
        <v>4207</v>
      </c>
      <c r="X927" s="25">
        <v>6124000.0</v>
      </c>
      <c r="Y927" s="25">
        <v>356200.0</v>
      </c>
      <c r="Z927" s="25">
        <v>5767800.0</v>
      </c>
      <c r="AA927" s="123">
        <f t="shared" si="1"/>
        <v>12</v>
      </c>
      <c r="AB927" s="123">
        <f t="shared" si="2"/>
        <v>12</v>
      </c>
      <c r="AC927" s="123"/>
    </row>
    <row r="928" ht="15.75" customHeight="1">
      <c r="A928" s="12">
        <v>45265.0</v>
      </c>
      <c r="B928" s="13" t="s">
        <v>28</v>
      </c>
      <c r="C928" s="14" t="s">
        <v>3913</v>
      </c>
      <c r="D928" s="14"/>
      <c r="E928" s="14"/>
      <c r="F928" s="14"/>
      <c r="G928" s="14"/>
      <c r="H928" s="14"/>
      <c r="I928" s="15" t="s">
        <v>3914</v>
      </c>
      <c r="J928" s="14"/>
      <c r="K928" s="14"/>
      <c r="L928" s="14"/>
      <c r="M928" s="27" t="s">
        <v>111</v>
      </c>
      <c r="N928" s="27" t="s">
        <v>216</v>
      </c>
      <c r="O928" s="14" t="b">
        <v>0</v>
      </c>
      <c r="P928" s="14"/>
      <c r="Q928" s="14"/>
      <c r="R928" s="14"/>
      <c r="S928" s="14" t="s">
        <v>3915</v>
      </c>
      <c r="T928" s="14"/>
      <c r="U928" s="17"/>
      <c r="V928" s="14"/>
      <c r="W928" s="14"/>
      <c r="X928" s="18"/>
      <c r="Y928" s="18"/>
      <c r="Z928" s="18"/>
      <c r="AA928" s="19">
        <f t="shared" si="1"/>
        <v>12</v>
      </c>
      <c r="AB928" s="19" t="str">
        <f t="shared" si="2"/>
        <v/>
      </c>
      <c r="AC928" s="19"/>
    </row>
    <row r="929" ht="15.75" customHeight="1">
      <c r="A929" s="26">
        <v>45265.0</v>
      </c>
      <c r="B929" s="27" t="s">
        <v>201</v>
      </c>
      <c r="C929" s="27" t="s">
        <v>4599</v>
      </c>
      <c r="D929" s="27" t="s">
        <v>3917</v>
      </c>
      <c r="E929" s="27"/>
      <c r="F929" s="27">
        <v>2015.0</v>
      </c>
      <c r="G929" s="27">
        <v>3.0</v>
      </c>
      <c r="H929" s="27"/>
      <c r="I929" s="34" t="s">
        <v>3918</v>
      </c>
      <c r="J929" s="27"/>
      <c r="K929" s="27"/>
      <c r="L929" s="27" t="s">
        <v>91</v>
      </c>
      <c r="M929" s="27" t="s">
        <v>111</v>
      </c>
      <c r="N929" s="27" t="s">
        <v>67</v>
      </c>
      <c r="O929" s="14" t="b">
        <v>1</v>
      </c>
      <c r="P929" s="27" t="s">
        <v>3919</v>
      </c>
      <c r="Q929" s="27"/>
      <c r="R929" s="27"/>
      <c r="S929" s="27" t="s">
        <v>3920</v>
      </c>
      <c r="T929" s="27" t="s">
        <v>4197</v>
      </c>
      <c r="U929" s="26"/>
      <c r="V929" s="32">
        <v>45268.0</v>
      </c>
      <c r="W929" s="27" t="s">
        <v>4596</v>
      </c>
      <c r="X929" s="25">
        <v>5784000.0</v>
      </c>
      <c r="Y929" s="25">
        <v>578400.0</v>
      </c>
      <c r="Z929" s="25">
        <v>5205600.0</v>
      </c>
      <c r="AA929" s="123">
        <f t="shared" si="1"/>
        <v>12</v>
      </c>
      <c r="AB929" s="123">
        <f t="shared" si="2"/>
        <v>12</v>
      </c>
      <c r="AC929" s="123"/>
    </row>
    <row r="930" ht="15.75" customHeight="1">
      <c r="A930" s="26">
        <v>45265.0</v>
      </c>
      <c r="B930" s="27" t="s">
        <v>84</v>
      </c>
      <c r="C930" s="27" t="s">
        <v>3922</v>
      </c>
      <c r="D930" s="27" t="s">
        <v>3923</v>
      </c>
      <c r="E930" s="27"/>
      <c r="F930" s="27">
        <v>2017.0</v>
      </c>
      <c r="G930" s="27">
        <v>1.0</v>
      </c>
      <c r="H930" s="27"/>
      <c r="I930" s="34" t="s">
        <v>3924</v>
      </c>
      <c r="J930" s="27"/>
      <c r="K930" s="27"/>
      <c r="L930" s="27" t="s">
        <v>91</v>
      </c>
      <c r="M930" s="27" t="s">
        <v>111</v>
      </c>
      <c r="N930" s="27" t="s">
        <v>67</v>
      </c>
      <c r="O930" s="14" t="b">
        <v>1</v>
      </c>
      <c r="P930" s="27" t="s">
        <v>3925</v>
      </c>
      <c r="Q930" s="27"/>
      <c r="R930" s="27"/>
      <c r="S930" s="27" t="s">
        <v>3926</v>
      </c>
      <c r="T930" s="27" t="s">
        <v>4432</v>
      </c>
      <c r="U930" s="26"/>
      <c r="V930" s="32">
        <v>45268.0</v>
      </c>
      <c r="W930" s="27" t="s">
        <v>3921</v>
      </c>
      <c r="X930" s="25">
        <v>1400000.0</v>
      </c>
      <c r="Y930" s="25">
        <v>70000.0</v>
      </c>
      <c r="Z930" s="25">
        <v>1330000.0</v>
      </c>
      <c r="AA930" s="123">
        <f t="shared" si="1"/>
        <v>12</v>
      </c>
      <c r="AB930" s="123">
        <f t="shared" si="2"/>
        <v>12</v>
      </c>
      <c r="AC930" s="123"/>
    </row>
    <row r="931" ht="15.75" customHeight="1">
      <c r="A931" s="12">
        <v>45267.0</v>
      </c>
      <c r="B931" s="14" t="s">
        <v>340</v>
      </c>
      <c r="C931" s="14" t="s">
        <v>3927</v>
      </c>
      <c r="D931" s="14" t="s">
        <v>3927</v>
      </c>
      <c r="E931" s="14"/>
      <c r="F931" s="14">
        <v>1994.0</v>
      </c>
      <c r="G931" s="14"/>
      <c r="H931" s="14"/>
      <c r="I931" s="15" t="s">
        <v>3928</v>
      </c>
      <c r="J931" s="14"/>
      <c r="K931" s="14"/>
      <c r="L931" s="14" t="s">
        <v>3929</v>
      </c>
      <c r="M931" s="27" t="s">
        <v>111</v>
      </c>
      <c r="N931" s="27" t="s">
        <v>34</v>
      </c>
      <c r="O931" s="14" t="b">
        <v>0</v>
      </c>
      <c r="P931" s="14"/>
      <c r="Q931" s="14"/>
      <c r="R931" s="14"/>
      <c r="S931" s="14" t="s">
        <v>4600</v>
      </c>
      <c r="T931" s="14" t="s">
        <v>4601</v>
      </c>
      <c r="U931" s="17"/>
      <c r="V931" s="14"/>
      <c r="W931" s="14"/>
      <c r="X931" s="18"/>
      <c r="Y931" s="18"/>
      <c r="Z931" s="18"/>
      <c r="AA931" s="19">
        <f t="shared" si="1"/>
        <v>12</v>
      </c>
      <c r="AB931" s="19" t="str">
        <f t="shared" si="2"/>
        <v/>
      </c>
      <c r="AC931" s="19"/>
    </row>
    <row r="932" ht="15.75" customHeight="1">
      <c r="A932" s="12">
        <v>45267.0</v>
      </c>
      <c r="B932" s="14" t="s">
        <v>201</v>
      </c>
      <c r="C932" s="14" t="s">
        <v>3931</v>
      </c>
      <c r="D932" s="14" t="s">
        <v>3931</v>
      </c>
      <c r="E932" s="14"/>
      <c r="F932" s="14"/>
      <c r="G932" s="14"/>
      <c r="H932" s="14"/>
      <c r="I932" s="15" t="s">
        <v>3932</v>
      </c>
      <c r="J932" s="14"/>
      <c r="K932" s="14"/>
      <c r="L932" s="14" t="s">
        <v>399</v>
      </c>
      <c r="M932" s="27" t="s">
        <v>111</v>
      </c>
      <c r="N932" s="27" t="s">
        <v>565</v>
      </c>
      <c r="O932" s="14" t="b">
        <v>0</v>
      </c>
      <c r="P932" s="14"/>
      <c r="Q932" s="14"/>
      <c r="R932" s="14"/>
      <c r="S932" s="14" t="s">
        <v>3933</v>
      </c>
      <c r="T932" s="14" t="s">
        <v>4602</v>
      </c>
      <c r="U932" s="17"/>
      <c r="V932" s="14"/>
      <c r="W932" s="14"/>
      <c r="X932" s="18"/>
      <c r="Y932" s="18"/>
      <c r="Z932" s="18"/>
      <c r="AA932" s="19">
        <f t="shared" si="1"/>
        <v>12</v>
      </c>
      <c r="AB932" s="19" t="str">
        <f t="shared" si="2"/>
        <v/>
      </c>
      <c r="AC932" s="19" t="s">
        <v>373</v>
      </c>
    </row>
    <row r="933" ht="15.75" customHeight="1">
      <c r="A933" s="12">
        <v>45267.0</v>
      </c>
      <c r="B933" s="14" t="s">
        <v>201</v>
      </c>
      <c r="C933" s="14" t="s">
        <v>3931</v>
      </c>
      <c r="D933" s="14"/>
      <c r="E933" s="14"/>
      <c r="F933" s="14">
        <v>2013.0</v>
      </c>
      <c r="G933" s="14">
        <v>5.0</v>
      </c>
      <c r="H933" s="14"/>
      <c r="I933" s="15" t="s">
        <v>3932</v>
      </c>
      <c r="J933" s="14"/>
      <c r="K933" s="14"/>
      <c r="L933" s="14" t="s">
        <v>91</v>
      </c>
      <c r="M933" s="27" t="s">
        <v>111</v>
      </c>
      <c r="N933" s="27" t="s">
        <v>565</v>
      </c>
      <c r="O933" s="14" t="b">
        <v>0</v>
      </c>
      <c r="P933" s="14"/>
      <c r="Q933" s="14"/>
      <c r="R933" s="14"/>
      <c r="S933" s="14" t="s">
        <v>3933</v>
      </c>
      <c r="T933" s="14" t="s">
        <v>4602</v>
      </c>
      <c r="U933" s="17"/>
      <c r="V933" s="14"/>
      <c r="W933" s="14"/>
      <c r="X933" s="18"/>
      <c r="Y933" s="18"/>
      <c r="Z933" s="18"/>
      <c r="AA933" s="19">
        <f t="shared" si="1"/>
        <v>12</v>
      </c>
      <c r="AB933" s="19" t="str">
        <f t="shared" si="2"/>
        <v/>
      </c>
      <c r="AC933" s="19" t="s">
        <v>373</v>
      </c>
    </row>
    <row r="934" ht="15.75" customHeight="1">
      <c r="A934" s="12">
        <v>45267.0</v>
      </c>
      <c r="B934" s="14" t="s">
        <v>201</v>
      </c>
      <c r="C934" s="14" t="s">
        <v>4603</v>
      </c>
      <c r="D934" s="14" t="s">
        <v>3935</v>
      </c>
      <c r="E934" s="14"/>
      <c r="F934" s="14">
        <v>2018.0</v>
      </c>
      <c r="G934" s="14">
        <v>1.0</v>
      </c>
      <c r="H934" s="14"/>
      <c r="I934" s="15" t="s">
        <v>3936</v>
      </c>
      <c r="J934" s="14"/>
      <c r="K934" s="14"/>
      <c r="L934" s="14" t="s">
        <v>4207</v>
      </c>
      <c r="M934" s="27" t="s">
        <v>111</v>
      </c>
      <c r="N934" s="27" t="s">
        <v>13</v>
      </c>
      <c r="O934" s="14" t="b">
        <v>1</v>
      </c>
      <c r="P934" s="61" t="s">
        <v>3937</v>
      </c>
      <c r="Q934" s="14"/>
      <c r="R934" s="14"/>
      <c r="S934" s="14" t="s">
        <v>3938</v>
      </c>
      <c r="T934" s="14" t="s">
        <v>4197</v>
      </c>
      <c r="U934" s="17"/>
      <c r="V934" s="14"/>
      <c r="W934" s="14"/>
      <c r="X934" s="18"/>
      <c r="Y934" s="18"/>
      <c r="Z934" s="18"/>
      <c r="AA934" s="19">
        <f t="shared" si="1"/>
        <v>12</v>
      </c>
      <c r="AB934" s="218"/>
      <c r="AC934" s="218" t="s">
        <v>373</v>
      </c>
    </row>
    <row r="935" ht="15.75" customHeight="1">
      <c r="A935" s="12">
        <v>45268.0</v>
      </c>
      <c r="B935" s="13" t="s">
        <v>28</v>
      </c>
      <c r="C935" s="14" t="s">
        <v>3939</v>
      </c>
      <c r="D935" s="14" t="s">
        <v>3940</v>
      </c>
      <c r="E935" s="14"/>
      <c r="F935" s="14">
        <v>2014.0</v>
      </c>
      <c r="G935" s="14">
        <v>4.0</v>
      </c>
      <c r="H935" s="14"/>
      <c r="I935" s="15" t="s">
        <v>3941</v>
      </c>
      <c r="J935" s="14"/>
      <c r="K935" s="14"/>
      <c r="L935" s="14"/>
      <c r="M935" s="27" t="s">
        <v>111</v>
      </c>
      <c r="N935" s="27" t="s">
        <v>13</v>
      </c>
      <c r="O935" s="14" t="b">
        <v>1</v>
      </c>
      <c r="P935" s="61" t="s">
        <v>3942</v>
      </c>
      <c r="Q935" s="14"/>
      <c r="R935" s="14"/>
      <c r="S935" s="14" t="s">
        <v>3943</v>
      </c>
      <c r="T935" s="14" t="s">
        <v>4197</v>
      </c>
      <c r="U935" s="17"/>
      <c r="V935" s="14"/>
      <c r="W935" s="14"/>
      <c r="X935" s="18"/>
      <c r="Y935" s="18"/>
      <c r="Z935" s="18"/>
      <c r="AA935" s="19">
        <f t="shared" si="1"/>
        <v>12</v>
      </c>
      <c r="AB935" s="218"/>
      <c r="AC935" s="218" t="s">
        <v>373</v>
      </c>
    </row>
    <row r="936" ht="15.75" customHeight="1">
      <c r="A936" s="12">
        <v>45271.0</v>
      </c>
      <c r="B936" s="24" t="s">
        <v>28</v>
      </c>
      <c r="C936" s="14" t="s">
        <v>3944</v>
      </c>
      <c r="D936" s="353"/>
      <c r="E936" s="14"/>
      <c r="F936" s="14"/>
      <c r="G936" s="14"/>
      <c r="H936" s="14"/>
      <c r="I936" s="354" t="s">
        <v>3945</v>
      </c>
      <c r="J936" s="14"/>
      <c r="K936" s="14"/>
      <c r="L936" s="14" t="s">
        <v>4604</v>
      </c>
      <c r="M936" s="27" t="s">
        <v>111</v>
      </c>
      <c r="N936" s="27" t="s">
        <v>565</v>
      </c>
      <c r="O936" s="14" t="b">
        <v>0</v>
      </c>
      <c r="P936" s="14"/>
      <c r="Q936" s="14"/>
      <c r="R936" s="14"/>
      <c r="S936" s="14" t="s">
        <v>3946</v>
      </c>
      <c r="T936" s="14" t="s">
        <v>4096</v>
      </c>
      <c r="U936" s="17"/>
      <c r="V936" s="14"/>
      <c r="W936" s="14"/>
      <c r="X936" s="18"/>
      <c r="Y936" s="18"/>
      <c r="Z936" s="18"/>
      <c r="AA936" s="19">
        <f t="shared" si="1"/>
        <v>12</v>
      </c>
      <c r="AB936" s="218"/>
      <c r="AC936" s="218"/>
    </row>
    <row r="937" ht="15.75" customHeight="1">
      <c r="A937" s="12">
        <v>45104.0</v>
      </c>
      <c r="B937" s="14" t="s">
        <v>60</v>
      </c>
      <c r="C937" s="14" t="s">
        <v>4605</v>
      </c>
      <c r="D937" s="14" t="s">
        <v>3948</v>
      </c>
      <c r="E937" s="14"/>
      <c r="F937" s="14">
        <v>2012.0</v>
      </c>
      <c r="G937" s="14" t="s">
        <v>297</v>
      </c>
      <c r="H937" s="14"/>
      <c r="I937" s="121" t="s">
        <v>3949</v>
      </c>
      <c r="J937" s="14"/>
      <c r="K937" s="14"/>
      <c r="L937" s="14" t="s">
        <v>3950</v>
      </c>
      <c r="M937" s="27" t="s">
        <v>111</v>
      </c>
      <c r="N937" s="14" t="s">
        <v>34</v>
      </c>
      <c r="O937" s="14" t="b">
        <v>1</v>
      </c>
      <c r="P937" s="61" t="s">
        <v>3951</v>
      </c>
      <c r="Q937" s="14"/>
      <c r="R937" s="14"/>
      <c r="S937" s="14" t="s">
        <v>3952</v>
      </c>
      <c r="T937" s="43" t="s">
        <v>4197</v>
      </c>
      <c r="U937" s="17"/>
      <c r="V937" s="14"/>
      <c r="W937" s="14"/>
      <c r="X937" s="18"/>
      <c r="Y937" s="18"/>
      <c r="Z937" s="18"/>
      <c r="AA937" s="19">
        <f t="shared" si="1"/>
        <v>6</v>
      </c>
      <c r="AB937" s="19" t="str">
        <f t="shared" ref="AB937:AB938" si="7">if(V937="","", month(V937))</f>
        <v/>
      </c>
      <c r="AC937" s="19" t="s">
        <v>373</v>
      </c>
    </row>
    <row r="938" ht="15.75" customHeight="1">
      <c r="A938" s="26">
        <v>45104.0</v>
      </c>
      <c r="B938" s="27" t="s">
        <v>60</v>
      </c>
      <c r="C938" s="27" t="s">
        <v>4605</v>
      </c>
      <c r="D938" s="27" t="s">
        <v>3953</v>
      </c>
      <c r="E938" s="27"/>
      <c r="F938" s="27">
        <v>2013.0</v>
      </c>
      <c r="G938" s="27" t="s">
        <v>155</v>
      </c>
      <c r="H938" s="27"/>
      <c r="I938" s="65" t="s">
        <v>3949</v>
      </c>
      <c r="J938" s="27"/>
      <c r="K938" s="27"/>
      <c r="L938" s="27" t="s">
        <v>3954</v>
      </c>
      <c r="M938" s="27" t="s">
        <v>111</v>
      </c>
      <c r="N938" s="27" t="s">
        <v>67</v>
      </c>
      <c r="O938" s="27" t="b">
        <v>1</v>
      </c>
      <c r="P938" s="27" t="s">
        <v>3955</v>
      </c>
      <c r="Q938" s="27"/>
      <c r="R938" s="27"/>
      <c r="S938" s="27" t="s">
        <v>3956</v>
      </c>
      <c r="T938" s="27" t="s">
        <v>4606</v>
      </c>
      <c r="U938" s="26"/>
      <c r="V938" s="32">
        <v>45282.0</v>
      </c>
      <c r="W938" s="27" t="s">
        <v>4207</v>
      </c>
      <c r="X938" s="25">
        <v>6124000.0</v>
      </c>
      <c r="Y938" s="25">
        <v>600000.0</v>
      </c>
      <c r="Z938" s="25">
        <v>5524000.0</v>
      </c>
      <c r="AA938" s="123">
        <f t="shared" si="1"/>
        <v>6</v>
      </c>
      <c r="AB938" s="123">
        <f t="shared" si="7"/>
        <v>12</v>
      </c>
      <c r="AC938" s="123"/>
    </row>
    <row r="939" ht="15.75" customHeight="1">
      <c r="A939" s="12">
        <v>45273.0</v>
      </c>
      <c r="B939" s="13" t="s">
        <v>28</v>
      </c>
      <c r="C939" s="14" t="s">
        <v>3957</v>
      </c>
      <c r="D939" s="355"/>
      <c r="E939" s="14"/>
      <c r="F939" s="14"/>
      <c r="G939" s="14"/>
      <c r="H939" s="14"/>
      <c r="I939" s="351" t="s">
        <v>3958</v>
      </c>
      <c r="J939" s="14"/>
      <c r="K939" s="14"/>
      <c r="L939" s="14" t="s">
        <v>3959</v>
      </c>
      <c r="M939" s="27" t="s">
        <v>111</v>
      </c>
      <c r="N939" s="14" t="s">
        <v>216</v>
      </c>
      <c r="O939" s="14" t="b">
        <v>0</v>
      </c>
      <c r="P939" s="14"/>
      <c r="Q939" s="14"/>
      <c r="R939" s="14"/>
      <c r="S939" s="14" t="s">
        <v>3960</v>
      </c>
      <c r="T939" s="14"/>
      <c r="U939" s="17"/>
      <c r="V939" s="14"/>
      <c r="W939" s="14"/>
      <c r="X939" s="18"/>
      <c r="Y939" s="18"/>
      <c r="Z939" s="18"/>
      <c r="AA939" s="19">
        <f t="shared" si="1"/>
        <v>12</v>
      </c>
      <c r="AB939" s="218"/>
      <c r="AC939" s="218"/>
    </row>
    <row r="940" ht="15.75" customHeight="1">
      <c r="A940" s="12">
        <v>45276.0</v>
      </c>
      <c r="B940" s="13" t="s">
        <v>28</v>
      </c>
      <c r="C940" s="14" t="s">
        <v>3961</v>
      </c>
      <c r="D940" s="14"/>
      <c r="E940" s="14"/>
      <c r="F940" s="14">
        <v>2019.0</v>
      </c>
      <c r="G940" s="14"/>
      <c r="H940" s="14"/>
      <c r="I940" s="351" t="s">
        <v>3962</v>
      </c>
      <c r="J940" s="14"/>
      <c r="K940" s="14"/>
      <c r="L940" s="14" t="s">
        <v>3963</v>
      </c>
      <c r="M940" s="27" t="s">
        <v>111</v>
      </c>
      <c r="N940" s="14" t="s">
        <v>565</v>
      </c>
      <c r="O940" s="14" t="b">
        <v>0</v>
      </c>
      <c r="P940" s="14"/>
      <c r="Q940" s="14"/>
      <c r="R940" s="14"/>
      <c r="S940" s="14" t="s">
        <v>3964</v>
      </c>
      <c r="T940" s="14"/>
      <c r="U940" s="17"/>
      <c r="V940" s="14"/>
      <c r="W940" s="14"/>
      <c r="X940" s="18"/>
      <c r="Y940" s="18"/>
      <c r="Z940" s="18"/>
      <c r="AA940" s="19">
        <f t="shared" si="1"/>
        <v>12</v>
      </c>
      <c r="AB940" s="218"/>
      <c r="AC940" s="218"/>
    </row>
    <row r="941" ht="15.75" customHeight="1">
      <c r="A941" s="12">
        <v>45280.0</v>
      </c>
      <c r="B941" s="13" t="s">
        <v>28</v>
      </c>
      <c r="C941" s="14" t="s">
        <v>3965</v>
      </c>
      <c r="D941" s="14"/>
      <c r="E941" s="14"/>
      <c r="F941" s="14">
        <v>2014.0</v>
      </c>
      <c r="G941" s="14"/>
      <c r="H941" s="14"/>
      <c r="I941" s="351" t="s">
        <v>3966</v>
      </c>
      <c r="J941" s="14"/>
      <c r="K941" s="14"/>
      <c r="L941" s="14" t="s">
        <v>4607</v>
      </c>
      <c r="M941" s="27" t="s">
        <v>111</v>
      </c>
      <c r="N941" s="14" t="s">
        <v>216</v>
      </c>
      <c r="O941" s="14" t="b">
        <v>0</v>
      </c>
      <c r="P941" s="14"/>
      <c r="Q941" s="14"/>
      <c r="R941" s="14"/>
      <c r="S941" s="14" t="s">
        <v>3968</v>
      </c>
      <c r="T941" s="14" t="s">
        <v>4096</v>
      </c>
      <c r="U941" s="17"/>
      <c r="V941" s="14"/>
      <c r="W941" s="14"/>
      <c r="X941" s="18"/>
      <c r="Y941" s="18"/>
      <c r="Z941" s="18"/>
      <c r="AA941" s="19">
        <f t="shared" si="1"/>
        <v>12</v>
      </c>
      <c r="AB941" s="218"/>
      <c r="AC941" s="218" t="s">
        <v>373</v>
      </c>
    </row>
    <row r="942" ht="15.75" customHeight="1">
      <c r="A942" s="12">
        <v>45280.0</v>
      </c>
      <c r="B942" s="14" t="s">
        <v>73</v>
      </c>
      <c r="C942" s="14" t="s">
        <v>3969</v>
      </c>
      <c r="D942" s="14"/>
      <c r="E942" s="14"/>
      <c r="F942" s="14">
        <v>2013.0</v>
      </c>
      <c r="G942" s="14">
        <v>5.0</v>
      </c>
      <c r="H942" s="14"/>
      <c r="I942" s="15"/>
      <c r="J942" s="14"/>
      <c r="K942" s="14"/>
      <c r="L942" s="14" t="s">
        <v>3970</v>
      </c>
      <c r="M942" s="27" t="s">
        <v>111</v>
      </c>
      <c r="N942" s="14" t="s">
        <v>565</v>
      </c>
      <c r="O942" s="14" t="b">
        <v>0</v>
      </c>
      <c r="P942" s="14"/>
      <c r="Q942" s="14"/>
      <c r="R942" s="14"/>
      <c r="S942" s="14" t="s">
        <v>3971</v>
      </c>
      <c r="T942" s="14" t="s">
        <v>4608</v>
      </c>
      <c r="U942" s="17"/>
      <c r="V942" s="14"/>
      <c r="W942" s="14"/>
      <c r="X942" s="18"/>
      <c r="Y942" s="18"/>
      <c r="Z942" s="18"/>
      <c r="AA942" s="19">
        <f t="shared" si="1"/>
        <v>12</v>
      </c>
      <c r="AB942" s="218"/>
      <c r="AC942" s="218" t="s">
        <v>373</v>
      </c>
    </row>
    <row r="943" ht="15.75" customHeight="1">
      <c r="A943" s="12">
        <v>45285.0</v>
      </c>
      <c r="B943" s="13" t="s">
        <v>28</v>
      </c>
      <c r="C943" s="14" t="s">
        <v>3972</v>
      </c>
      <c r="D943" s="14" t="s">
        <v>3973</v>
      </c>
      <c r="E943" s="14"/>
      <c r="F943" s="14">
        <v>2014.0</v>
      </c>
      <c r="G943" s="14">
        <v>4.0</v>
      </c>
      <c r="H943" s="14"/>
      <c r="I943" s="351" t="s">
        <v>3974</v>
      </c>
      <c r="J943" s="14"/>
      <c r="K943" s="14"/>
      <c r="L943" s="14" t="s">
        <v>3975</v>
      </c>
      <c r="M943" s="27" t="s">
        <v>111</v>
      </c>
      <c r="N943" s="14" t="s">
        <v>565</v>
      </c>
      <c r="O943" s="14" t="b">
        <v>0</v>
      </c>
      <c r="P943" s="14"/>
      <c r="Q943" s="14"/>
      <c r="R943" s="14"/>
      <c r="S943" s="14" t="s">
        <v>3976</v>
      </c>
      <c r="T943" s="14" t="s">
        <v>4096</v>
      </c>
      <c r="U943" s="17">
        <v>45293.0</v>
      </c>
      <c r="V943" s="14"/>
      <c r="W943" s="14"/>
      <c r="X943" s="18"/>
      <c r="Y943" s="18"/>
      <c r="Z943" s="18"/>
      <c r="AA943" s="19">
        <f t="shared" si="1"/>
        <v>12</v>
      </c>
      <c r="AB943" s="218"/>
      <c r="AC943" s="218" t="s">
        <v>373</v>
      </c>
    </row>
    <row r="944" ht="15.75" customHeight="1">
      <c r="A944" s="12">
        <v>45286.0</v>
      </c>
      <c r="B944" s="13" t="s">
        <v>28</v>
      </c>
      <c r="C944" s="14"/>
      <c r="D944" s="14"/>
      <c r="E944" s="14"/>
      <c r="F944" s="14"/>
      <c r="G944" s="14"/>
      <c r="H944" s="14"/>
      <c r="I944" s="15" t="s">
        <v>3978</v>
      </c>
      <c r="J944" s="14"/>
      <c r="K944" s="14"/>
      <c r="L944" s="14" t="s">
        <v>3979</v>
      </c>
      <c r="M944" s="27" t="s">
        <v>111</v>
      </c>
      <c r="N944" s="14" t="s">
        <v>565</v>
      </c>
      <c r="O944" s="14" t="b">
        <v>0</v>
      </c>
      <c r="P944" s="14"/>
      <c r="Q944" s="14"/>
      <c r="R944" s="14"/>
      <c r="S944" s="14" t="s">
        <v>3980</v>
      </c>
      <c r="T944" s="14"/>
      <c r="U944" s="17"/>
      <c r="V944" s="14"/>
      <c r="W944" s="14"/>
      <c r="X944" s="18"/>
      <c r="Y944" s="18"/>
      <c r="Z944" s="18"/>
      <c r="AA944" s="19">
        <f t="shared" si="1"/>
        <v>12</v>
      </c>
      <c r="AB944" s="218"/>
      <c r="AC944" s="218"/>
    </row>
    <row r="945" ht="15.75" customHeight="1">
      <c r="A945" s="12">
        <v>45287.0</v>
      </c>
      <c r="B945" s="13" t="s">
        <v>28</v>
      </c>
      <c r="C945" s="14"/>
      <c r="D945" s="14"/>
      <c r="E945" s="14"/>
      <c r="F945" s="14"/>
      <c r="G945" s="14"/>
      <c r="H945" s="14"/>
      <c r="I945" s="15" t="s">
        <v>3982</v>
      </c>
      <c r="J945" s="14"/>
      <c r="K945" s="14"/>
      <c r="L945" s="14" t="s">
        <v>3979</v>
      </c>
      <c r="M945" s="27" t="s">
        <v>111</v>
      </c>
      <c r="N945" s="14" t="s">
        <v>216</v>
      </c>
      <c r="O945" s="14" t="b">
        <v>0</v>
      </c>
      <c r="P945" s="14"/>
      <c r="Q945" s="14"/>
      <c r="R945" s="14"/>
      <c r="S945" s="14" t="s">
        <v>3983</v>
      </c>
      <c r="T945" s="14"/>
      <c r="U945" s="17"/>
      <c r="V945" s="14"/>
      <c r="W945" s="14"/>
      <c r="X945" s="18"/>
      <c r="Y945" s="18"/>
      <c r="Z945" s="18"/>
      <c r="AA945" s="19">
        <f t="shared" si="1"/>
        <v>12</v>
      </c>
      <c r="AB945" s="218"/>
      <c r="AC945" s="218"/>
    </row>
    <row r="946" ht="15.75" customHeight="1">
      <c r="A946" s="12">
        <v>45287.0</v>
      </c>
      <c r="B946" s="13" t="s">
        <v>28</v>
      </c>
      <c r="C946" s="14"/>
      <c r="D946" s="14"/>
      <c r="E946" s="14"/>
      <c r="F946" s="14"/>
      <c r="G946" s="14"/>
      <c r="H946" s="14"/>
      <c r="I946" s="15" t="s">
        <v>3985</v>
      </c>
      <c r="J946" s="14"/>
      <c r="K946" s="14"/>
      <c r="L946" s="14" t="s">
        <v>3979</v>
      </c>
      <c r="M946" s="27" t="s">
        <v>111</v>
      </c>
      <c r="N946" s="14" t="s">
        <v>216</v>
      </c>
      <c r="O946" s="14" t="b">
        <v>0</v>
      </c>
      <c r="P946" s="14"/>
      <c r="Q946" s="14"/>
      <c r="R946" s="14"/>
      <c r="S946" s="14" t="s">
        <v>3986</v>
      </c>
      <c r="T946" s="14"/>
      <c r="U946" s="17"/>
      <c r="V946" s="14"/>
      <c r="W946" s="14"/>
      <c r="X946" s="18"/>
      <c r="Y946" s="18"/>
      <c r="Z946" s="18"/>
      <c r="AA946" s="19">
        <f t="shared" si="1"/>
        <v>12</v>
      </c>
      <c r="AB946" s="218"/>
      <c r="AC946" s="218"/>
    </row>
    <row r="947" ht="15.75" customHeight="1">
      <c r="A947" s="12">
        <v>45288.0</v>
      </c>
      <c r="B947" s="13" t="s">
        <v>28</v>
      </c>
      <c r="C947" s="14" t="s">
        <v>3987</v>
      </c>
      <c r="D947" s="14" t="s">
        <v>3987</v>
      </c>
      <c r="E947" s="14"/>
      <c r="F947" s="14">
        <v>2007.0</v>
      </c>
      <c r="G947" s="14">
        <v>11.0</v>
      </c>
      <c r="H947" s="14"/>
      <c r="I947" s="351" t="s">
        <v>3988</v>
      </c>
      <c r="J947" s="14"/>
      <c r="K947" s="14"/>
      <c r="L947" s="14" t="s">
        <v>3989</v>
      </c>
      <c r="M947" s="27" t="s">
        <v>111</v>
      </c>
      <c r="N947" s="14" t="s">
        <v>565</v>
      </c>
      <c r="O947" s="14" t="b">
        <v>0</v>
      </c>
      <c r="P947" s="14"/>
      <c r="Q947" s="14"/>
      <c r="R947" s="14"/>
      <c r="S947" s="14" t="s">
        <v>3990</v>
      </c>
      <c r="T947" s="14"/>
      <c r="U947" s="17"/>
      <c r="V947" s="14"/>
      <c r="W947" s="14"/>
      <c r="X947" s="18"/>
      <c r="Y947" s="18"/>
      <c r="Z947" s="18"/>
      <c r="AA947" s="19">
        <f t="shared" si="1"/>
        <v>12</v>
      </c>
      <c r="AB947" s="218"/>
      <c r="AC947" s="218"/>
    </row>
    <row r="948" ht="15.75" customHeight="1">
      <c r="A948" s="12">
        <v>45288.0</v>
      </c>
      <c r="B948" s="24" t="s">
        <v>28</v>
      </c>
      <c r="C948" s="14" t="s">
        <v>3991</v>
      </c>
      <c r="D948" s="14"/>
      <c r="E948" s="14"/>
      <c r="F948" s="14"/>
      <c r="G948" s="14"/>
      <c r="H948" s="14"/>
      <c r="I948" s="351" t="s">
        <v>3992</v>
      </c>
      <c r="J948" s="14"/>
      <c r="K948" s="14"/>
      <c r="L948" s="14" t="s">
        <v>3993</v>
      </c>
      <c r="M948" s="27" t="s">
        <v>111</v>
      </c>
      <c r="N948" s="14" t="s">
        <v>565</v>
      </c>
      <c r="O948" s="14" t="b">
        <v>0</v>
      </c>
      <c r="P948" s="14"/>
      <c r="Q948" s="14"/>
      <c r="R948" s="14"/>
      <c r="S948" s="14" t="s">
        <v>3994</v>
      </c>
      <c r="T948" s="14" t="s">
        <v>4197</v>
      </c>
      <c r="U948" s="17"/>
      <c r="V948" s="14"/>
      <c r="W948" s="14"/>
      <c r="X948" s="18"/>
      <c r="Y948" s="18"/>
      <c r="Z948" s="18"/>
      <c r="AA948" s="19">
        <f t="shared" si="1"/>
        <v>12</v>
      </c>
      <c r="AB948" s="218"/>
      <c r="AC948" s="218"/>
    </row>
    <row r="949" ht="15.75" customHeight="1">
      <c r="A949" s="12">
        <v>45288.0</v>
      </c>
      <c r="B949" s="13" t="s">
        <v>28</v>
      </c>
      <c r="C949" s="14" t="s">
        <v>3995</v>
      </c>
      <c r="D949" s="14" t="s">
        <v>3996</v>
      </c>
      <c r="E949" s="14"/>
      <c r="F949" s="14">
        <v>2015.0</v>
      </c>
      <c r="G949" s="14">
        <v>3.0</v>
      </c>
      <c r="H949" s="14" t="s">
        <v>64</v>
      </c>
      <c r="I949" s="356" t="s">
        <v>688</v>
      </c>
      <c r="J949" s="14"/>
      <c r="K949" s="14"/>
      <c r="L949" s="14"/>
      <c r="M949" s="27" t="s">
        <v>111</v>
      </c>
      <c r="N949" s="14" t="s">
        <v>565</v>
      </c>
      <c r="O949" s="14" t="b">
        <v>0</v>
      </c>
      <c r="P949" s="14"/>
      <c r="Q949" s="14"/>
      <c r="R949" s="14"/>
      <c r="S949" s="14" t="s">
        <v>3997</v>
      </c>
      <c r="T949" s="14" t="s">
        <v>4609</v>
      </c>
      <c r="U949" s="17">
        <v>45294.0</v>
      </c>
      <c r="V949" s="14"/>
      <c r="W949" s="14"/>
      <c r="X949" s="18"/>
      <c r="Y949" s="18"/>
      <c r="Z949" s="18"/>
      <c r="AA949" s="19">
        <f t="shared" si="1"/>
        <v>12</v>
      </c>
      <c r="AB949" s="218"/>
      <c r="AC949" s="218"/>
    </row>
    <row r="950" ht="15.75" customHeight="1">
      <c r="A950" s="12">
        <v>45288.0</v>
      </c>
      <c r="B950" s="13" t="s">
        <v>28</v>
      </c>
      <c r="C950" s="14" t="s">
        <v>3998</v>
      </c>
      <c r="D950" s="14"/>
      <c r="E950" s="14"/>
      <c r="F950" s="14"/>
      <c r="G950" s="14"/>
      <c r="H950" s="14"/>
      <c r="I950" s="15" t="s">
        <v>3999</v>
      </c>
      <c r="J950" s="14"/>
      <c r="K950" s="14"/>
      <c r="L950" s="14" t="s">
        <v>2233</v>
      </c>
      <c r="M950" s="27" t="s">
        <v>111</v>
      </c>
      <c r="N950" s="14" t="s">
        <v>216</v>
      </c>
      <c r="O950" s="14" t="b">
        <v>0</v>
      </c>
      <c r="P950" s="14"/>
      <c r="Q950" s="14"/>
      <c r="R950" s="14"/>
      <c r="S950" s="14" t="s">
        <v>4000</v>
      </c>
      <c r="T950" s="14" t="s">
        <v>4096</v>
      </c>
      <c r="U950" s="17"/>
      <c r="V950" s="14"/>
      <c r="W950" s="14"/>
      <c r="X950" s="18"/>
      <c r="Y950" s="18"/>
      <c r="Z950" s="18"/>
      <c r="AA950" s="19">
        <f t="shared" si="1"/>
        <v>12</v>
      </c>
      <c r="AB950" s="218"/>
      <c r="AC950" s="218"/>
    </row>
    <row r="951" ht="15.75" customHeight="1">
      <c r="A951" s="12">
        <v>45288.0</v>
      </c>
      <c r="B951" s="13" t="s">
        <v>28</v>
      </c>
      <c r="C951" s="14" t="s">
        <v>4001</v>
      </c>
      <c r="D951" s="14"/>
      <c r="E951" s="14"/>
      <c r="F951" s="14"/>
      <c r="G951" s="14"/>
      <c r="H951" s="14"/>
      <c r="I951" s="15" t="s">
        <v>4002</v>
      </c>
      <c r="J951" s="14"/>
      <c r="K951" s="14"/>
      <c r="L951" s="14" t="s">
        <v>2233</v>
      </c>
      <c r="M951" s="27" t="s">
        <v>111</v>
      </c>
      <c r="N951" s="14" t="s">
        <v>216</v>
      </c>
      <c r="O951" s="14" t="b">
        <v>0</v>
      </c>
      <c r="P951" s="14"/>
      <c r="Q951" s="14"/>
      <c r="R951" s="14"/>
      <c r="S951" s="14" t="s">
        <v>4003</v>
      </c>
      <c r="T951" s="14" t="s">
        <v>4096</v>
      </c>
      <c r="U951" s="17"/>
      <c r="V951" s="14"/>
      <c r="W951" s="14"/>
      <c r="X951" s="18"/>
      <c r="Y951" s="18"/>
      <c r="Z951" s="18"/>
      <c r="AA951" s="19">
        <f t="shared" si="1"/>
        <v>12</v>
      </c>
      <c r="AB951" s="218"/>
      <c r="AC951" s="218"/>
    </row>
    <row r="952" ht="15.75" customHeight="1">
      <c r="A952" s="12">
        <v>45288.0</v>
      </c>
      <c r="B952" s="13" t="s">
        <v>28</v>
      </c>
      <c r="C952" s="14" t="s">
        <v>4004</v>
      </c>
      <c r="D952" s="14"/>
      <c r="E952" s="14"/>
      <c r="F952" s="14"/>
      <c r="G952" s="14"/>
      <c r="H952" s="14"/>
      <c r="I952" s="15" t="s">
        <v>4005</v>
      </c>
      <c r="J952" s="14"/>
      <c r="K952" s="14"/>
      <c r="L952" s="14" t="s">
        <v>2233</v>
      </c>
      <c r="M952" s="27" t="s">
        <v>111</v>
      </c>
      <c r="N952" s="14" t="s">
        <v>34</v>
      </c>
      <c r="O952" s="14" t="b">
        <v>0</v>
      </c>
      <c r="P952" s="14"/>
      <c r="Q952" s="14"/>
      <c r="R952" s="14"/>
      <c r="S952" s="14" t="s">
        <v>4006</v>
      </c>
      <c r="T952" s="14" t="s">
        <v>4069</v>
      </c>
      <c r="U952" s="17"/>
      <c r="V952" s="14"/>
      <c r="W952" s="14"/>
      <c r="X952" s="18"/>
      <c r="Y952" s="18"/>
      <c r="Z952" s="18"/>
      <c r="AA952" s="19">
        <f t="shared" si="1"/>
        <v>12</v>
      </c>
      <c r="AB952" s="218"/>
      <c r="AC952" s="218"/>
    </row>
    <row r="953" ht="15.75" customHeight="1">
      <c r="A953" s="12">
        <v>45288.0</v>
      </c>
      <c r="B953" s="13" t="s">
        <v>28</v>
      </c>
      <c r="C953" s="14" t="s">
        <v>4007</v>
      </c>
      <c r="D953" s="14"/>
      <c r="E953" s="14"/>
      <c r="F953" s="14"/>
      <c r="G953" s="14"/>
      <c r="H953" s="14"/>
      <c r="I953" s="15" t="s">
        <v>4008</v>
      </c>
      <c r="J953" s="14"/>
      <c r="K953" s="14"/>
      <c r="L953" s="14" t="s">
        <v>2233</v>
      </c>
      <c r="M953" s="27" t="s">
        <v>111</v>
      </c>
      <c r="N953" s="14" t="s">
        <v>216</v>
      </c>
      <c r="O953" s="14" t="b">
        <v>0</v>
      </c>
      <c r="P953" s="14"/>
      <c r="Q953" s="14"/>
      <c r="R953" s="14"/>
      <c r="S953" s="14" t="s">
        <v>4003</v>
      </c>
      <c r="T953" s="14" t="s">
        <v>4096</v>
      </c>
      <c r="U953" s="17"/>
      <c r="V953" s="14"/>
      <c r="W953" s="14"/>
      <c r="X953" s="18"/>
      <c r="Y953" s="18"/>
      <c r="Z953" s="18"/>
      <c r="AA953" s="19">
        <f t="shared" si="1"/>
        <v>12</v>
      </c>
      <c r="AB953" s="218"/>
      <c r="AC953" s="218"/>
    </row>
    <row r="954" ht="15.75" customHeight="1">
      <c r="A954" s="12">
        <v>45289.0</v>
      </c>
      <c r="B954" s="13" t="s">
        <v>28</v>
      </c>
      <c r="C954" s="14" t="s">
        <v>4009</v>
      </c>
      <c r="D954" s="14"/>
      <c r="E954" s="14"/>
      <c r="F954" s="14"/>
      <c r="G954" s="14"/>
      <c r="H954" s="14"/>
      <c r="I954" s="15" t="s">
        <v>4010</v>
      </c>
      <c r="J954" s="14"/>
      <c r="K954" s="14"/>
      <c r="L954" s="14" t="s">
        <v>2233</v>
      </c>
      <c r="M954" s="27" t="s">
        <v>111</v>
      </c>
      <c r="N954" s="14" t="s">
        <v>216</v>
      </c>
      <c r="O954" s="14" t="b">
        <v>0</v>
      </c>
      <c r="P954" s="14"/>
      <c r="Q954" s="14"/>
      <c r="R954" s="14"/>
      <c r="S954" s="14" t="s">
        <v>4003</v>
      </c>
      <c r="T954" s="14" t="s">
        <v>4096</v>
      </c>
      <c r="U954" s="17"/>
      <c r="V954" s="14"/>
      <c r="W954" s="14"/>
      <c r="X954" s="18"/>
      <c r="Y954" s="18"/>
      <c r="Z954" s="18"/>
      <c r="AA954" s="19">
        <f t="shared" si="1"/>
        <v>12</v>
      </c>
      <c r="AB954" s="218"/>
      <c r="AC954" s="218"/>
    </row>
    <row r="955" ht="15.75" customHeight="1">
      <c r="A955" s="12">
        <v>45289.0</v>
      </c>
      <c r="B955" s="13" t="s">
        <v>28</v>
      </c>
      <c r="C955" s="14" t="s">
        <v>4011</v>
      </c>
      <c r="D955" s="14"/>
      <c r="E955" s="14"/>
      <c r="F955" s="14"/>
      <c r="G955" s="14"/>
      <c r="H955" s="14"/>
      <c r="I955" s="222" t="s">
        <v>4012</v>
      </c>
      <c r="J955" s="14"/>
      <c r="K955" s="14"/>
      <c r="L955" s="14" t="s">
        <v>2233</v>
      </c>
      <c r="M955" s="27" t="s">
        <v>111</v>
      </c>
      <c r="N955" s="14"/>
      <c r="O955" s="14" t="b">
        <v>0</v>
      </c>
      <c r="P955" s="14"/>
      <c r="Q955" s="14"/>
      <c r="R955" s="14"/>
      <c r="S955" s="14"/>
      <c r="T955" s="14"/>
      <c r="U955" s="17"/>
      <c r="V955" s="14"/>
      <c r="W955" s="14"/>
      <c r="X955" s="18"/>
      <c r="Y955" s="18"/>
      <c r="Z955" s="18"/>
      <c r="AA955" s="19"/>
      <c r="AB955" s="218"/>
      <c r="AC955" s="218"/>
    </row>
    <row r="956" ht="15.75" customHeight="1">
      <c r="A956" s="12">
        <v>45289.0</v>
      </c>
      <c r="B956" s="13" t="s">
        <v>28</v>
      </c>
      <c r="C956" s="14" t="s">
        <v>4013</v>
      </c>
      <c r="D956" s="14"/>
      <c r="E956" s="14"/>
      <c r="F956" s="14"/>
      <c r="G956" s="14"/>
      <c r="H956" s="14"/>
      <c r="I956" s="222" t="s">
        <v>4014</v>
      </c>
      <c r="J956" s="14"/>
      <c r="K956" s="14"/>
      <c r="L956" s="14" t="s">
        <v>2233</v>
      </c>
      <c r="M956" s="27" t="s">
        <v>111</v>
      </c>
      <c r="N956" s="14"/>
      <c r="O956" s="14" t="b">
        <v>0</v>
      </c>
      <c r="P956" s="14"/>
      <c r="Q956" s="14"/>
      <c r="R956" s="14"/>
      <c r="S956" s="14"/>
      <c r="T956" s="14"/>
      <c r="U956" s="17"/>
      <c r="V956" s="14"/>
      <c r="W956" s="14"/>
      <c r="X956" s="18"/>
      <c r="Y956" s="18"/>
      <c r="Z956" s="18"/>
      <c r="AA956" s="19"/>
      <c r="AB956" s="218"/>
      <c r="AC956" s="218"/>
    </row>
    <row r="957" ht="15.75" customHeight="1">
      <c r="A957" s="12">
        <v>45289.0</v>
      </c>
      <c r="B957" s="13" t="s">
        <v>28</v>
      </c>
      <c r="C957" s="14" t="s">
        <v>4015</v>
      </c>
      <c r="D957" s="14"/>
      <c r="E957" s="14"/>
      <c r="F957" s="14"/>
      <c r="G957" s="14"/>
      <c r="H957" s="14"/>
      <c r="I957" s="222" t="s">
        <v>4016</v>
      </c>
      <c r="J957" s="14"/>
      <c r="K957" s="14"/>
      <c r="L957" s="14" t="s">
        <v>2233</v>
      </c>
      <c r="M957" s="27" t="s">
        <v>111</v>
      </c>
      <c r="N957" s="14"/>
      <c r="O957" s="14" t="b">
        <v>0</v>
      </c>
      <c r="P957" s="14"/>
      <c r="Q957" s="14"/>
      <c r="R957" s="14"/>
      <c r="S957" s="14"/>
      <c r="T957" s="14"/>
      <c r="U957" s="17"/>
      <c r="V957" s="14"/>
      <c r="W957" s="14"/>
      <c r="X957" s="18"/>
      <c r="Y957" s="18"/>
      <c r="Z957" s="18"/>
      <c r="AA957" s="19"/>
      <c r="AB957" s="218"/>
      <c r="AC957" s="218"/>
    </row>
    <row r="958" ht="15.75" customHeight="1">
      <c r="A958" s="12">
        <v>45289.0</v>
      </c>
      <c r="B958" s="13" t="s">
        <v>28</v>
      </c>
      <c r="C958" s="14" t="s">
        <v>4017</v>
      </c>
      <c r="D958" s="14"/>
      <c r="E958" s="14"/>
      <c r="F958" s="14"/>
      <c r="G958" s="14"/>
      <c r="H958" s="14"/>
      <c r="I958" s="222" t="s">
        <v>4018</v>
      </c>
      <c r="J958" s="14"/>
      <c r="K958" s="14"/>
      <c r="L958" s="14" t="s">
        <v>2233</v>
      </c>
      <c r="M958" s="27" t="s">
        <v>111</v>
      </c>
      <c r="N958" s="14"/>
      <c r="O958" s="14" t="b">
        <v>0</v>
      </c>
      <c r="P958" s="14"/>
      <c r="Q958" s="14"/>
      <c r="R958" s="14"/>
      <c r="S958" s="14"/>
      <c r="T958" s="14"/>
      <c r="U958" s="17"/>
      <c r="V958" s="14"/>
      <c r="W958" s="14"/>
      <c r="X958" s="18"/>
      <c r="Y958" s="18"/>
      <c r="Z958" s="18"/>
      <c r="AA958" s="19"/>
      <c r="AB958" s="218"/>
      <c r="AC958" s="218"/>
    </row>
    <row r="959" ht="15.75" customHeight="1">
      <c r="A959" s="12">
        <v>45289.0</v>
      </c>
      <c r="B959" s="13" t="s">
        <v>28</v>
      </c>
      <c r="C959" s="14" t="s">
        <v>4019</v>
      </c>
      <c r="D959" s="14"/>
      <c r="E959" s="14"/>
      <c r="F959" s="14"/>
      <c r="G959" s="14"/>
      <c r="H959" s="14"/>
      <c r="I959" s="222" t="s">
        <v>4020</v>
      </c>
      <c r="J959" s="14"/>
      <c r="K959" s="14"/>
      <c r="L959" s="14" t="s">
        <v>2233</v>
      </c>
      <c r="M959" s="27" t="s">
        <v>111</v>
      </c>
      <c r="N959" s="14"/>
      <c r="O959" s="14" t="b">
        <v>0</v>
      </c>
      <c r="P959" s="14"/>
      <c r="Q959" s="14"/>
      <c r="R959" s="14"/>
      <c r="S959" s="14"/>
      <c r="T959" s="14"/>
      <c r="U959" s="17"/>
      <c r="V959" s="14"/>
      <c r="W959" s="14"/>
      <c r="X959" s="18"/>
      <c r="Y959" s="18"/>
      <c r="Z959" s="18"/>
      <c r="AA959" s="19"/>
      <c r="AB959" s="218"/>
      <c r="AC959" s="218"/>
    </row>
    <row r="960" ht="15.75" customHeight="1">
      <c r="A960" s="12">
        <v>45289.0</v>
      </c>
      <c r="B960" s="13" t="s">
        <v>28</v>
      </c>
      <c r="C960" s="14" t="s">
        <v>4021</v>
      </c>
      <c r="D960" s="14"/>
      <c r="E960" s="14"/>
      <c r="F960" s="14"/>
      <c r="G960" s="14"/>
      <c r="H960" s="14"/>
      <c r="I960" s="222" t="s">
        <v>4022</v>
      </c>
      <c r="J960" s="14"/>
      <c r="K960" s="14"/>
      <c r="L960" s="14" t="s">
        <v>2233</v>
      </c>
      <c r="M960" s="27" t="s">
        <v>111</v>
      </c>
      <c r="N960" s="14"/>
      <c r="O960" s="14" t="b">
        <v>0</v>
      </c>
      <c r="P960" s="14"/>
      <c r="Q960" s="14"/>
      <c r="R960" s="14"/>
      <c r="S960" s="14"/>
      <c r="T960" s="14"/>
      <c r="U960" s="17"/>
      <c r="V960" s="14"/>
      <c r="W960" s="14"/>
      <c r="X960" s="18"/>
      <c r="Y960" s="18"/>
      <c r="Z960" s="18"/>
      <c r="AA960" s="19"/>
      <c r="AB960" s="218"/>
      <c r="AC960" s="218"/>
    </row>
    <row r="961" ht="15.75" customHeight="1">
      <c r="A961" s="12">
        <v>45289.0</v>
      </c>
      <c r="B961" s="13" t="s">
        <v>28</v>
      </c>
      <c r="C961" s="14" t="s">
        <v>4023</v>
      </c>
      <c r="D961" s="14"/>
      <c r="E961" s="14"/>
      <c r="F961" s="14"/>
      <c r="G961" s="14"/>
      <c r="H961" s="14"/>
      <c r="I961" s="351" t="s">
        <v>4024</v>
      </c>
      <c r="J961" s="14"/>
      <c r="K961" s="14"/>
      <c r="L961" s="14" t="s">
        <v>2233</v>
      </c>
      <c r="M961" s="27" t="s">
        <v>111</v>
      </c>
      <c r="N961" s="14"/>
      <c r="O961" s="14" t="b">
        <v>0</v>
      </c>
      <c r="P961" s="14"/>
      <c r="Q961" s="14"/>
      <c r="R961" s="14"/>
      <c r="S961" s="14"/>
      <c r="T961" s="14"/>
      <c r="U961" s="17"/>
      <c r="V961" s="14"/>
      <c r="W961" s="14"/>
      <c r="X961" s="18"/>
      <c r="Y961" s="18"/>
      <c r="Z961" s="18"/>
      <c r="AA961" s="19"/>
      <c r="AB961" s="218"/>
      <c r="AC961" s="218"/>
    </row>
    <row r="962" ht="15.75" customHeight="1">
      <c r="A962" s="12">
        <v>44928.0</v>
      </c>
      <c r="B962" s="13" t="s">
        <v>28</v>
      </c>
      <c r="C962" s="14" t="s">
        <v>4025</v>
      </c>
      <c r="D962" s="14" t="s">
        <v>4026</v>
      </c>
      <c r="E962" s="14"/>
      <c r="F962" s="14">
        <v>2014.0</v>
      </c>
      <c r="G962" s="14">
        <v>4.0</v>
      </c>
      <c r="H962" s="14"/>
      <c r="I962" s="351" t="s">
        <v>4027</v>
      </c>
      <c r="J962" s="14"/>
      <c r="K962" s="14"/>
      <c r="L962" s="14" t="s">
        <v>4610</v>
      </c>
      <c r="M962" s="27" t="s">
        <v>111</v>
      </c>
      <c r="N962" s="14" t="s">
        <v>565</v>
      </c>
      <c r="O962" s="14" t="b">
        <v>0</v>
      </c>
      <c r="P962" s="14"/>
      <c r="Q962" s="14"/>
      <c r="R962" s="14"/>
      <c r="S962" s="14" t="s">
        <v>4029</v>
      </c>
      <c r="T962" s="14"/>
      <c r="U962" s="17"/>
      <c r="V962" s="14"/>
      <c r="W962" s="14"/>
      <c r="X962" s="18"/>
      <c r="Y962" s="18"/>
      <c r="Z962" s="18"/>
      <c r="AA962" s="19" t="str">
        <f t="shared" ref="AA962:AA979" si="8">if(or(month(A962)&lt;5,A962=""),"", month(A962))</f>
        <v/>
      </c>
      <c r="AB962" s="218"/>
      <c r="AC962" s="218"/>
    </row>
    <row r="963" ht="15.75" customHeight="1">
      <c r="A963" s="12"/>
      <c r="B963" s="14"/>
      <c r="C963" s="14"/>
      <c r="D963" s="14"/>
      <c r="E963" s="14"/>
      <c r="F963" s="14"/>
      <c r="G963" s="14"/>
      <c r="H963" s="14"/>
      <c r="I963" s="15"/>
      <c r="J963" s="14"/>
      <c r="K963" s="14"/>
      <c r="L963" s="14"/>
      <c r="M963" s="14"/>
      <c r="N963" s="14"/>
      <c r="O963" s="14" t="b">
        <v>0</v>
      </c>
      <c r="P963" s="14"/>
      <c r="Q963" s="14"/>
      <c r="R963" s="14"/>
      <c r="S963" s="14"/>
      <c r="T963" s="14"/>
      <c r="U963" s="17"/>
      <c r="V963" s="14"/>
      <c r="W963" s="14"/>
      <c r="X963" s="18"/>
      <c r="Y963" s="18"/>
      <c r="Z963" s="18"/>
      <c r="AA963" s="19" t="str">
        <f t="shared" si="8"/>
        <v/>
      </c>
      <c r="AB963" s="218"/>
      <c r="AC963" s="218"/>
    </row>
    <row r="964" ht="15.75" customHeight="1">
      <c r="A964" s="12"/>
      <c r="B964" s="14"/>
      <c r="C964" s="14"/>
      <c r="D964" s="14"/>
      <c r="E964" s="14"/>
      <c r="F964" s="14"/>
      <c r="G964" s="14"/>
      <c r="H964" s="14"/>
      <c r="I964" s="15"/>
      <c r="J964" s="14"/>
      <c r="K964" s="14"/>
      <c r="L964" s="14"/>
      <c r="M964" s="14"/>
      <c r="N964" s="14"/>
      <c r="O964" s="14" t="b">
        <v>0</v>
      </c>
      <c r="P964" s="14"/>
      <c r="Q964" s="14"/>
      <c r="R964" s="14"/>
      <c r="S964" s="14"/>
      <c r="T964" s="14"/>
      <c r="U964" s="17"/>
      <c r="V964" s="14"/>
      <c r="W964" s="14"/>
      <c r="X964" s="18"/>
      <c r="Y964" s="18"/>
      <c r="Z964" s="18"/>
      <c r="AA964" s="19" t="str">
        <f t="shared" si="8"/>
        <v/>
      </c>
      <c r="AB964" s="218"/>
      <c r="AC964" s="218"/>
    </row>
    <row r="965" ht="15.75" customHeight="1">
      <c r="A965" s="12"/>
      <c r="B965" s="14"/>
      <c r="C965" s="14"/>
      <c r="D965" s="14"/>
      <c r="E965" s="14"/>
      <c r="F965" s="14"/>
      <c r="G965" s="14"/>
      <c r="H965" s="14"/>
      <c r="I965" s="15"/>
      <c r="J965" s="14"/>
      <c r="K965" s="14"/>
      <c r="L965" s="14"/>
      <c r="M965" s="14"/>
      <c r="N965" s="14"/>
      <c r="O965" s="14" t="b">
        <v>0</v>
      </c>
      <c r="P965" s="14"/>
      <c r="Q965" s="14"/>
      <c r="R965" s="14"/>
      <c r="S965" s="14"/>
      <c r="T965" s="14"/>
      <c r="U965" s="17"/>
      <c r="V965" s="14"/>
      <c r="W965" s="14"/>
      <c r="X965" s="18"/>
      <c r="Y965" s="18"/>
      <c r="Z965" s="18"/>
      <c r="AA965" s="19" t="str">
        <f t="shared" si="8"/>
        <v/>
      </c>
      <c r="AB965" s="218"/>
      <c r="AC965" s="218"/>
    </row>
    <row r="966" ht="15.75" customHeight="1">
      <c r="A966" s="12"/>
      <c r="B966" s="14"/>
      <c r="C966" s="14"/>
      <c r="D966" s="14"/>
      <c r="E966" s="14"/>
      <c r="F966" s="14"/>
      <c r="G966" s="14"/>
      <c r="H966" s="14"/>
      <c r="I966" s="15"/>
      <c r="J966" s="14"/>
      <c r="K966" s="14"/>
      <c r="L966" s="14"/>
      <c r="M966" s="14"/>
      <c r="N966" s="14"/>
      <c r="O966" s="14" t="b">
        <v>0</v>
      </c>
      <c r="P966" s="14"/>
      <c r="Q966" s="14"/>
      <c r="R966" s="14"/>
      <c r="S966" s="14"/>
      <c r="T966" s="14"/>
      <c r="U966" s="17"/>
      <c r="V966" s="14"/>
      <c r="W966" s="14"/>
      <c r="X966" s="18"/>
      <c r="Y966" s="18"/>
      <c r="Z966" s="18"/>
      <c r="AA966" s="19" t="str">
        <f t="shared" si="8"/>
        <v/>
      </c>
      <c r="AB966" s="218"/>
      <c r="AC966" s="218"/>
    </row>
    <row r="967" ht="15.75" customHeight="1">
      <c r="A967" s="12"/>
      <c r="B967" s="14"/>
      <c r="C967" s="14"/>
      <c r="D967" s="14"/>
      <c r="E967" s="14"/>
      <c r="F967" s="14"/>
      <c r="G967" s="14"/>
      <c r="H967" s="14"/>
      <c r="I967" s="15"/>
      <c r="J967" s="223"/>
      <c r="K967" s="14"/>
      <c r="L967" s="14"/>
      <c r="M967" s="14"/>
      <c r="N967" s="14"/>
      <c r="O967" s="14"/>
      <c r="P967" s="14"/>
      <c r="Q967" s="14"/>
      <c r="R967" s="14"/>
      <c r="S967" s="14"/>
      <c r="T967" s="14"/>
      <c r="U967" s="17"/>
      <c r="V967" s="14"/>
      <c r="W967" s="14"/>
      <c r="X967" s="18"/>
      <c r="Y967" s="18"/>
      <c r="Z967" s="18"/>
      <c r="AA967" s="19" t="str">
        <f t="shared" si="8"/>
        <v/>
      </c>
      <c r="AB967" s="218"/>
      <c r="AC967" s="218"/>
    </row>
    <row r="968" ht="15.75" customHeight="1">
      <c r="A968" s="12"/>
      <c r="B968" s="14"/>
      <c r="C968" s="14"/>
      <c r="D968" s="14"/>
      <c r="E968" s="14"/>
      <c r="F968" s="14"/>
      <c r="G968" s="14"/>
      <c r="H968" s="14"/>
      <c r="I968" s="15"/>
      <c r="J968" s="223"/>
      <c r="K968" s="14"/>
      <c r="L968" s="14"/>
      <c r="M968" s="14"/>
      <c r="N968" s="14"/>
      <c r="O968" s="14"/>
      <c r="P968" s="14"/>
      <c r="Q968" s="14"/>
      <c r="R968" s="14"/>
      <c r="S968" s="14"/>
      <c r="T968" s="14"/>
      <c r="U968" s="17"/>
      <c r="V968" s="14"/>
      <c r="W968" s="14"/>
      <c r="X968" s="18"/>
      <c r="Y968" s="18"/>
      <c r="Z968" s="18"/>
      <c r="AA968" s="19" t="str">
        <f t="shared" si="8"/>
        <v/>
      </c>
      <c r="AB968" s="218"/>
      <c r="AC968" s="218"/>
    </row>
    <row r="969" ht="15.75" customHeight="1">
      <c r="A969" s="12"/>
      <c r="B969" s="14"/>
      <c r="C969" s="14"/>
      <c r="D969" s="14"/>
      <c r="E969" s="14"/>
      <c r="F969" s="14"/>
      <c r="G969" s="14"/>
      <c r="H969" s="14"/>
      <c r="I969" s="15"/>
      <c r="J969" s="223"/>
      <c r="K969" s="14"/>
      <c r="L969" s="14"/>
      <c r="M969" s="14"/>
      <c r="N969" s="14"/>
      <c r="O969" s="14"/>
      <c r="P969" s="14"/>
      <c r="Q969" s="14"/>
      <c r="R969" s="14"/>
      <c r="S969" s="14"/>
      <c r="T969" s="14"/>
      <c r="U969" s="17"/>
      <c r="V969" s="14"/>
      <c r="W969" s="14"/>
      <c r="X969" s="18"/>
      <c r="Y969" s="18"/>
      <c r="Z969" s="18"/>
      <c r="AA969" s="19" t="str">
        <f t="shared" si="8"/>
        <v/>
      </c>
      <c r="AB969" s="218"/>
      <c r="AC969" s="218"/>
    </row>
    <row r="970" ht="15.75" customHeight="1">
      <c r="A970" s="12"/>
      <c r="B970" s="14"/>
      <c r="C970" s="14"/>
      <c r="D970" s="14"/>
      <c r="E970" s="14"/>
      <c r="F970" s="14"/>
      <c r="G970" s="14"/>
      <c r="H970" s="14"/>
      <c r="I970" s="15"/>
      <c r="J970" s="223"/>
      <c r="K970" s="14"/>
      <c r="L970" s="14"/>
      <c r="M970" s="14"/>
      <c r="N970" s="14"/>
      <c r="O970" s="14"/>
      <c r="P970" s="14"/>
      <c r="Q970" s="14"/>
      <c r="R970" s="14"/>
      <c r="S970" s="14"/>
      <c r="T970" s="14"/>
      <c r="U970" s="17"/>
      <c r="V970" s="14"/>
      <c r="W970" s="14"/>
      <c r="X970" s="18"/>
      <c r="Y970" s="18"/>
      <c r="Z970" s="18"/>
      <c r="AA970" s="19" t="str">
        <f t="shared" si="8"/>
        <v/>
      </c>
      <c r="AB970" s="218"/>
      <c r="AC970" s="218"/>
    </row>
    <row r="971" ht="15.75" customHeight="1">
      <c r="A971" s="12"/>
      <c r="B971" s="14"/>
      <c r="C971" s="14"/>
      <c r="D971" s="14"/>
      <c r="E971" s="14"/>
      <c r="F971" s="14"/>
      <c r="G971" s="14"/>
      <c r="H971" s="14"/>
      <c r="I971" s="15"/>
      <c r="J971" s="223"/>
      <c r="K971" s="14"/>
      <c r="L971" s="14"/>
      <c r="M971" s="14"/>
      <c r="N971" s="14"/>
      <c r="O971" s="14"/>
      <c r="P971" s="14"/>
      <c r="Q971" s="14"/>
      <c r="R971" s="14"/>
      <c r="S971" s="14"/>
      <c r="T971" s="14"/>
      <c r="U971" s="17"/>
      <c r="V971" s="14"/>
      <c r="W971" s="14"/>
      <c r="X971" s="18"/>
      <c r="Y971" s="18"/>
      <c r="Z971" s="18"/>
      <c r="AA971" s="19" t="str">
        <f t="shared" si="8"/>
        <v/>
      </c>
      <c r="AB971" s="218"/>
      <c r="AC971" s="218"/>
    </row>
    <row r="972" ht="15.75" customHeight="1">
      <c r="A972" s="12"/>
      <c r="B972" s="14"/>
      <c r="C972" s="14"/>
      <c r="D972" s="14"/>
      <c r="E972" s="14"/>
      <c r="F972" s="14"/>
      <c r="G972" s="14"/>
      <c r="H972" s="14"/>
      <c r="I972" s="15"/>
      <c r="J972" s="223"/>
      <c r="K972" s="14"/>
      <c r="L972" s="14"/>
      <c r="M972" s="14"/>
      <c r="N972" s="14"/>
      <c r="O972" s="14"/>
      <c r="P972" s="14"/>
      <c r="Q972" s="14"/>
      <c r="R972" s="14"/>
      <c r="S972" s="14"/>
      <c r="T972" s="14"/>
      <c r="U972" s="17"/>
      <c r="V972" s="14"/>
      <c r="W972" s="14"/>
      <c r="X972" s="18"/>
      <c r="Y972" s="18"/>
      <c r="Z972" s="18"/>
      <c r="AA972" s="19" t="str">
        <f t="shared" si="8"/>
        <v/>
      </c>
      <c r="AB972" s="218"/>
      <c r="AC972" s="218"/>
    </row>
    <row r="973" ht="15.75" customHeight="1">
      <c r="A973" s="12"/>
      <c r="B973" s="14"/>
      <c r="C973" s="14"/>
      <c r="D973" s="14"/>
      <c r="E973" s="14"/>
      <c r="F973" s="14"/>
      <c r="G973" s="14"/>
      <c r="H973" s="14"/>
      <c r="I973" s="15"/>
      <c r="J973" s="223"/>
      <c r="K973" s="14"/>
      <c r="L973" s="14"/>
      <c r="M973" s="14"/>
      <c r="N973" s="14"/>
      <c r="O973" s="14"/>
      <c r="P973" s="14"/>
      <c r="Q973" s="14"/>
      <c r="R973" s="14"/>
      <c r="S973" s="14"/>
      <c r="T973" s="14"/>
      <c r="U973" s="17"/>
      <c r="V973" s="14"/>
      <c r="W973" s="14"/>
      <c r="X973" s="18"/>
      <c r="Y973" s="18"/>
      <c r="Z973" s="18"/>
      <c r="AA973" s="19" t="str">
        <f t="shared" si="8"/>
        <v/>
      </c>
      <c r="AB973" s="218"/>
      <c r="AC973" s="218"/>
    </row>
    <row r="974" ht="15.75" customHeight="1">
      <c r="A974" s="12"/>
      <c r="B974" s="14"/>
      <c r="C974" s="14"/>
      <c r="D974" s="14"/>
      <c r="E974" s="14"/>
      <c r="F974" s="14"/>
      <c r="G974" s="14"/>
      <c r="H974" s="14"/>
      <c r="I974" s="15"/>
      <c r="J974" s="223"/>
      <c r="K974" s="14"/>
      <c r="L974" s="14"/>
      <c r="M974" s="14"/>
      <c r="N974" s="14"/>
      <c r="O974" s="14"/>
      <c r="P974" s="14"/>
      <c r="Q974" s="14"/>
      <c r="R974" s="14"/>
      <c r="S974" s="14"/>
      <c r="T974" s="14"/>
      <c r="U974" s="17"/>
      <c r="V974" s="14"/>
      <c r="W974" s="14"/>
      <c r="X974" s="18"/>
      <c r="Y974" s="18"/>
      <c r="Z974" s="18"/>
      <c r="AA974" s="19" t="str">
        <f t="shared" si="8"/>
        <v/>
      </c>
      <c r="AB974" s="218"/>
      <c r="AC974" s="218"/>
    </row>
    <row r="975" ht="15.75" customHeight="1">
      <c r="A975" s="12"/>
      <c r="B975" s="14"/>
      <c r="C975" s="14"/>
      <c r="D975" s="14"/>
      <c r="E975" s="14"/>
      <c r="F975" s="14"/>
      <c r="G975" s="14"/>
      <c r="H975" s="14"/>
      <c r="I975" s="15"/>
      <c r="J975" s="223"/>
      <c r="K975" s="14"/>
      <c r="L975" s="14"/>
      <c r="M975" s="14"/>
      <c r="N975" s="14"/>
      <c r="O975" s="14"/>
      <c r="P975" s="14"/>
      <c r="Q975" s="14"/>
      <c r="R975" s="14"/>
      <c r="S975" s="14"/>
      <c r="T975" s="14"/>
      <c r="U975" s="17"/>
      <c r="V975" s="14"/>
      <c r="W975" s="14"/>
      <c r="X975" s="18"/>
      <c r="Y975" s="18"/>
      <c r="Z975" s="18"/>
      <c r="AA975" s="19" t="str">
        <f t="shared" si="8"/>
        <v/>
      </c>
      <c r="AB975" s="218"/>
      <c r="AC975" s="218"/>
    </row>
    <row r="976" ht="15.75" customHeight="1">
      <c r="A976" s="12"/>
      <c r="B976" s="14"/>
      <c r="C976" s="14"/>
      <c r="D976" s="14"/>
      <c r="E976" s="14"/>
      <c r="F976" s="14"/>
      <c r="G976" s="14"/>
      <c r="H976" s="14"/>
      <c r="I976" s="15"/>
      <c r="J976" s="223"/>
      <c r="K976" s="14"/>
      <c r="L976" s="14"/>
      <c r="M976" s="14"/>
      <c r="N976" s="14"/>
      <c r="O976" s="14"/>
      <c r="P976" s="14"/>
      <c r="Q976" s="14"/>
      <c r="R976" s="14"/>
      <c r="S976" s="14"/>
      <c r="T976" s="14"/>
      <c r="U976" s="17"/>
      <c r="V976" s="14"/>
      <c r="W976" s="14"/>
      <c r="X976" s="18"/>
      <c r="Y976" s="18"/>
      <c r="Z976" s="18"/>
      <c r="AA976" s="19" t="str">
        <f t="shared" si="8"/>
        <v/>
      </c>
      <c r="AB976" s="218"/>
      <c r="AC976" s="218"/>
    </row>
    <row r="977" ht="15.75" customHeight="1">
      <c r="A977" s="12"/>
      <c r="B977" s="14"/>
      <c r="C977" s="14"/>
      <c r="D977" s="14"/>
      <c r="E977" s="14"/>
      <c r="F977" s="14"/>
      <c r="G977" s="14"/>
      <c r="H977" s="14"/>
      <c r="I977" s="15"/>
      <c r="J977" s="223"/>
      <c r="K977" s="14"/>
      <c r="L977" s="14"/>
      <c r="M977" s="14"/>
      <c r="N977" s="14"/>
      <c r="O977" s="14"/>
      <c r="P977" s="14"/>
      <c r="Q977" s="14"/>
      <c r="R977" s="14"/>
      <c r="S977" s="14"/>
      <c r="T977" s="14"/>
      <c r="U977" s="17"/>
      <c r="V977" s="14"/>
      <c r="W977" s="14"/>
      <c r="X977" s="18"/>
      <c r="Y977" s="18"/>
      <c r="Z977" s="18"/>
      <c r="AA977" s="19" t="str">
        <f t="shared" si="8"/>
        <v/>
      </c>
      <c r="AB977" s="218"/>
      <c r="AC977" s="218"/>
    </row>
    <row r="978" ht="15.75" customHeight="1">
      <c r="A978" s="12"/>
      <c r="B978" s="14"/>
      <c r="C978" s="14"/>
      <c r="D978" s="14"/>
      <c r="E978" s="14"/>
      <c r="F978" s="14"/>
      <c r="G978" s="14"/>
      <c r="H978" s="14"/>
      <c r="I978" s="15"/>
      <c r="J978" s="223"/>
      <c r="K978" s="14"/>
      <c r="L978" s="14"/>
      <c r="M978" s="14"/>
      <c r="N978" s="14"/>
      <c r="O978" s="14"/>
      <c r="P978" s="14"/>
      <c r="Q978" s="14"/>
      <c r="R978" s="14"/>
      <c r="S978" s="14"/>
      <c r="T978" s="14"/>
      <c r="U978" s="17"/>
      <c r="V978" s="14"/>
      <c r="W978" s="14"/>
      <c r="X978" s="18"/>
      <c r="Y978" s="18"/>
      <c r="Z978" s="18"/>
      <c r="AA978" s="19" t="str">
        <f t="shared" si="8"/>
        <v/>
      </c>
      <c r="AB978" s="218"/>
      <c r="AC978" s="218"/>
    </row>
    <row r="979" ht="15.75" customHeight="1">
      <c r="A979" s="12"/>
      <c r="B979" s="14"/>
      <c r="C979" s="14"/>
      <c r="D979" s="14"/>
      <c r="E979" s="14"/>
      <c r="F979" s="14"/>
      <c r="G979" s="14"/>
      <c r="H979" s="14"/>
      <c r="I979" s="15"/>
      <c r="J979" s="223"/>
      <c r="K979" s="14"/>
      <c r="L979" s="14"/>
      <c r="M979" s="14"/>
      <c r="N979" s="14"/>
      <c r="O979" s="14"/>
      <c r="P979" s="14"/>
      <c r="Q979" s="14"/>
      <c r="R979" s="14"/>
      <c r="S979" s="14"/>
      <c r="T979" s="14"/>
      <c r="U979" s="17"/>
      <c r="V979" s="14"/>
      <c r="W979" s="14"/>
      <c r="X979" s="18"/>
      <c r="Y979" s="18"/>
      <c r="Z979" s="18"/>
      <c r="AA979" s="19" t="str">
        <f t="shared" si="8"/>
        <v/>
      </c>
      <c r="AB979" s="218"/>
      <c r="AC979" s="218"/>
    </row>
    <row r="980" ht="15.75" customHeight="1">
      <c r="A980" s="12"/>
      <c r="B980" s="14"/>
      <c r="C980" s="14"/>
      <c r="D980" s="14"/>
      <c r="E980" s="14"/>
      <c r="F980" s="14"/>
      <c r="G980" s="14"/>
      <c r="H980" s="14"/>
      <c r="I980" s="15"/>
      <c r="J980" s="223"/>
      <c r="K980" s="14"/>
      <c r="L980" s="14"/>
      <c r="M980" s="14"/>
      <c r="N980" s="14"/>
      <c r="O980" s="14"/>
      <c r="P980" s="14"/>
      <c r="Q980" s="14"/>
      <c r="R980" s="14"/>
      <c r="S980" s="14"/>
      <c r="T980" s="14"/>
      <c r="U980" s="17"/>
      <c r="V980" s="14"/>
      <c r="W980" s="14"/>
      <c r="X980" s="18"/>
      <c r="Y980" s="18"/>
      <c r="Z980" s="18"/>
      <c r="AA980" s="218"/>
      <c r="AB980" s="218"/>
      <c r="AC980" s="218"/>
    </row>
    <row r="981" ht="15.75" customHeight="1">
      <c r="A981" s="12"/>
      <c r="B981" s="14"/>
      <c r="C981" s="14"/>
      <c r="D981" s="14"/>
      <c r="E981" s="14"/>
      <c r="F981" s="14"/>
      <c r="G981" s="14"/>
      <c r="H981" s="14"/>
      <c r="I981" s="15"/>
      <c r="J981" s="223"/>
      <c r="K981" s="14"/>
      <c r="L981" s="14"/>
      <c r="M981" s="14"/>
      <c r="N981" s="14"/>
      <c r="O981" s="14"/>
      <c r="P981" s="14"/>
      <c r="Q981" s="14"/>
      <c r="R981" s="14"/>
      <c r="S981" s="14"/>
      <c r="T981" s="14"/>
      <c r="U981" s="17"/>
      <c r="V981" s="14"/>
      <c r="W981" s="14"/>
      <c r="X981" s="18"/>
      <c r="Y981" s="18"/>
      <c r="Z981" s="18"/>
      <c r="AA981" s="218"/>
      <c r="AB981" s="218"/>
      <c r="AC981" s="218"/>
    </row>
    <row r="982" ht="15.75" customHeight="1">
      <c r="A982" s="12"/>
      <c r="B982" s="14"/>
      <c r="C982" s="14"/>
      <c r="D982" s="14"/>
      <c r="E982" s="14"/>
      <c r="F982" s="14"/>
      <c r="G982" s="14"/>
      <c r="H982" s="14"/>
      <c r="I982" s="15"/>
      <c r="J982" s="223"/>
      <c r="K982" s="14"/>
      <c r="L982" s="14"/>
      <c r="M982" s="14"/>
      <c r="N982" s="14"/>
      <c r="O982" s="14"/>
      <c r="P982" s="14"/>
      <c r="Q982" s="14"/>
      <c r="R982" s="14"/>
      <c r="S982" s="14"/>
      <c r="T982" s="14"/>
      <c r="U982" s="17"/>
      <c r="V982" s="14"/>
      <c r="W982" s="14"/>
      <c r="X982" s="18"/>
      <c r="Y982" s="18"/>
      <c r="Z982" s="18"/>
      <c r="AA982" s="218"/>
      <c r="AB982" s="218"/>
      <c r="AC982" s="218"/>
    </row>
    <row r="983" ht="15.75" customHeight="1">
      <c r="A983" s="12"/>
      <c r="B983" s="14"/>
      <c r="C983" s="14"/>
      <c r="D983" s="14"/>
      <c r="E983" s="14"/>
      <c r="F983" s="14"/>
      <c r="G983" s="14"/>
      <c r="H983" s="14"/>
      <c r="I983" s="15"/>
      <c r="J983" s="223"/>
      <c r="K983" s="14"/>
      <c r="L983" s="14"/>
      <c r="M983" s="14"/>
      <c r="N983" s="14"/>
      <c r="O983" s="14"/>
      <c r="P983" s="14"/>
      <c r="Q983" s="14"/>
      <c r="R983" s="14"/>
      <c r="S983" s="14"/>
      <c r="T983" s="14"/>
      <c r="U983" s="17"/>
      <c r="V983" s="14"/>
      <c r="W983" s="14"/>
      <c r="X983" s="18"/>
      <c r="Y983" s="18"/>
      <c r="Z983" s="18"/>
      <c r="AA983" s="218"/>
      <c r="AB983" s="218"/>
      <c r="AC983" s="218"/>
    </row>
    <row r="984" ht="15.75" customHeight="1">
      <c r="A984" s="12"/>
      <c r="B984" s="14"/>
      <c r="C984" s="14"/>
      <c r="D984" s="14"/>
      <c r="E984" s="14"/>
      <c r="F984" s="14"/>
      <c r="G984" s="14"/>
      <c r="H984" s="14"/>
      <c r="I984" s="15"/>
      <c r="J984" s="223"/>
      <c r="K984" s="14"/>
      <c r="L984" s="14"/>
      <c r="M984" s="14"/>
      <c r="N984" s="14"/>
      <c r="O984" s="14"/>
      <c r="P984" s="14"/>
      <c r="Q984" s="14"/>
      <c r="R984" s="14"/>
      <c r="S984" s="14"/>
      <c r="T984" s="14"/>
      <c r="U984" s="17"/>
      <c r="V984" s="14"/>
      <c r="W984" s="14"/>
      <c r="X984" s="18"/>
      <c r="Y984" s="18"/>
      <c r="Z984" s="18"/>
      <c r="AA984" s="218"/>
      <c r="AB984" s="218"/>
      <c r="AC984" s="218"/>
    </row>
    <row r="985" ht="15.75" customHeight="1">
      <c r="A985" s="12"/>
      <c r="B985" s="14"/>
      <c r="C985" s="14"/>
      <c r="D985" s="14"/>
      <c r="E985" s="14"/>
      <c r="F985" s="14"/>
      <c r="G985" s="14"/>
      <c r="H985" s="14"/>
      <c r="I985" s="15"/>
      <c r="J985" s="223"/>
      <c r="K985" s="14"/>
      <c r="L985" s="14"/>
      <c r="M985" s="14"/>
      <c r="N985" s="14"/>
      <c r="O985" s="14"/>
      <c r="P985" s="14"/>
      <c r="Q985" s="14"/>
      <c r="R985" s="14"/>
      <c r="S985" s="14"/>
      <c r="T985" s="14"/>
      <c r="U985" s="17"/>
      <c r="V985" s="14"/>
      <c r="W985" s="14"/>
      <c r="X985" s="18"/>
      <c r="Y985" s="18"/>
      <c r="Z985" s="18"/>
      <c r="AA985" s="218"/>
      <c r="AB985" s="218"/>
      <c r="AC985" s="218"/>
    </row>
    <row r="986" ht="15.75" customHeight="1">
      <c r="A986" s="12"/>
      <c r="B986" s="14"/>
      <c r="C986" s="14"/>
      <c r="D986" s="14"/>
      <c r="E986" s="14"/>
      <c r="F986" s="14"/>
      <c r="G986" s="14"/>
      <c r="H986" s="14"/>
      <c r="I986" s="15"/>
      <c r="J986" s="223"/>
      <c r="K986" s="14"/>
      <c r="L986" s="14"/>
      <c r="M986" s="14"/>
      <c r="N986" s="14"/>
      <c r="O986" s="14"/>
      <c r="P986" s="14"/>
      <c r="Q986" s="14"/>
      <c r="R986" s="14"/>
      <c r="S986" s="14"/>
      <c r="T986" s="14"/>
      <c r="U986" s="17"/>
      <c r="V986" s="14"/>
      <c r="W986" s="14"/>
      <c r="X986" s="18"/>
      <c r="Y986" s="18"/>
      <c r="Z986" s="18"/>
      <c r="AA986" s="218"/>
      <c r="AB986" s="218"/>
      <c r="AC986" s="218"/>
    </row>
    <row r="987" ht="15.75" customHeight="1">
      <c r="A987" s="12"/>
      <c r="B987" s="14"/>
      <c r="C987" s="14"/>
      <c r="D987" s="14"/>
      <c r="E987" s="14"/>
      <c r="F987" s="14"/>
      <c r="G987" s="14"/>
      <c r="H987" s="14"/>
      <c r="I987" s="15"/>
      <c r="J987" s="223"/>
      <c r="K987" s="14"/>
      <c r="L987" s="14"/>
      <c r="M987" s="14"/>
      <c r="N987" s="14"/>
      <c r="O987" s="14"/>
      <c r="P987" s="14"/>
      <c r="Q987" s="14"/>
      <c r="R987" s="14"/>
      <c r="S987" s="14"/>
      <c r="T987" s="14"/>
      <c r="U987" s="17"/>
      <c r="V987" s="14"/>
      <c r="W987" s="14"/>
      <c r="X987" s="18"/>
      <c r="Y987" s="18"/>
      <c r="Z987" s="18"/>
      <c r="AA987" s="218"/>
      <c r="AB987" s="218"/>
      <c r="AC987" s="218"/>
    </row>
    <row r="988" ht="15.75" customHeight="1">
      <c r="A988" s="12"/>
      <c r="B988" s="14"/>
      <c r="C988" s="14"/>
      <c r="D988" s="14"/>
      <c r="E988" s="14"/>
      <c r="F988" s="14"/>
      <c r="G988" s="14"/>
      <c r="H988" s="14"/>
      <c r="I988" s="15"/>
      <c r="J988" s="223"/>
      <c r="K988" s="14"/>
      <c r="L988" s="14"/>
      <c r="M988" s="14"/>
      <c r="N988" s="14"/>
      <c r="O988" s="14"/>
      <c r="P988" s="14"/>
      <c r="Q988" s="14"/>
      <c r="R988" s="14"/>
      <c r="S988" s="14"/>
      <c r="T988" s="14"/>
      <c r="U988" s="17"/>
      <c r="V988" s="14"/>
      <c r="W988" s="14"/>
      <c r="X988" s="18"/>
      <c r="Y988" s="18"/>
      <c r="Z988" s="18"/>
      <c r="AA988" s="218"/>
      <c r="AB988" s="218"/>
      <c r="AC988" s="218"/>
    </row>
    <row r="989" ht="15.75" customHeight="1">
      <c r="A989" s="12"/>
      <c r="B989" s="14"/>
      <c r="C989" s="14"/>
      <c r="D989" s="14"/>
      <c r="E989" s="14"/>
      <c r="F989" s="14"/>
      <c r="G989" s="14"/>
      <c r="H989" s="14"/>
      <c r="I989" s="15"/>
      <c r="J989" s="223"/>
      <c r="K989" s="14"/>
      <c r="L989" s="14"/>
      <c r="M989" s="14"/>
      <c r="N989" s="14"/>
      <c r="O989" s="14"/>
      <c r="P989" s="14"/>
      <c r="Q989" s="14"/>
      <c r="R989" s="14"/>
      <c r="S989" s="14"/>
      <c r="T989" s="14"/>
      <c r="U989" s="17"/>
      <c r="V989" s="14"/>
      <c r="W989" s="14"/>
      <c r="X989" s="18"/>
      <c r="Y989" s="18"/>
      <c r="Z989" s="18"/>
      <c r="AA989" s="218"/>
      <c r="AB989" s="218"/>
      <c r="AC989" s="218"/>
    </row>
    <row r="990" ht="15.75" customHeight="1">
      <c r="A990" s="12"/>
      <c r="B990" s="14"/>
      <c r="C990" s="14"/>
      <c r="D990" s="14"/>
      <c r="E990" s="14"/>
      <c r="F990" s="14"/>
      <c r="G990" s="14"/>
      <c r="H990" s="14"/>
      <c r="I990" s="15"/>
      <c r="J990" s="223"/>
      <c r="K990" s="14"/>
      <c r="L990" s="14"/>
      <c r="M990" s="14"/>
      <c r="N990" s="14"/>
      <c r="O990" s="14"/>
      <c r="P990" s="14"/>
      <c r="Q990" s="14"/>
      <c r="R990" s="14"/>
      <c r="S990" s="14"/>
      <c r="T990" s="14"/>
      <c r="U990" s="17"/>
      <c r="V990" s="14"/>
      <c r="W990" s="14"/>
      <c r="X990" s="18"/>
      <c r="Y990" s="18"/>
      <c r="Z990" s="18"/>
      <c r="AA990" s="218"/>
      <c r="AB990" s="218"/>
      <c r="AC990" s="218"/>
    </row>
    <row r="991" ht="15.75" customHeight="1">
      <c r="A991" s="12"/>
      <c r="B991" s="14"/>
      <c r="C991" s="14"/>
      <c r="D991" s="14"/>
      <c r="E991" s="14"/>
      <c r="F991" s="14"/>
      <c r="G991" s="14"/>
      <c r="H991" s="14"/>
      <c r="I991" s="15"/>
      <c r="J991" s="223"/>
      <c r="K991" s="14"/>
      <c r="L991" s="14"/>
      <c r="M991" s="14"/>
      <c r="N991" s="14"/>
      <c r="O991" s="14"/>
      <c r="P991" s="14"/>
      <c r="Q991" s="14"/>
      <c r="R991" s="14"/>
      <c r="S991" s="14"/>
      <c r="T991" s="14"/>
      <c r="U991" s="17"/>
      <c r="V991" s="14"/>
      <c r="W991" s="14"/>
      <c r="X991" s="18"/>
      <c r="Y991" s="18"/>
      <c r="Z991" s="18"/>
      <c r="AA991" s="218"/>
      <c r="AB991" s="218"/>
      <c r="AC991" s="218"/>
    </row>
    <row r="992" ht="15.75" customHeight="1">
      <c r="A992" s="12"/>
      <c r="B992" s="14"/>
      <c r="C992" s="14"/>
      <c r="D992" s="14"/>
      <c r="E992" s="14"/>
      <c r="F992" s="14"/>
      <c r="G992" s="14"/>
      <c r="H992" s="14"/>
      <c r="I992" s="15"/>
      <c r="J992" s="223"/>
      <c r="K992" s="14"/>
      <c r="L992" s="14"/>
      <c r="M992" s="14"/>
      <c r="N992" s="14"/>
      <c r="O992" s="14"/>
      <c r="P992" s="14"/>
      <c r="Q992" s="14"/>
      <c r="R992" s="14"/>
      <c r="S992" s="14"/>
      <c r="T992" s="14"/>
      <c r="U992" s="17"/>
      <c r="V992" s="14"/>
      <c r="W992" s="14"/>
      <c r="X992" s="18"/>
      <c r="Y992" s="18"/>
      <c r="Z992" s="18"/>
      <c r="AA992" s="218"/>
      <c r="AB992" s="218"/>
      <c r="AC992" s="218"/>
    </row>
    <row r="993" ht="15.75" customHeight="1">
      <c r="A993" s="12"/>
      <c r="B993" s="14"/>
      <c r="C993" s="14"/>
      <c r="D993" s="14"/>
      <c r="E993" s="14"/>
      <c r="F993" s="14"/>
      <c r="G993" s="14"/>
      <c r="H993" s="14"/>
      <c r="I993" s="15"/>
      <c r="J993" s="223"/>
      <c r="K993" s="14"/>
      <c r="L993" s="14"/>
      <c r="M993" s="14"/>
      <c r="N993" s="14"/>
      <c r="O993" s="14"/>
      <c r="P993" s="14"/>
      <c r="Q993" s="14"/>
      <c r="R993" s="14"/>
      <c r="S993" s="14"/>
      <c r="T993" s="14"/>
      <c r="U993" s="17"/>
      <c r="V993" s="14"/>
      <c r="W993" s="14"/>
      <c r="X993" s="18"/>
      <c r="Y993" s="18"/>
      <c r="Z993" s="18"/>
      <c r="AA993" s="218"/>
      <c r="AB993" s="218"/>
      <c r="AC993" s="218"/>
    </row>
    <row r="994" ht="15.75" customHeight="1">
      <c r="A994" s="12"/>
      <c r="B994" s="14"/>
      <c r="C994" s="14"/>
      <c r="D994" s="14"/>
      <c r="E994" s="14"/>
      <c r="F994" s="14"/>
      <c r="G994" s="14"/>
      <c r="H994" s="14"/>
      <c r="I994" s="15"/>
      <c r="J994" s="223"/>
      <c r="K994" s="14"/>
      <c r="L994" s="14"/>
      <c r="M994" s="14"/>
      <c r="N994" s="14"/>
      <c r="O994" s="14"/>
      <c r="P994" s="14"/>
      <c r="Q994" s="14"/>
      <c r="R994" s="14"/>
      <c r="S994" s="14"/>
      <c r="T994" s="14"/>
      <c r="U994" s="17"/>
      <c r="V994" s="14"/>
      <c r="W994" s="14"/>
      <c r="X994" s="18"/>
      <c r="Y994" s="18"/>
      <c r="Z994" s="18"/>
      <c r="AA994" s="218"/>
      <c r="AB994" s="218"/>
      <c r="AC994" s="218"/>
    </row>
    <row r="995" ht="15.75" customHeight="1">
      <c r="A995" s="12"/>
      <c r="B995" s="14"/>
      <c r="C995" s="14"/>
      <c r="D995" s="14"/>
      <c r="E995" s="14"/>
      <c r="F995" s="14"/>
      <c r="G995" s="14"/>
      <c r="H995" s="14"/>
      <c r="I995" s="15"/>
      <c r="J995" s="223"/>
      <c r="K995" s="14"/>
      <c r="L995" s="14"/>
      <c r="M995" s="14"/>
      <c r="N995" s="14"/>
      <c r="O995" s="14"/>
      <c r="P995" s="14"/>
      <c r="Q995" s="14"/>
      <c r="R995" s="14"/>
      <c r="S995" s="14"/>
      <c r="T995" s="14"/>
      <c r="U995" s="17"/>
      <c r="V995" s="14"/>
      <c r="W995" s="14"/>
      <c r="X995" s="18"/>
      <c r="Y995" s="18"/>
      <c r="Z995" s="18"/>
      <c r="AA995" s="218"/>
      <c r="AB995" s="218"/>
      <c r="AC995" s="218"/>
    </row>
    <row r="996" ht="15.75" customHeight="1">
      <c r="A996" s="12"/>
      <c r="B996" s="14"/>
      <c r="C996" s="14"/>
      <c r="D996" s="14"/>
      <c r="E996" s="14"/>
      <c r="F996" s="14"/>
      <c r="G996" s="14"/>
      <c r="H996" s="14"/>
      <c r="I996" s="15"/>
      <c r="J996" s="223"/>
      <c r="K996" s="14"/>
      <c r="L996" s="14"/>
      <c r="M996" s="14"/>
      <c r="N996" s="14"/>
      <c r="O996" s="14"/>
      <c r="P996" s="14"/>
      <c r="Q996" s="14"/>
      <c r="R996" s="14"/>
      <c r="S996" s="14"/>
      <c r="T996" s="14"/>
      <c r="U996" s="17"/>
      <c r="V996" s="14"/>
      <c r="W996" s="14"/>
      <c r="X996" s="18"/>
      <c r="Y996" s="18"/>
      <c r="Z996" s="18"/>
      <c r="AA996" s="218"/>
      <c r="AB996" s="218"/>
      <c r="AC996" s="218"/>
    </row>
    <row r="997" ht="15.75" customHeight="1">
      <c r="A997" s="12"/>
      <c r="B997" s="14"/>
      <c r="C997" s="14"/>
      <c r="D997" s="14"/>
      <c r="E997" s="14"/>
      <c r="F997" s="14"/>
      <c r="G997" s="14"/>
      <c r="H997" s="14"/>
      <c r="I997" s="15"/>
      <c r="J997" s="223"/>
      <c r="K997" s="14"/>
      <c r="L997" s="14"/>
      <c r="M997" s="14"/>
      <c r="N997" s="14"/>
      <c r="O997" s="14"/>
      <c r="P997" s="14"/>
      <c r="Q997" s="14"/>
      <c r="R997" s="14"/>
      <c r="S997" s="14"/>
      <c r="T997" s="14"/>
      <c r="U997" s="17"/>
      <c r="V997" s="14"/>
      <c r="W997" s="14"/>
      <c r="X997" s="18"/>
      <c r="Y997" s="18"/>
      <c r="Z997" s="18"/>
      <c r="AA997" s="218"/>
      <c r="AB997" s="218"/>
      <c r="AC997" s="218"/>
    </row>
    <row r="998" ht="15.75" customHeight="1">
      <c r="A998" s="12"/>
      <c r="B998" s="14"/>
      <c r="C998" s="14"/>
      <c r="D998" s="14"/>
      <c r="E998" s="14"/>
      <c r="F998" s="14"/>
      <c r="G998" s="14"/>
      <c r="H998" s="14"/>
      <c r="I998" s="15"/>
      <c r="J998" s="223"/>
      <c r="K998" s="14"/>
      <c r="L998" s="14"/>
      <c r="M998" s="14"/>
      <c r="N998" s="14"/>
      <c r="O998" s="14"/>
      <c r="P998" s="14"/>
      <c r="Q998" s="14"/>
      <c r="R998" s="14"/>
      <c r="S998" s="14"/>
      <c r="T998" s="14"/>
      <c r="U998" s="17"/>
      <c r="V998" s="14"/>
      <c r="W998" s="14"/>
      <c r="X998" s="18"/>
      <c r="Y998" s="18"/>
      <c r="Z998" s="18"/>
      <c r="AA998" s="218"/>
      <c r="AB998" s="218"/>
      <c r="AC998" s="218"/>
    </row>
    <row r="999" ht="15.75" customHeight="1">
      <c r="A999" s="12"/>
      <c r="B999" s="14"/>
      <c r="C999" s="14"/>
      <c r="D999" s="14"/>
      <c r="E999" s="14"/>
      <c r="F999" s="14"/>
      <c r="G999" s="14"/>
      <c r="H999" s="14"/>
      <c r="I999" s="15"/>
      <c r="J999" s="223"/>
      <c r="K999" s="14"/>
      <c r="L999" s="14"/>
      <c r="M999" s="14"/>
      <c r="N999" s="14"/>
      <c r="O999" s="14"/>
      <c r="P999" s="14"/>
      <c r="Q999" s="14"/>
      <c r="R999" s="14"/>
      <c r="S999" s="14"/>
      <c r="T999" s="14"/>
      <c r="U999" s="17"/>
      <c r="V999" s="14"/>
      <c r="W999" s="14"/>
      <c r="X999" s="18"/>
      <c r="Y999" s="18"/>
      <c r="Z999" s="18"/>
      <c r="AA999" s="218"/>
      <c r="AB999" s="218"/>
      <c r="AC999" s="218"/>
    </row>
    <row r="1000" ht="15.75" customHeight="1">
      <c r="A1000" s="12"/>
      <c r="B1000" s="14"/>
      <c r="C1000" s="14"/>
      <c r="D1000" s="14"/>
      <c r="E1000" s="14"/>
      <c r="F1000" s="14"/>
      <c r="G1000" s="14"/>
      <c r="H1000" s="14"/>
      <c r="I1000" s="15"/>
      <c r="J1000" s="223"/>
      <c r="K1000" s="14"/>
      <c r="L1000" s="14"/>
      <c r="M1000" s="14"/>
      <c r="N1000" s="14"/>
      <c r="O1000" s="14"/>
      <c r="P1000" s="14"/>
      <c r="Q1000" s="14"/>
      <c r="R1000" s="14"/>
      <c r="S1000" s="14"/>
      <c r="T1000" s="14"/>
      <c r="U1000" s="17"/>
      <c r="V1000" s="14"/>
      <c r="W1000" s="14"/>
      <c r="X1000" s="18"/>
      <c r="Y1000" s="18"/>
      <c r="Z1000" s="18"/>
      <c r="AA1000" s="218"/>
      <c r="AB1000" s="218"/>
      <c r="AC1000" s="218"/>
    </row>
    <row r="1001" ht="15.75" customHeight="1">
      <c r="A1001" s="12"/>
      <c r="B1001" s="14"/>
      <c r="C1001" s="14"/>
      <c r="D1001" s="14"/>
      <c r="E1001" s="14"/>
      <c r="F1001" s="14"/>
      <c r="G1001" s="14"/>
      <c r="H1001" s="14"/>
      <c r="I1001" s="15"/>
      <c r="J1001" s="223"/>
      <c r="K1001" s="14"/>
      <c r="L1001" s="14"/>
      <c r="M1001" s="14"/>
      <c r="N1001" s="14"/>
      <c r="O1001" s="14"/>
      <c r="P1001" s="14"/>
      <c r="Q1001" s="14"/>
      <c r="R1001" s="14"/>
      <c r="S1001" s="14"/>
      <c r="T1001" s="14"/>
      <c r="U1001" s="17"/>
      <c r="V1001" s="14"/>
      <c r="W1001" s="14"/>
      <c r="X1001" s="18"/>
      <c r="Y1001" s="18"/>
      <c r="Z1001" s="18"/>
      <c r="AA1001" s="218"/>
      <c r="AB1001" s="218"/>
      <c r="AC1001" s="218"/>
    </row>
    <row r="1002" ht="15.75" customHeight="1">
      <c r="A1002" s="12"/>
      <c r="B1002" s="14"/>
      <c r="C1002" s="14"/>
      <c r="D1002" s="14"/>
      <c r="E1002" s="14"/>
      <c r="F1002" s="14"/>
      <c r="G1002" s="14"/>
      <c r="H1002" s="14"/>
      <c r="I1002" s="15"/>
      <c r="J1002" s="223"/>
      <c r="K1002" s="14"/>
      <c r="L1002" s="14"/>
      <c r="M1002" s="14"/>
      <c r="N1002" s="14"/>
      <c r="O1002" s="14"/>
      <c r="P1002" s="14"/>
      <c r="Q1002" s="14"/>
      <c r="R1002" s="14"/>
      <c r="S1002" s="14"/>
      <c r="T1002" s="14"/>
      <c r="U1002" s="17"/>
      <c r="V1002" s="14"/>
      <c r="W1002" s="14"/>
      <c r="X1002" s="18"/>
      <c r="Y1002" s="18"/>
      <c r="Z1002" s="18"/>
      <c r="AA1002" s="218"/>
      <c r="AB1002" s="218"/>
      <c r="AC1002" s="218"/>
    </row>
    <row r="1003" ht="15.75" customHeight="1">
      <c r="A1003" s="12"/>
      <c r="B1003" s="14"/>
      <c r="C1003" s="14"/>
      <c r="D1003" s="14"/>
      <c r="E1003" s="14"/>
      <c r="F1003" s="14"/>
      <c r="G1003" s="14"/>
      <c r="H1003" s="14"/>
      <c r="I1003" s="15"/>
      <c r="J1003" s="223"/>
      <c r="K1003" s="14"/>
      <c r="L1003" s="14"/>
      <c r="M1003" s="14"/>
      <c r="N1003" s="14"/>
      <c r="O1003" s="14"/>
      <c r="P1003" s="14"/>
      <c r="Q1003" s="14"/>
      <c r="R1003" s="14"/>
      <c r="S1003" s="14"/>
      <c r="T1003" s="14"/>
      <c r="U1003" s="17"/>
      <c r="V1003" s="14"/>
      <c r="W1003" s="14"/>
      <c r="X1003" s="18"/>
      <c r="Y1003" s="18"/>
      <c r="Z1003" s="18"/>
      <c r="AA1003" s="218"/>
      <c r="AB1003" s="218"/>
      <c r="AC1003" s="218"/>
    </row>
    <row r="1004" ht="15.75" customHeight="1">
      <c r="A1004" s="12"/>
      <c r="B1004" s="14"/>
      <c r="C1004" s="14"/>
      <c r="D1004" s="14"/>
      <c r="E1004" s="14"/>
      <c r="F1004" s="14"/>
      <c r="G1004" s="14"/>
      <c r="H1004" s="14"/>
      <c r="I1004" s="15"/>
      <c r="J1004" s="223"/>
      <c r="K1004" s="14"/>
      <c r="L1004" s="14"/>
      <c r="M1004" s="14"/>
      <c r="N1004" s="14"/>
      <c r="O1004" s="14"/>
      <c r="P1004" s="14"/>
      <c r="Q1004" s="14"/>
      <c r="R1004" s="14"/>
      <c r="S1004" s="14"/>
      <c r="T1004" s="14"/>
      <c r="U1004" s="17"/>
      <c r="V1004" s="14"/>
      <c r="W1004" s="14"/>
      <c r="X1004" s="18"/>
      <c r="Y1004" s="18"/>
      <c r="Z1004" s="18"/>
      <c r="AA1004" s="218"/>
      <c r="AB1004" s="218"/>
      <c r="AC1004" s="218"/>
    </row>
    <row r="1005" ht="15.75" customHeight="1">
      <c r="A1005" s="12"/>
      <c r="B1005" s="14"/>
      <c r="C1005" s="14"/>
      <c r="D1005" s="14"/>
      <c r="E1005" s="14"/>
      <c r="F1005" s="14"/>
      <c r="G1005" s="14"/>
      <c r="H1005" s="14"/>
      <c r="I1005" s="15"/>
      <c r="J1005" s="223"/>
      <c r="K1005" s="14"/>
      <c r="L1005" s="14"/>
      <c r="M1005" s="14"/>
      <c r="N1005" s="14"/>
      <c r="O1005" s="14"/>
      <c r="P1005" s="14"/>
      <c r="Q1005" s="14"/>
      <c r="R1005" s="14"/>
      <c r="S1005" s="14"/>
      <c r="T1005" s="14"/>
      <c r="U1005" s="17"/>
      <c r="V1005" s="14"/>
      <c r="W1005" s="14"/>
      <c r="X1005" s="18"/>
      <c r="Y1005" s="18"/>
      <c r="Z1005" s="18"/>
      <c r="AA1005" s="218"/>
      <c r="AB1005" s="218"/>
      <c r="AC1005" s="218"/>
    </row>
    <row r="1006" ht="15.75" customHeight="1">
      <c r="A1006" s="12"/>
      <c r="B1006" s="14"/>
      <c r="C1006" s="14"/>
      <c r="D1006" s="14"/>
      <c r="E1006" s="14"/>
      <c r="F1006" s="14"/>
      <c r="G1006" s="14"/>
      <c r="H1006" s="14"/>
      <c r="I1006" s="15"/>
      <c r="J1006" s="223"/>
      <c r="K1006" s="14"/>
      <c r="L1006" s="14"/>
      <c r="M1006" s="14"/>
      <c r="N1006" s="14"/>
      <c r="O1006" s="14"/>
      <c r="P1006" s="14"/>
      <c r="Q1006" s="14"/>
      <c r="R1006" s="14"/>
      <c r="S1006" s="14"/>
      <c r="T1006" s="14"/>
      <c r="U1006" s="17"/>
      <c r="V1006" s="14"/>
      <c r="W1006" s="14"/>
      <c r="X1006" s="18"/>
      <c r="Y1006" s="18"/>
      <c r="Z1006" s="18"/>
      <c r="AA1006" s="218"/>
      <c r="AB1006" s="218"/>
      <c r="AC1006" s="218"/>
    </row>
    <row r="1007" ht="15.75" customHeight="1">
      <c r="A1007" s="12"/>
      <c r="B1007" s="14"/>
      <c r="C1007" s="14"/>
      <c r="D1007" s="14"/>
      <c r="E1007" s="14"/>
      <c r="F1007" s="14"/>
      <c r="G1007" s="14"/>
      <c r="H1007" s="14"/>
      <c r="I1007" s="15"/>
      <c r="J1007" s="223"/>
      <c r="K1007" s="14"/>
      <c r="L1007" s="14"/>
      <c r="M1007" s="14"/>
      <c r="N1007" s="14"/>
      <c r="O1007" s="14"/>
      <c r="P1007" s="14"/>
      <c r="Q1007" s="14"/>
      <c r="R1007" s="14"/>
      <c r="S1007" s="14"/>
      <c r="T1007" s="14"/>
      <c r="U1007" s="17"/>
      <c r="V1007" s="14"/>
      <c r="W1007" s="14"/>
      <c r="X1007" s="18"/>
      <c r="Y1007" s="18"/>
      <c r="Z1007" s="18"/>
      <c r="AA1007" s="218"/>
      <c r="AB1007" s="218"/>
      <c r="AC1007" s="218"/>
    </row>
    <row r="1008" ht="15.75" customHeight="1">
      <c r="A1008" s="12"/>
      <c r="B1008" s="14"/>
      <c r="C1008" s="14"/>
      <c r="D1008" s="14"/>
      <c r="E1008" s="14"/>
      <c r="F1008" s="14"/>
      <c r="G1008" s="14"/>
      <c r="H1008" s="14"/>
      <c r="I1008" s="15"/>
      <c r="J1008" s="223"/>
      <c r="K1008" s="14"/>
      <c r="L1008" s="14"/>
      <c r="M1008" s="14"/>
      <c r="N1008" s="14"/>
      <c r="O1008" s="14"/>
      <c r="P1008" s="14"/>
      <c r="Q1008" s="14"/>
      <c r="R1008" s="14"/>
      <c r="S1008" s="14"/>
      <c r="T1008" s="14"/>
      <c r="U1008" s="17"/>
      <c r="V1008" s="14"/>
      <c r="W1008" s="14"/>
      <c r="X1008" s="18"/>
      <c r="Y1008" s="18"/>
      <c r="Z1008" s="18"/>
      <c r="AA1008" s="218"/>
      <c r="AB1008" s="218"/>
      <c r="AC1008" s="218"/>
    </row>
    <row r="1009" ht="15.75" customHeight="1">
      <c r="A1009" s="12"/>
      <c r="B1009" s="14"/>
      <c r="C1009" s="14"/>
      <c r="D1009" s="14"/>
      <c r="E1009" s="14"/>
      <c r="F1009" s="14"/>
      <c r="G1009" s="14"/>
      <c r="H1009" s="14"/>
      <c r="I1009" s="15"/>
      <c r="J1009" s="223"/>
      <c r="K1009" s="14"/>
      <c r="L1009" s="14"/>
      <c r="M1009" s="14"/>
      <c r="N1009" s="14"/>
      <c r="O1009" s="14"/>
      <c r="P1009" s="14"/>
      <c r="Q1009" s="14"/>
      <c r="R1009" s="14"/>
      <c r="S1009" s="14"/>
      <c r="T1009" s="14"/>
      <c r="U1009" s="17"/>
      <c r="V1009" s="14"/>
      <c r="W1009" s="14"/>
      <c r="X1009" s="18"/>
      <c r="Y1009" s="18"/>
      <c r="Z1009" s="18"/>
      <c r="AA1009" s="218"/>
      <c r="AB1009" s="218"/>
      <c r="AC1009" s="218"/>
    </row>
    <row r="1010" ht="15.75" customHeight="1">
      <c r="A1010" s="12"/>
      <c r="B1010" s="14"/>
      <c r="C1010" s="14"/>
      <c r="D1010" s="14"/>
      <c r="E1010" s="14"/>
      <c r="F1010" s="14"/>
      <c r="G1010" s="14"/>
      <c r="H1010" s="14"/>
      <c r="I1010" s="15"/>
      <c r="J1010" s="223"/>
      <c r="K1010" s="14"/>
      <c r="L1010" s="14"/>
      <c r="M1010" s="14"/>
      <c r="N1010" s="14"/>
      <c r="O1010" s="14"/>
      <c r="P1010" s="14"/>
      <c r="Q1010" s="14"/>
      <c r="R1010" s="14"/>
      <c r="S1010" s="14"/>
      <c r="T1010" s="14"/>
      <c r="U1010" s="17"/>
      <c r="V1010" s="14"/>
      <c r="W1010" s="14"/>
      <c r="X1010" s="18"/>
      <c r="Y1010" s="18"/>
      <c r="Z1010" s="18"/>
      <c r="AA1010" s="218"/>
      <c r="AB1010" s="218"/>
      <c r="AC1010" s="218"/>
    </row>
    <row r="1011" ht="15.75" customHeight="1">
      <c r="A1011" s="12"/>
      <c r="B1011" s="14"/>
      <c r="C1011" s="14"/>
      <c r="D1011" s="14"/>
      <c r="E1011" s="14"/>
      <c r="F1011" s="14"/>
      <c r="G1011" s="14"/>
      <c r="H1011" s="14"/>
      <c r="I1011" s="15"/>
      <c r="J1011" s="223"/>
      <c r="K1011" s="14"/>
      <c r="L1011" s="14"/>
      <c r="M1011" s="14"/>
      <c r="N1011" s="14"/>
      <c r="O1011" s="14"/>
      <c r="P1011" s="14"/>
      <c r="Q1011" s="14"/>
      <c r="R1011" s="14"/>
      <c r="S1011" s="14"/>
      <c r="T1011" s="14"/>
      <c r="U1011" s="17"/>
      <c r="V1011" s="14"/>
      <c r="W1011" s="14"/>
      <c r="X1011" s="18"/>
      <c r="Y1011" s="18"/>
      <c r="Z1011" s="18"/>
      <c r="AA1011" s="218"/>
      <c r="AB1011" s="218"/>
      <c r="AC1011" s="218"/>
    </row>
    <row r="1012" ht="15.75" customHeight="1">
      <c r="A1012" s="12"/>
      <c r="B1012" s="14"/>
      <c r="C1012" s="14"/>
      <c r="D1012" s="14"/>
      <c r="E1012" s="14"/>
      <c r="F1012" s="14"/>
      <c r="G1012" s="14"/>
      <c r="H1012" s="14"/>
      <c r="I1012" s="15"/>
      <c r="J1012" s="223"/>
      <c r="K1012" s="14"/>
      <c r="L1012" s="14"/>
      <c r="M1012" s="14"/>
      <c r="N1012" s="14"/>
      <c r="O1012" s="14"/>
      <c r="P1012" s="14"/>
      <c r="Q1012" s="14"/>
      <c r="R1012" s="14"/>
      <c r="S1012" s="14"/>
      <c r="T1012" s="14"/>
      <c r="U1012" s="17"/>
      <c r="V1012" s="14"/>
      <c r="W1012" s="14"/>
      <c r="X1012" s="18"/>
      <c r="Y1012" s="18"/>
      <c r="Z1012" s="18"/>
      <c r="AA1012" s="218"/>
      <c r="AB1012" s="218"/>
      <c r="AC1012" s="218"/>
    </row>
    <row r="1013" ht="15.75" customHeight="1">
      <c r="A1013" s="12"/>
      <c r="B1013" s="14"/>
      <c r="C1013" s="14"/>
      <c r="D1013" s="14"/>
      <c r="E1013" s="14"/>
      <c r="F1013" s="14"/>
      <c r="G1013" s="14"/>
      <c r="H1013" s="14"/>
      <c r="I1013" s="15"/>
      <c r="J1013" s="223"/>
      <c r="K1013" s="14"/>
      <c r="L1013" s="14"/>
      <c r="M1013" s="14"/>
      <c r="N1013" s="14"/>
      <c r="O1013" s="14"/>
      <c r="P1013" s="14"/>
      <c r="Q1013" s="14"/>
      <c r="R1013" s="14"/>
      <c r="S1013" s="14"/>
      <c r="T1013" s="14"/>
      <c r="U1013" s="17"/>
      <c r="V1013" s="14"/>
      <c r="W1013" s="14"/>
      <c r="X1013" s="18"/>
      <c r="Y1013" s="18"/>
      <c r="Z1013" s="18"/>
      <c r="AA1013" s="218"/>
      <c r="AB1013" s="218"/>
      <c r="AC1013" s="218"/>
    </row>
    <row r="1014" ht="15.75" customHeight="1">
      <c r="A1014" s="12"/>
      <c r="B1014" s="14"/>
      <c r="C1014" s="14"/>
      <c r="D1014" s="14"/>
      <c r="E1014" s="14"/>
      <c r="F1014" s="14"/>
      <c r="G1014" s="14"/>
      <c r="H1014" s="14"/>
      <c r="I1014" s="15"/>
      <c r="J1014" s="223"/>
      <c r="K1014" s="14"/>
      <c r="L1014" s="14"/>
      <c r="M1014" s="14"/>
      <c r="N1014" s="14"/>
      <c r="O1014" s="14"/>
      <c r="P1014" s="14"/>
      <c r="Q1014" s="14"/>
      <c r="R1014" s="14"/>
      <c r="S1014" s="14"/>
      <c r="T1014" s="14"/>
      <c r="U1014" s="17"/>
      <c r="V1014" s="14"/>
      <c r="W1014" s="14"/>
      <c r="X1014" s="18"/>
      <c r="Y1014" s="18"/>
      <c r="Z1014" s="18"/>
      <c r="AA1014" s="218"/>
      <c r="AB1014" s="218"/>
      <c r="AC1014" s="218"/>
    </row>
    <row r="1015" ht="15.75" customHeight="1">
      <c r="A1015" s="12"/>
      <c r="B1015" s="14"/>
      <c r="C1015" s="14"/>
      <c r="D1015" s="14"/>
      <c r="E1015" s="14"/>
      <c r="F1015" s="14"/>
      <c r="G1015" s="14"/>
      <c r="H1015" s="14"/>
      <c r="I1015" s="15"/>
      <c r="J1015" s="223"/>
      <c r="K1015" s="14"/>
      <c r="L1015" s="14"/>
      <c r="M1015" s="14"/>
      <c r="N1015" s="14"/>
      <c r="O1015" s="14"/>
      <c r="P1015" s="14"/>
      <c r="Q1015" s="14"/>
      <c r="R1015" s="14"/>
      <c r="S1015" s="14"/>
      <c r="T1015" s="14"/>
      <c r="U1015" s="17"/>
      <c r="V1015" s="14"/>
      <c r="W1015" s="14"/>
      <c r="X1015" s="18"/>
      <c r="Y1015" s="18"/>
      <c r="Z1015" s="18"/>
      <c r="AA1015" s="218"/>
      <c r="AB1015" s="218"/>
      <c r="AC1015" s="218"/>
    </row>
    <row r="1016" ht="15.75" customHeight="1">
      <c r="A1016" s="12"/>
      <c r="B1016" s="14"/>
      <c r="C1016" s="14"/>
      <c r="D1016" s="14"/>
      <c r="E1016" s="14"/>
      <c r="F1016" s="14"/>
      <c r="G1016" s="14"/>
      <c r="H1016" s="14"/>
      <c r="I1016" s="15"/>
      <c r="J1016" s="223"/>
      <c r="K1016" s="14"/>
      <c r="L1016" s="14"/>
      <c r="M1016" s="14"/>
      <c r="N1016" s="14"/>
      <c r="O1016" s="14"/>
      <c r="P1016" s="14"/>
      <c r="Q1016" s="14"/>
      <c r="R1016" s="14"/>
      <c r="S1016" s="14"/>
      <c r="T1016" s="14"/>
      <c r="U1016" s="17"/>
      <c r="V1016" s="14"/>
      <c r="W1016" s="14"/>
      <c r="X1016" s="18"/>
      <c r="Y1016" s="18"/>
      <c r="Z1016" s="18"/>
      <c r="AA1016" s="218"/>
      <c r="AB1016" s="218"/>
      <c r="AC1016" s="218"/>
    </row>
    <row r="1017" ht="15.75" customHeight="1">
      <c r="A1017" s="12"/>
      <c r="B1017" s="14"/>
      <c r="C1017" s="14"/>
      <c r="D1017" s="14"/>
      <c r="E1017" s="14"/>
      <c r="F1017" s="14"/>
      <c r="G1017" s="14"/>
      <c r="H1017" s="14"/>
      <c r="I1017" s="15"/>
      <c r="J1017" s="223"/>
      <c r="K1017" s="14"/>
      <c r="L1017" s="14"/>
      <c r="M1017" s="14"/>
      <c r="N1017" s="14"/>
      <c r="O1017" s="14"/>
      <c r="P1017" s="14"/>
      <c r="Q1017" s="14"/>
      <c r="R1017" s="14"/>
      <c r="S1017" s="14"/>
      <c r="T1017" s="14"/>
      <c r="U1017" s="17"/>
      <c r="V1017" s="14"/>
      <c r="W1017" s="14"/>
      <c r="X1017" s="18"/>
      <c r="Y1017" s="18"/>
      <c r="Z1017" s="18"/>
      <c r="AA1017" s="218"/>
      <c r="AB1017" s="218"/>
      <c r="AC1017" s="218"/>
    </row>
    <row r="1018" ht="15.75" customHeight="1">
      <c r="A1018" s="12"/>
      <c r="B1018" s="14"/>
      <c r="C1018" s="14"/>
      <c r="D1018" s="14"/>
      <c r="E1018" s="14"/>
      <c r="F1018" s="14"/>
      <c r="G1018" s="14"/>
      <c r="H1018" s="14"/>
      <c r="I1018" s="15"/>
      <c r="J1018" s="223"/>
      <c r="K1018" s="14"/>
      <c r="L1018" s="14"/>
      <c r="M1018" s="14"/>
      <c r="N1018" s="14"/>
      <c r="O1018" s="14"/>
      <c r="P1018" s="14"/>
      <c r="Q1018" s="14"/>
      <c r="R1018" s="14"/>
      <c r="S1018" s="14"/>
      <c r="T1018" s="14"/>
      <c r="U1018" s="17"/>
      <c r="V1018" s="14"/>
      <c r="W1018" s="14"/>
      <c r="X1018" s="18"/>
      <c r="Y1018" s="18"/>
      <c r="Z1018" s="18"/>
      <c r="AA1018" s="218"/>
      <c r="AB1018" s="218"/>
      <c r="AC1018" s="218"/>
    </row>
    <row r="1019" ht="15.75" customHeight="1">
      <c r="A1019" s="12"/>
      <c r="B1019" s="14"/>
      <c r="C1019" s="14"/>
      <c r="D1019" s="14"/>
      <c r="E1019" s="14"/>
      <c r="F1019" s="14"/>
      <c r="G1019" s="14"/>
      <c r="H1019" s="14"/>
      <c r="I1019" s="15"/>
      <c r="J1019" s="223"/>
      <c r="K1019" s="14"/>
      <c r="L1019" s="14"/>
      <c r="M1019" s="14"/>
      <c r="N1019" s="14"/>
      <c r="O1019" s="14"/>
      <c r="P1019" s="14"/>
      <c r="Q1019" s="14"/>
      <c r="R1019" s="14"/>
      <c r="S1019" s="14"/>
      <c r="T1019" s="14"/>
      <c r="U1019" s="17"/>
      <c r="V1019" s="14"/>
      <c r="W1019" s="14"/>
      <c r="X1019" s="18"/>
      <c r="Y1019" s="18"/>
      <c r="Z1019" s="18"/>
      <c r="AA1019" s="218"/>
      <c r="AB1019" s="218"/>
      <c r="AC1019" s="218"/>
    </row>
    <row r="1020" ht="15.75" customHeight="1">
      <c r="A1020" s="12"/>
      <c r="B1020" s="14"/>
      <c r="C1020" s="14"/>
      <c r="D1020" s="14"/>
      <c r="E1020" s="14"/>
      <c r="F1020" s="14"/>
      <c r="G1020" s="14"/>
      <c r="H1020" s="14"/>
      <c r="I1020" s="15"/>
      <c r="J1020" s="223"/>
      <c r="K1020" s="14"/>
      <c r="L1020" s="14"/>
      <c r="M1020" s="14"/>
      <c r="N1020" s="14"/>
      <c r="O1020" s="14"/>
      <c r="P1020" s="14"/>
      <c r="Q1020" s="14"/>
      <c r="R1020" s="14"/>
      <c r="S1020" s="14"/>
      <c r="T1020" s="14"/>
      <c r="U1020" s="17"/>
      <c r="V1020" s="14"/>
      <c r="W1020" s="14"/>
      <c r="X1020" s="18"/>
      <c r="Y1020" s="18"/>
      <c r="Z1020" s="18"/>
      <c r="AA1020" s="218"/>
      <c r="AB1020" s="218"/>
      <c r="AC1020" s="218"/>
    </row>
    <row r="1021" ht="15.75" customHeight="1">
      <c r="A1021" s="12"/>
      <c r="B1021" s="14"/>
      <c r="C1021" s="14"/>
      <c r="D1021" s="14"/>
      <c r="E1021" s="14"/>
      <c r="F1021" s="14"/>
      <c r="G1021" s="14"/>
      <c r="H1021" s="14"/>
      <c r="I1021" s="15"/>
      <c r="J1021" s="223"/>
      <c r="K1021" s="14"/>
      <c r="L1021" s="14"/>
      <c r="M1021" s="14"/>
      <c r="N1021" s="14"/>
      <c r="O1021" s="14"/>
      <c r="P1021" s="14"/>
      <c r="Q1021" s="14"/>
      <c r="R1021" s="14"/>
      <c r="S1021" s="14"/>
      <c r="T1021" s="14"/>
      <c r="U1021" s="17"/>
      <c r="V1021" s="14"/>
      <c r="W1021" s="14"/>
      <c r="X1021" s="18"/>
      <c r="Y1021" s="18"/>
      <c r="Z1021" s="18"/>
      <c r="AA1021" s="218"/>
      <c r="AB1021" s="218"/>
      <c r="AC1021" s="218"/>
    </row>
    <row r="1022" ht="15.75" customHeight="1">
      <c r="A1022" s="224"/>
      <c r="B1022" s="224"/>
      <c r="C1022" s="226"/>
      <c r="D1022" s="227"/>
      <c r="E1022" s="224"/>
      <c r="F1022" s="224"/>
      <c r="G1022" s="224"/>
      <c r="H1022" s="224"/>
      <c r="I1022" s="228"/>
      <c r="J1022" s="229"/>
      <c r="K1022" s="224"/>
      <c r="L1022" s="224"/>
      <c r="M1022" s="230"/>
      <c r="N1022" s="224"/>
      <c r="O1022" s="224"/>
      <c r="P1022" s="231"/>
      <c r="Q1022" s="224"/>
      <c r="R1022" s="224"/>
      <c r="S1022" s="232"/>
      <c r="T1022" s="224"/>
      <c r="U1022" s="224"/>
      <c r="V1022" s="224"/>
      <c r="W1022" s="224"/>
      <c r="X1022" s="225"/>
      <c r="Y1022" s="225"/>
      <c r="Z1022" s="225"/>
      <c r="AA1022" s="233"/>
      <c r="AB1022" s="233"/>
      <c r="AC1022" s="233"/>
    </row>
    <row r="1023" ht="15.75" customHeight="1">
      <c r="A1023" s="12"/>
      <c r="B1023" s="14"/>
      <c r="C1023" s="14"/>
      <c r="D1023" s="14"/>
      <c r="E1023" s="14"/>
      <c r="F1023" s="14"/>
      <c r="G1023" s="14"/>
      <c r="H1023" s="14"/>
      <c r="I1023" s="15"/>
      <c r="J1023" s="223"/>
      <c r="K1023" s="14"/>
      <c r="L1023" s="14"/>
      <c r="M1023" s="14"/>
      <c r="N1023" s="14"/>
      <c r="O1023" s="14"/>
      <c r="P1023" s="14"/>
      <c r="Q1023" s="14"/>
      <c r="R1023" s="14"/>
      <c r="S1023" s="14"/>
      <c r="T1023" s="14"/>
      <c r="U1023" s="17"/>
      <c r="V1023" s="14"/>
      <c r="W1023" s="14"/>
      <c r="X1023" s="18"/>
      <c r="Y1023" s="18"/>
      <c r="Z1023" s="18"/>
      <c r="AA1023" s="218"/>
      <c r="AB1023" s="218"/>
      <c r="AC1023" s="218"/>
    </row>
    <row r="1024" ht="15.75" customHeight="1">
      <c r="A1024" s="12"/>
      <c r="B1024" s="14"/>
      <c r="C1024" s="14"/>
      <c r="D1024" s="14"/>
      <c r="E1024" s="14"/>
      <c r="F1024" s="14"/>
      <c r="G1024" s="14"/>
      <c r="H1024" s="14"/>
      <c r="I1024" s="15"/>
      <c r="J1024" s="223"/>
      <c r="K1024" s="14"/>
      <c r="L1024" s="14"/>
      <c r="M1024" s="14"/>
      <c r="N1024" s="14"/>
      <c r="O1024" s="14"/>
      <c r="P1024" s="14"/>
      <c r="Q1024" s="14"/>
      <c r="R1024" s="14"/>
      <c r="S1024" s="14"/>
      <c r="T1024" s="14"/>
      <c r="U1024" s="17"/>
      <c r="V1024" s="14"/>
      <c r="W1024" s="14"/>
      <c r="X1024" s="18"/>
      <c r="Y1024" s="18"/>
      <c r="Z1024" s="18"/>
      <c r="AA1024" s="218"/>
      <c r="AB1024" s="218"/>
      <c r="AC1024" s="218"/>
    </row>
    <row r="1025" ht="15.75" customHeight="1">
      <c r="A1025" s="12"/>
      <c r="B1025" s="14"/>
      <c r="C1025" s="14"/>
      <c r="D1025" s="14"/>
      <c r="E1025" s="14"/>
      <c r="F1025" s="14"/>
      <c r="G1025" s="14"/>
      <c r="H1025" s="14"/>
      <c r="I1025" s="15"/>
      <c r="J1025" s="223"/>
      <c r="K1025" s="14"/>
      <c r="L1025" s="14"/>
      <c r="M1025" s="14"/>
      <c r="N1025" s="14"/>
      <c r="O1025" s="14"/>
      <c r="P1025" s="14"/>
      <c r="Q1025" s="14"/>
      <c r="R1025" s="14"/>
      <c r="S1025" s="14"/>
      <c r="T1025" s="14"/>
      <c r="U1025" s="17"/>
      <c r="V1025" s="14"/>
      <c r="W1025" s="14"/>
      <c r="X1025" s="18"/>
      <c r="Y1025" s="18"/>
      <c r="Z1025" s="18"/>
      <c r="AA1025" s="218"/>
      <c r="AB1025" s="218"/>
      <c r="AC1025" s="218"/>
    </row>
    <row r="1026" ht="15.75" customHeight="1">
      <c r="A1026" s="12"/>
      <c r="B1026" s="14"/>
      <c r="C1026" s="14"/>
      <c r="D1026" s="14"/>
      <c r="E1026" s="14"/>
      <c r="F1026" s="14"/>
      <c r="G1026" s="14"/>
      <c r="H1026" s="14"/>
      <c r="I1026" s="15"/>
      <c r="J1026" s="223"/>
      <c r="K1026" s="14"/>
      <c r="L1026" s="14"/>
      <c r="M1026" s="14"/>
      <c r="N1026" s="14"/>
      <c r="O1026" s="14"/>
      <c r="P1026" s="14"/>
      <c r="Q1026" s="14"/>
      <c r="R1026" s="14"/>
      <c r="S1026" s="14"/>
      <c r="T1026" s="14"/>
      <c r="U1026" s="17"/>
      <c r="V1026" s="14"/>
      <c r="W1026" s="14"/>
      <c r="X1026" s="18"/>
      <c r="Y1026" s="18"/>
      <c r="Z1026" s="18"/>
      <c r="AA1026" s="218"/>
      <c r="AB1026" s="218"/>
      <c r="AC1026" s="218"/>
    </row>
    <row r="1027" ht="15.75" customHeight="1">
      <c r="A1027" s="12"/>
      <c r="B1027" s="14"/>
      <c r="C1027" s="14"/>
      <c r="D1027" s="14"/>
      <c r="E1027" s="14"/>
      <c r="F1027" s="14"/>
      <c r="G1027" s="14"/>
      <c r="H1027" s="14"/>
      <c r="I1027" s="15"/>
      <c r="J1027" s="223"/>
      <c r="K1027" s="14"/>
      <c r="L1027" s="14"/>
      <c r="M1027" s="14"/>
      <c r="N1027" s="14"/>
      <c r="O1027" s="14"/>
      <c r="P1027" s="14"/>
      <c r="Q1027" s="14"/>
      <c r="R1027" s="14"/>
      <c r="S1027" s="14"/>
      <c r="T1027" s="14"/>
      <c r="U1027" s="17"/>
      <c r="V1027" s="14"/>
      <c r="W1027" s="14"/>
      <c r="X1027" s="18"/>
      <c r="Y1027" s="18"/>
      <c r="Z1027" s="18"/>
      <c r="AA1027" s="218"/>
      <c r="AB1027" s="218"/>
      <c r="AC1027" s="218"/>
    </row>
    <row r="1028" ht="15.75" customHeight="1">
      <c r="A1028" s="12"/>
      <c r="B1028" s="14"/>
      <c r="C1028" s="14"/>
      <c r="D1028" s="14"/>
      <c r="E1028" s="14"/>
      <c r="F1028" s="14"/>
      <c r="G1028" s="14"/>
      <c r="H1028" s="14"/>
      <c r="I1028" s="15"/>
      <c r="J1028" s="223"/>
      <c r="K1028" s="14"/>
      <c r="L1028" s="14"/>
      <c r="M1028" s="14"/>
      <c r="N1028" s="14"/>
      <c r="O1028" s="14"/>
      <c r="P1028" s="14"/>
      <c r="Q1028" s="14"/>
      <c r="R1028" s="14"/>
      <c r="S1028" s="14"/>
      <c r="T1028" s="14"/>
      <c r="U1028" s="17"/>
      <c r="V1028" s="14"/>
      <c r="W1028" s="14"/>
      <c r="X1028" s="18"/>
      <c r="Y1028" s="18"/>
      <c r="Z1028" s="18"/>
      <c r="AA1028" s="218"/>
      <c r="AB1028" s="218"/>
      <c r="AC1028" s="218"/>
    </row>
    <row r="1029" ht="15.75" customHeight="1">
      <c r="A1029" s="12"/>
      <c r="B1029" s="14"/>
      <c r="C1029" s="14"/>
      <c r="D1029" s="14"/>
      <c r="E1029" s="14"/>
      <c r="F1029" s="14"/>
      <c r="G1029" s="14"/>
      <c r="H1029" s="14"/>
      <c r="I1029" s="15"/>
      <c r="J1029" s="223"/>
      <c r="K1029" s="14"/>
      <c r="L1029" s="14"/>
      <c r="M1029" s="14"/>
      <c r="N1029" s="14"/>
      <c r="O1029" s="14"/>
      <c r="P1029" s="14"/>
      <c r="Q1029" s="14"/>
      <c r="R1029" s="14"/>
      <c r="S1029" s="14"/>
      <c r="T1029" s="14"/>
      <c r="U1029" s="17"/>
      <c r="V1029" s="14"/>
      <c r="W1029" s="14"/>
      <c r="X1029" s="18"/>
      <c r="Y1029" s="18"/>
      <c r="Z1029" s="18"/>
      <c r="AA1029" s="218"/>
      <c r="AB1029" s="218"/>
      <c r="AC1029" s="218"/>
    </row>
    <row r="1030" ht="15.75" customHeight="1">
      <c r="A1030" s="12"/>
      <c r="B1030" s="14"/>
      <c r="C1030" s="14"/>
      <c r="D1030" s="14"/>
      <c r="E1030" s="14"/>
      <c r="F1030" s="14"/>
      <c r="G1030" s="14"/>
      <c r="H1030" s="14"/>
      <c r="I1030" s="15"/>
      <c r="J1030" s="223"/>
      <c r="K1030" s="14"/>
      <c r="L1030" s="14"/>
      <c r="M1030" s="14"/>
      <c r="N1030" s="14"/>
      <c r="O1030" s="14"/>
      <c r="P1030" s="14"/>
      <c r="Q1030" s="14"/>
      <c r="R1030" s="14"/>
      <c r="S1030" s="14"/>
      <c r="T1030" s="14"/>
      <c r="U1030" s="17"/>
      <c r="V1030" s="14"/>
      <c r="W1030" s="14"/>
      <c r="X1030" s="18"/>
      <c r="Y1030" s="18"/>
      <c r="Z1030" s="18"/>
      <c r="AA1030" s="218"/>
      <c r="AB1030" s="218"/>
      <c r="AC1030" s="218"/>
    </row>
    <row r="1031" ht="15.75" customHeight="1">
      <c r="A1031" s="12"/>
      <c r="B1031" s="14"/>
      <c r="C1031" s="14"/>
      <c r="D1031" s="14"/>
      <c r="E1031" s="14"/>
      <c r="F1031" s="14"/>
      <c r="G1031" s="14"/>
      <c r="H1031" s="14"/>
      <c r="I1031" s="15"/>
      <c r="J1031" s="223"/>
      <c r="K1031" s="14"/>
      <c r="L1031" s="14"/>
      <c r="M1031" s="14"/>
      <c r="N1031" s="14"/>
      <c r="O1031" s="14"/>
      <c r="P1031" s="14"/>
      <c r="Q1031" s="14"/>
      <c r="R1031" s="14"/>
      <c r="S1031" s="14"/>
      <c r="T1031" s="14"/>
      <c r="U1031" s="17"/>
      <c r="V1031" s="14"/>
      <c r="W1031" s="14"/>
      <c r="X1031" s="18"/>
      <c r="Y1031" s="18"/>
      <c r="Z1031" s="18"/>
      <c r="AA1031" s="218"/>
      <c r="AB1031" s="218"/>
      <c r="AC1031" s="218"/>
    </row>
    <row r="1032" ht="15.75" customHeight="1">
      <c r="A1032" s="12"/>
      <c r="B1032" s="14"/>
      <c r="C1032" s="14"/>
      <c r="D1032" s="14"/>
      <c r="E1032" s="14"/>
      <c r="F1032" s="14"/>
      <c r="G1032" s="14"/>
      <c r="H1032" s="14"/>
      <c r="I1032" s="15"/>
      <c r="J1032" s="223"/>
      <c r="K1032" s="14"/>
      <c r="L1032" s="14"/>
      <c r="M1032" s="14"/>
      <c r="N1032" s="14"/>
      <c r="O1032" s="14"/>
      <c r="P1032" s="14"/>
      <c r="Q1032" s="14"/>
      <c r="R1032" s="14"/>
      <c r="S1032" s="14"/>
      <c r="T1032" s="14"/>
      <c r="U1032" s="17"/>
      <c r="V1032" s="14"/>
      <c r="W1032" s="14"/>
      <c r="X1032" s="18"/>
      <c r="Y1032" s="18"/>
      <c r="Z1032" s="18"/>
      <c r="AA1032" s="218"/>
      <c r="AB1032" s="218"/>
      <c r="AC1032" s="218"/>
    </row>
    <row r="1033" ht="15.75" customHeight="1">
      <c r="A1033" s="12"/>
      <c r="B1033" s="14"/>
      <c r="C1033" s="14"/>
      <c r="D1033" s="14"/>
      <c r="E1033" s="14"/>
      <c r="F1033" s="14"/>
      <c r="G1033" s="14"/>
      <c r="H1033" s="14"/>
      <c r="I1033" s="15"/>
      <c r="J1033" s="223"/>
      <c r="K1033" s="14"/>
      <c r="L1033" s="14"/>
      <c r="M1033" s="14"/>
      <c r="N1033" s="14"/>
      <c r="O1033" s="14"/>
      <c r="P1033" s="14"/>
      <c r="Q1033" s="14"/>
      <c r="R1033" s="14"/>
      <c r="S1033" s="14"/>
      <c r="T1033" s="14"/>
      <c r="U1033" s="17"/>
      <c r="V1033" s="14"/>
      <c r="W1033" s="14"/>
      <c r="X1033" s="18"/>
      <c r="Y1033" s="18"/>
      <c r="Z1033" s="18"/>
      <c r="AA1033" s="218"/>
      <c r="AB1033" s="218"/>
      <c r="AC1033" s="218"/>
    </row>
    <row r="1034" ht="15.75" customHeight="1">
      <c r="A1034" s="12"/>
      <c r="B1034" s="14"/>
      <c r="C1034" s="14"/>
      <c r="D1034" s="14"/>
      <c r="E1034" s="14"/>
      <c r="F1034" s="14"/>
      <c r="G1034" s="14"/>
      <c r="H1034" s="14"/>
      <c r="I1034" s="15"/>
      <c r="J1034" s="223"/>
      <c r="K1034" s="14"/>
      <c r="L1034" s="14"/>
      <c r="M1034" s="14"/>
      <c r="N1034" s="14"/>
      <c r="O1034" s="14"/>
      <c r="P1034" s="14"/>
      <c r="Q1034" s="14"/>
      <c r="R1034" s="14"/>
      <c r="S1034" s="14"/>
      <c r="T1034" s="14"/>
      <c r="U1034" s="17"/>
      <c r="V1034" s="14"/>
      <c r="W1034" s="14"/>
      <c r="X1034" s="18"/>
      <c r="Y1034" s="18"/>
      <c r="Z1034" s="18"/>
      <c r="AA1034" s="218"/>
      <c r="AB1034" s="218"/>
      <c r="AC1034" s="218"/>
    </row>
    <row r="1035" ht="15.75" customHeight="1">
      <c r="A1035" s="12"/>
      <c r="B1035" s="14"/>
      <c r="C1035" s="14"/>
      <c r="D1035" s="14"/>
      <c r="E1035" s="14"/>
      <c r="F1035" s="14"/>
      <c r="G1035" s="14"/>
      <c r="H1035" s="14"/>
      <c r="I1035" s="15"/>
      <c r="J1035" s="223"/>
      <c r="K1035" s="14"/>
      <c r="L1035" s="14"/>
      <c r="M1035" s="14"/>
      <c r="N1035" s="14"/>
      <c r="O1035" s="14"/>
      <c r="P1035" s="14"/>
      <c r="Q1035" s="14"/>
      <c r="R1035" s="14"/>
      <c r="S1035" s="14"/>
      <c r="T1035" s="14"/>
      <c r="U1035" s="17"/>
      <c r="V1035" s="14"/>
      <c r="W1035" s="14"/>
      <c r="X1035" s="18"/>
      <c r="Y1035" s="18"/>
      <c r="Z1035" s="18"/>
      <c r="AA1035" s="218"/>
      <c r="AB1035" s="218"/>
      <c r="AC1035" s="218"/>
    </row>
    <row r="1036" ht="15.75" customHeight="1">
      <c r="A1036" s="12"/>
      <c r="B1036" s="14"/>
      <c r="C1036" s="14"/>
      <c r="D1036" s="14"/>
      <c r="E1036" s="14"/>
      <c r="F1036" s="14"/>
      <c r="G1036" s="14"/>
      <c r="H1036" s="14"/>
      <c r="I1036" s="15"/>
      <c r="J1036" s="223"/>
      <c r="K1036" s="14"/>
      <c r="L1036" s="14"/>
      <c r="M1036" s="14"/>
      <c r="N1036" s="14"/>
      <c r="O1036" s="14"/>
      <c r="P1036" s="14"/>
      <c r="Q1036" s="14"/>
      <c r="R1036" s="14"/>
      <c r="S1036" s="14"/>
      <c r="T1036" s="14"/>
      <c r="U1036" s="17"/>
      <c r="V1036" s="14"/>
      <c r="W1036" s="14"/>
      <c r="X1036" s="18"/>
      <c r="Y1036" s="18"/>
      <c r="Z1036" s="18"/>
      <c r="AA1036" s="218"/>
      <c r="AB1036" s="218"/>
      <c r="AC1036" s="218"/>
    </row>
    <row r="1037" ht="15.75" customHeight="1">
      <c r="A1037" s="12"/>
      <c r="B1037" s="14"/>
      <c r="C1037" s="14"/>
      <c r="D1037" s="14"/>
      <c r="E1037" s="14"/>
      <c r="F1037" s="14"/>
      <c r="G1037" s="14"/>
      <c r="H1037" s="14"/>
      <c r="I1037" s="15"/>
      <c r="J1037" s="223"/>
      <c r="K1037" s="14"/>
      <c r="L1037" s="14"/>
      <c r="M1037" s="14"/>
      <c r="N1037" s="14"/>
      <c r="O1037" s="14"/>
      <c r="P1037" s="14"/>
      <c r="Q1037" s="14"/>
      <c r="R1037" s="14"/>
      <c r="S1037" s="14"/>
      <c r="T1037" s="14"/>
      <c r="U1037" s="17"/>
      <c r="V1037" s="14"/>
      <c r="W1037" s="14"/>
      <c r="X1037" s="18"/>
      <c r="Y1037" s="18"/>
      <c r="Z1037" s="18"/>
      <c r="AA1037" s="218"/>
      <c r="AB1037" s="218"/>
      <c r="AC1037" s="218"/>
    </row>
    <row r="1038" ht="15.75" customHeight="1">
      <c r="A1038" s="12"/>
      <c r="B1038" s="14"/>
      <c r="C1038" s="14"/>
      <c r="D1038" s="14"/>
      <c r="E1038" s="14"/>
      <c r="F1038" s="14"/>
      <c r="G1038" s="14"/>
      <c r="H1038" s="14"/>
      <c r="I1038" s="15"/>
      <c r="J1038" s="223"/>
      <c r="K1038" s="14"/>
      <c r="L1038" s="14"/>
      <c r="M1038" s="14"/>
      <c r="N1038" s="14"/>
      <c r="O1038" s="14"/>
      <c r="P1038" s="14"/>
      <c r="Q1038" s="14"/>
      <c r="R1038" s="14"/>
      <c r="S1038" s="14"/>
      <c r="T1038" s="14"/>
      <c r="U1038" s="17"/>
      <c r="V1038" s="14"/>
      <c r="W1038" s="14"/>
      <c r="X1038" s="18"/>
      <c r="Y1038" s="18"/>
      <c r="Z1038" s="18"/>
      <c r="AA1038" s="218"/>
      <c r="AB1038" s="218"/>
      <c r="AC1038" s="218"/>
    </row>
    <row r="1039" ht="15.75" customHeight="1">
      <c r="A1039" s="12"/>
      <c r="B1039" s="14"/>
      <c r="C1039" s="14"/>
      <c r="D1039" s="14"/>
      <c r="E1039" s="14"/>
      <c r="F1039" s="14"/>
      <c r="G1039" s="14"/>
      <c r="H1039" s="14"/>
      <c r="I1039" s="15"/>
      <c r="J1039" s="223"/>
      <c r="K1039" s="14"/>
      <c r="L1039" s="14"/>
      <c r="M1039" s="14"/>
      <c r="N1039" s="14"/>
      <c r="O1039" s="14"/>
      <c r="P1039" s="14"/>
      <c r="Q1039" s="14"/>
      <c r="R1039" s="14"/>
      <c r="S1039" s="14"/>
      <c r="T1039" s="14"/>
      <c r="U1039" s="17"/>
      <c r="V1039" s="14"/>
      <c r="W1039" s="14"/>
      <c r="X1039" s="18"/>
      <c r="Y1039" s="18"/>
      <c r="Z1039" s="18"/>
      <c r="AA1039" s="218"/>
      <c r="AB1039" s="218"/>
      <c r="AC1039" s="218"/>
    </row>
    <row r="1040" ht="15.75" customHeight="1">
      <c r="A1040" s="12"/>
      <c r="B1040" s="14"/>
      <c r="C1040" s="14"/>
      <c r="D1040" s="14"/>
      <c r="E1040" s="14"/>
      <c r="F1040" s="14"/>
      <c r="G1040" s="14"/>
      <c r="H1040" s="14"/>
      <c r="I1040" s="15"/>
      <c r="J1040" s="223"/>
      <c r="K1040" s="14"/>
      <c r="L1040" s="14"/>
      <c r="M1040" s="14"/>
      <c r="N1040" s="14"/>
      <c r="O1040" s="14"/>
      <c r="P1040" s="14"/>
      <c r="Q1040" s="14"/>
      <c r="R1040" s="14"/>
      <c r="S1040" s="14"/>
      <c r="T1040" s="14"/>
      <c r="U1040" s="17"/>
      <c r="V1040" s="14"/>
      <c r="W1040" s="14"/>
      <c r="X1040" s="18"/>
      <c r="Y1040" s="18"/>
      <c r="Z1040" s="18"/>
      <c r="AA1040" s="218"/>
      <c r="AB1040" s="218"/>
      <c r="AC1040" s="218"/>
    </row>
    <row r="1041" ht="15.75" customHeight="1">
      <c r="A1041" s="12"/>
      <c r="B1041" s="14"/>
      <c r="C1041" s="14"/>
      <c r="D1041" s="14"/>
      <c r="E1041" s="14"/>
      <c r="F1041" s="14"/>
      <c r="G1041" s="14"/>
      <c r="H1041" s="14"/>
      <c r="I1041" s="15"/>
      <c r="J1041" s="223"/>
      <c r="K1041" s="14"/>
      <c r="L1041" s="14"/>
      <c r="M1041" s="14"/>
      <c r="N1041" s="14"/>
      <c r="O1041" s="14"/>
      <c r="P1041" s="14"/>
      <c r="Q1041" s="14"/>
      <c r="R1041" s="14"/>
      <c r="S1041" s="14"/>
      <c r="T1041" s="14"/>
      <c r="U1041" s="17"/>
      <c r="V1041" s="14"/>
      <c r="W1041" s="14"/>
      <c r="X1041" s="18"/>
      <c r="Y1041" s="18"/>
      <c r="Z1041" s="18"/>
      <c r="AA1041" s="218"/>
      <c r="AB1041" s="218"/>
      <c r="AC1041" s="218"/>
    </row>
    <row r="1042" ht="15.75" customHeight="1">
      <c r="A1042" s="12"/>
      <c r="B1042" s="14"/>
      <c r="C1042" s="14"/>
      <c r="D1042" s="14"/>
      <c r="E1042" s="14"/>
      <c r="F1042" s="14"/>
      <c r="G1042" s="14"/>
      <c r="H1042" s="14"/>
      <c r="I1042" s="15"/>
      <c r="J1042" s="223"/>
      <c r="K1042" s="14"/>
      <c r="L1042" s="14"/>
      <c r="M1042" s="14"/>
      <c r="N1042" s="14"/>
      <c r="O1042" s="14"/>
      <c r="P1042" s="14"/>
      <c r="Q1042" s="14"/>
      <c r="R1042" s="14"/>
      <c r="S1042" s="14"/>
      <c r="T1042" s="14"/>
      <c r="U1042" s="17"/>
      <c r="V1042" s="14"/>
      <c r="W1042" s="14"/>
      <c r="X1042" s="18"/>
      <c r="Y1042" s="18"/>
      <c r="Z1042" s="18"/>
      <c r="AA1042" s="218"/>
      <c r="AB1042" s="218"/>
      <c r="AC1042" s="218"/>
    </row>
    <row r="1043" ht="15.75" customHeight="1">
      <c r="A1043" s="12"/>
      <c r="B1043" s="14"/>
      <c r="C1043" s="14"/>
      <c r="D1043" s="14"/>
      <c r="E1043" s="14"/>
      <c r="F1043" s="14"/>
      <c r="G1043" s="14"/>
      <c r="H1043" s="14"/>
      <c r="I1043" s="15"/>
      <c r="J1043" s="223"/>
      <c r="K1043" s="14"/>
      <c r="L1043" s="14"/>
      <c r="M1043" s="14"/>
      <c r="N1043" s="14"/>
      <c r="O1043" s="14"/>
      <c r="P1043" s="14"/>
      <c r="Q1043" s="14"/>
      <c r="R1043" s="14"/>
      <c r="S1043" s="14"/>
      <c r="T1043" s="14"/>
      <c r="U1043" s="17"/>
      <c r="V1043" s="14"/>
      <c r="W1043" s="14"/>
      <c r="X1043" s="18"/>
      <c r="Y1043" s="18"/>
      <c r="Z1043" s="18"/>
      <c r="AA1043" s="218"/>
      <c r="AB1043" s="218"/>
      <c r="AC1043" s="218"/>
    </row>
    <row r="1044" ht="15.75" customHeight="1">
      <c r="A1044" s="12"/>
      <c r="B1044" s="14"/>
      <c r="C1044" s="14"/>
      <c r="D1044" s="14"/>
      <c r="E1044" s="14"/>
      <c r="F1044" s="14"/>
      <c r="G1044" s="14"/>
      <c r="H1044" s="14"/>
      <c r="I1044" s="15"/>
      <c r="J1044" s="223"/>
      <c r="K1044" s="14"/>
      <c r="L1044" s="14"/>
      <c r="M1044" s="14"/>
      <c r="N1044" s="14"/>
      <c r="O1044" s="14"/>
      <c r="P1044" s="14"/>
      <c r="Q1044" s="14"/>
      <c r="R1044" s="14"/>
      <c r="S1044" s="14"/>
      <c r="T1044" s="14"/>
      <c r="U1044" s="17"/>
      <c r="V1044" s="14"/>
      <c r="W1044" s="14"/>
      <c r="X1044" s="18"/>
      <c r="Y1044" s="18"/>
      <c r="Z1044" s="18"/>
      <c r="AA1044" s="218"/>
      <c r="AB1044" s="218"/>
      <c r="AC1044" s="218"/>
    </row>
    <row r="1045" ht="15.75" customHeight="1">
      <c r="A1045" s="12"/>
      <c r="B1045" s="14"/>
      <c r="C1045" s="14"/>
      <c r="D1045" s="14"/>
      <c r="E1045" s="14"/>
      <c r="F1045" s="14"/>
      <c r="G1045" s="14"/>
      <c r="H1045" s="14"/>
      <c r="I1045" s="15"/>
      <c r="J1045" s="223"/>
      <c r="K1045" s="14"/>
      <c r="L1045" s="14"/>
      <c r="M1045" s="14"/>
      <c r="N1045" s="14"/>
      <c r="O1045" s="14"/>
      <c r="P1045" s="14"/>
      <c r="Q1045" s="14"/>
      <c r="R1045" s="14"/>
      <c r="S1045" s="14"/>
      <c r="T1045" s="14"/>
      <c r="U1045" s="17"/>
      <c r="V1045" s="14"/>
      <c r="W1045" s="14"/>
      <c r="X1045" s="18"/>
      <c r="Y1045" s="18"/>
      <c r="Z1045" s="18"/>
      <c r="AA1045" s="218"/>
      <c r="AB1045" s="218"/>
      <c r="AC1045" s="218"/>
    </row>
    <row r="1046" ht="15.75" customHeight="1">
      <c r="A1046" s="12"/>
      <c r="B1046" s="14"/>
      <c r="C1046" s="14"/>
      <c r="D1046" s="14"/>
      <c r="E1046" s="14"/>
      <c r="F1046" s="14"/>
      <c r="G1046" s="14"/>
      <c r="H1046" s="14"/>
      <c r="I1046" s="15"/>
      <c r="J1046" s="223"/>
      <c r="K1046" s="14"/>
      <c r="L1046" s="14"/>
      <c r="M1046" s="14"/>
      <c r="N1046" s="14"/>
      <c r="O1046" s="14"/>
      <c r="P1046" s="14"/>
      <c r="Q1046" s="14"/>
      <c r="R1046" s="14"/>
      <c r="S1046" s="14"/>
      <c r="T1046" s="14"/>
      <c r="U1046" s="17"/>
      <c r="V1046" s="14"/>
      <c r="W1046" s="14"/>
      <c r="X1046" s="18"/>
      <c r="Y1046" s="18"/>
      <c r="Z1046" s="18"/>
      <c r="AA1046" s="218"/>
      <c r="AB1046" s="218"/>
      <c r="AC1046" s="218"/>
    </row>
    <row r="1047" ht="15.75" customHeight="1">
      <c r="A1047" s="12"/>
      <c r="B1047" s="14"/>
      <c r="C1047" s="14"/>
      <c r="D1047" s="14"/>
      <c r="E1047" s="14"/>
      <c r="F1047" s="14"/>
      <c r="G1047" s="14"/>
      <c r="H1047" s="14"/>
      <c r="I1047" s="15"/>
      <c r="J1047" s="223"/>
      <c r="K1047" s="14"/>
      <c r="L1047" s="14"/>
      <c r="M1047" s="14"/>
      <c r="N1047" s="14"/>
      <c r="O1047" s="14"/>
      <c r="P1047" s="14"/>
      <c r="Q1047" s="14"/>
      <c r="R1047" s="14"/>
      <c r="S1047" s="14"/>
      <c r="T1047" s="14"/>
      <c r="U1047" s="17"/>
      <c r="V1047" s="14"/>
      <c r="W1047" s="14"/>
      <c r="X1047" s="18"/>
      <c r="Y1047" s="18"/>
      <c r="Z1047" s="18"/>
      <c r="AA1047" s="218"/>
      <c r="AB1047" s="218"/>
      <c r="AC1047" s="218"/>
    </row>
    <row r="1048" ht="15.75" customHeight="1">
      <c r="A1048" s="12"/>
      <c r="B1048" s="14"/>
      <c r="C1048" s="14"/>
      <c r="D1048" s="14"/>
      <c r="E1048" s="14"/>
      <c r="F1048" s="14"/>
      <c r="G1048" s="14"/>
      <c r="H1048" s="14"/>
      <c r="I1048" s="15"/>
      <c r="J1048" s="223"/>
      <c r="K1048" s="14"/>
      <c r="L1048" s="14"/>
      <c r="M1048" s="14"/>
      <c r="N1048" s="14"/>
      <c r="O1048" s="14"/>
      <c r="P1048" s="14"/>
      <c r="Q1048" s="14"/>
      <c r="R1048" s="14"/>
      <c r="S1048" s="14"/>
      <c r="T1048" s="14"/>
      <c r="U1048" s="17"/>
      <c r="V1048" s="14"/>
      <c r="W1048" s="14"/>
      <c r="X1048" s="18"/>
      <c r="Y1048" s="18"/>
      <c r="Z1048" s="18"/>
      <c r="AA1048" s="218"/>
      <c r="AB1048" s="218"/>
      <c r="AC1048" s="218"/>
    </row>
    <row r="1049" ht="15.75" customHeight="1">
      <c r="A1049" s="12"/>
      <c r="B1049" s="14"/>
      <c r="C1049" s="14"/>
      <c r="D1049" s="14"/>
      <c r="E1049" s="14"/>
      <c r="F1049" s="14"/>
      <c r="G1049" s="14"/>
      <c r="H1049" s="14"/>
      <c r="I1049" s="15"/>
      <c r="J1049" s="223"/>
      <c r="K1049" s="14"/>
      <c r="L1049" s="14"/>
      <c r="M1049" s="14"/>
      <c r="N1049" s="14"/>
      <c r="O1049" s="14"/>
      <c r="P1049" s="14"/>
      <c r="Q1049" s="14"/>
      <c r="R1049" s="14"/>
      <c r="S1049" s="14"/>
      <c r="T1049" s="14"/>
      <c r="U1049" s="17"/>
      <c r="V1049" s="14"/>
      <c r="W1049" s="14"/>
      <c r="X1049" s="18"/>
      <c r="Y1049" s="18"/>
      <c r="Z1049" s="18"/>
      <c r="AA1049" s="218"/>
      <c r="AB1049" s="218"/>
      <c r="AC1049" s="218"/>
    </row>
    <row r="1050" ht="15.75" customHeight="1">
      <c r="A1050" s="12"/>
      <c r="B1050" s="14"/>
      <c r="C1050" s="14"/>
      <c r="D1050" s="14"/>
      <c r="E1050" s="14"/>
      <c r="F1050" s="14"/>
      <c r="G1050" s="14"/>
      <c r="H1050" s="14"/>
      <c r="I1050" s="15"/>
      <c r="J1050" s="223"/>
      <c r="K1050" s="14"/>
      <c r="L1050" s="14"/>
      <c r="M1050" s="14"/>
      <c r="N1050" s="14"/>
      <c r="O1050" s="14"/>
      <c r="P1050" s="14"/>
      <c r="Q1050" s="14"/>
      <c r="R1050" s="14"/>
      <c r="S1050" s="14"/>
      <c r="T1050" s="14"/>
      <c r="U1050" s="17"/>
      <c r="V1050" s="14"/>
      <c r="W1050" s="14"/>
      <c r="X1050" s="18"/>
      <c r="Y1050" s="18"/>
      <c r="Z1050" s="18"/>
      <c r="AA1050" s="218"/>
      <c r="AB1050" s="218"/>
      <c r="AC1050" s="218"/>
    </row>
    <row r="1051" ht="15.75" customHeight="1">
      <c r="A1051" s="12"/>
      <c r="B1051" s="14"/>
      <c r="C1051" s="14"/>
      <c r="D1051" s="14"/>
      <c r="E1051" s="14"/>
      <c r="F1051" s="14"/>
      <c r="G1051" s="14"/>
      <c r="H1051" s="14"/>
      <c r="I1051" s="15"/>
      <c r="J1051" s="223"/>
      <c r="K1051" s="14"/>
      <c r="L1051" s="14"/>
      <c r="M1051" s="14"/>
      <c r="N1051" s="14"/>
      <c r="O1051" s="14"/>
      <c r="P1051" s="14"/>
      <c r="Q1051" s="14"/>
      <c r="R1051" s="14"/>
      <c r="S1051" s="14"/>
      <c r="T1051" s="14"/>
      <c r="U1051" s="17"/>
      <c r="V1051" s="14"/>
      <c r="W1051" s="14"/>
      <c r="X1051" s="18"/>
      <c r="Y1051" s="18"/>
      <c r="Z1051" s="18"/>
      <c r="AA1051" s="218"/>
      <c r="AB1051" s="218"/>
      <c r="AC1051" s="218"/>
    </row>
    <row r="1052" ht="15.75" customHeight="1">
      <c r="A1052" s="12"/>
      <c r="B1052" s="14"/>
      <c r="C1052" s="14"/>
      <c r="D1052" s="14"/>
      <c r="E1052" s="14"/>
      <c r="F1052" s="14"/>
      <c r="G1052" s="14"/>
      <c r="H1052" s="14"/>
      <c r="I1052" s="15"/>
      <c r="J1052" s="223"/>
      <c r="K1052" s="14"/>
      <c r="L1052" s="14"/>
      <c r="M1052" s="14"/>
      <c r="N1052" s="14"/>
      <c r="O1052" s="14"/>
      <c r="P1052" s="14"/>
      <c r="Q1052" s="14"/>
      <c r="R1052" s="14"/>
      <c r="S1052" s="14"/>
      <c r="T1052" s="14"/>
      <c r="U1052" s="17"/>
      <c r="V1052" s="14"/>
      <c r="W1052" s="14"/>
      <c r="X1052" s="18"/>
      <c r="Y1052" s="18"/>
      <c r="Z1052" s="18"/>
      <c r="AA1052" s="218"/>
      <c r="AB1052" s="218"/>
      <c r="AC1052" s="218"/>
    </row>
    <row r="1053" ht="15.75" customHeight="1">
      <c r="A1053" s="12"/>
      <c r="B1053" s="14"/>
      <c r="C1053" s="14"/>
      <c r="D1053" s="14"/>
      <c r="E1053" s="14"/>
      <c r="F1053" s="14"/>
      <c r="G1053" s="14"/>
      <c r="H1053" s="14"/>
      <c r="I1053" s="15"/>
      <c r="J1053" s="223"/>
      <c r="K1053" s="14"/>
      <c r="L1053" s="14"/>
      <c r="M1053" s="14"/>
      <c r="N1053" s="14"/>
      <c r="O1053" s="14"/>
      <c r="P1053" s="14"/>
      <c r="Q1053" s="14"/>
      <c r="R1053" s="14"/>
      <c r="S1053" s="14"/>
      <c r="T1053" s="14"/>
      <c r="U1053" s="17"/>
      <c r="V1053" s="14"/>
      <c r="W1053" s="14"/>
      <c r="X1053" s="18"/>
      <c r="Y1053" s="18"/>
      <c r="Z1053" s="18"/>
      <c r="AA1053" s="218"/>
      <c r="AB1053" s="218"/>
      <c r="AC1053" s="218"/>
    </row>
    <row r="1054" ht="15.75" customHeight="1">
      <c r="A1054" s="12"/>
      <c r="B1054" s="14"/>
      <c r="C1054" s="14"/>
      <c r="D1054" s="14"/>
      <c r="E1054" s="14"/>
      <c r="F1054" s="14"/>
      <c r="G1054" s="14"/>
      <c r="H1054" s="14"/>
      <c r="I1054" s="15"/>
      <c r="J1054" s="223"/>
      <c r="K1054" s="14"/>
      <c r="L1054" s="14"/>
      <c r="M1054" s="14"/>
      <c r="N1054" s="14"/>
      <c r="O1054" s="14"/>
      <c r="P1054" s="14"/>
      <c r="Q1054" s="14"/>
      <c r="R1054" s="14"/>
      <c r="S1054" s="14"/>
      <c r="T1054" s="14"/>
      <c r="U1054" s="17"/>
      <c r="V1054" s="14"/>
      <c r="W1054" s="14"/>
      <c r="X1054" s="18"/>
      <c r="Y1054" s="18"/>
      <c r="Z1054" s="18"/>
      <c r="AA1054" s="218"/>
      <c r="AB1054" s="218"/>
      <c r="AC1054" s="218"/>
    </row>
    <row r="1055" ht="15.75" customHeight="1">
      <c r="A1055" s="12"/>
      <c r="B1055" s="14"/>
      <c r="C1055" s="14"/>
      <c r="D1055" s="14"/>
      <c r="E1055" s="14"/>
      <c r="F1055" s="14"/>
      <c r="G1055" s="14"/>
      <c r="H1055" s="14"/>
      <c r="I1055" s="15"/>
      <c r="J1055" s="223"/>
      <c r="K1055" s="14"/>
      <c r="L1055" s="14"/>
      <c r="M1055" s="14"/>
      <c r="N1055" s="14"/>
      <c r="O1055" s="14"/>
      <c r="P1055" s="14"/>
      <c r="Q1055" s="14"/>
      <c r="R1055" s="14"/>
      <c r="S1055" s="14"/>
      <c r="T1055" s="14"/>
      <c r="U1055" s="17"/>
      <c r="V1055" s="14"/>
      <c r="W1055" s="14"/>
      <c r="X1055" s="18"/>
      <c r="Y1055" s="18"/>
      <c r="Z1055" s="18"/>
      <c r="AA1055" s="218"/>
      <c r="AB1055" s="218"/>
      <c r="AC1055" s="218"/>
    </row>
    <row r="1056" ht="15.75" customHeight="1">
      <c r="A1056" s="12"/>
      <c r="B1056" s="14"/>
      <c r="C1056" s="14"/>
      <c r="D1056" s="14"/>
      <c r="E1056" s="14"/>
      <c r="F1056" s="14"/>
      <c r="G1056" s="14"/>
      <c r="H1056" s="14"/>
      <c r="I1056" s="15"/>
      <c r="J1056" s="223"/>
      <c r="K1056" s="14"/>
      <c r="L1056" s="14"/>
      <c r="M1056" s="14"/>
      <c r="N1056" s="14"/>
      <c r="O1056" s="14"/>
      <c r="P1056" s="14"/>
      <c r="Q1056" s="14"/>
      <c r="R1056" s="14"/>
      <c r="S1056" s="14"/>
      <c r="T1056" s="14"/>
      <c r="U1056" s="17"/>
      <c r="V1056" s="14"/>
      <c r="W1056" s="14"/>
      <c r="X1056" s="18"/>
      <c r="Y1056" s="18"/>
      <c r="Z1056" s="18"/>
      <c r="AA1056" s="218"/>
      <c r="AB1056" s="218"/>
      <c r="AC1056" s="218"/>
    </row>
    <row r="1057" ht="15.75" customHeight="1">
      <c r="A1057" s="12"/>
      <c r="B1057" s="14"/>
      <c r="C1057" s="14"/>
      <c r="D1057" s="14"/>
      <c r="E1057" s="14"/>
      <c r="F1057" s="14"/>
      <c r="G1057" s="14"/>
      <c r="H1057" s="14"/>
      <c r="I1057" s="15"/>
      <c r="J1057" s="223"/>
      <c r="K1057" s="14"/>
      <c r="L1057" s="14"/>
      <c r="M1057" s="14"/>
      <c r="N1057" s="14"/>
      <c r="O1057" s="14"/>
      <c r="P1057" s="14"/>
      <c r="Q1057" s="14"/>
      <c r="R1057" s="14"/>
      <c r="S1057" s="14"/>
      <c r="T1057" s="14"/>
      <c r="U1057" s="17"/>
      <c r="V1057" s="14"/>
      <c r="W1057" s="14"/>
      <c r="X1057" s="18"/>
      <c r="Y1057" s="18"/>
      <c r="Z1057" s="18"/>
      <c r="AA1057" s="218"/>
      <c r="AB1057" s="218"/>
      <c r="AC1057" s="218"/>
    </row>
    <row r="1058" ht="15.75" customHeight="1">
      <c r="A1058" s="12"/>
      <c r="B1058" s="14"/>
      <c r="C1058" s="14"/>
      <c r="D1058" s="14"/>
      <c r="E1058" s="14"/>
      <c r="F1058" s="14"/>
      <c r="G1058" s="14"/>
      <c r="H1058" s="14"/>
      <c r="I1058" s="15"/>
      <c r="J1058" s="223"/>
      <c r="K1058" s="14"/>
      <c r="L1058" s="14"/>
      <c r="M1058" s="14"/>
      <c r="N1058" s="14"/>
      <c r="O1058" s="14"/>
      <c r="P1058" s="14"/>
      <c r="Q1058" s="14"/>
      <c r="R1058" s="14"/>
      <c r="S1058" s="14"/>
      <c r="T1058" s="14"/>
      <c r="U1058" s="17"/>
      <c r="V1058" s="14"/>
      <c r="W1058" s="14"/>
      <c r="X1058" s="18"/>
      <c r="Y1058" s="18"/>
      <c r="Z1058" s="18"/>
      <c r="AA1058" s="218"/>
      <c r="AB1058" s="218"/>
      <c r="AC1058" s="218"/>
    </row>
    <row r="1059" ht="15.75" customHeight="1">
      <c r="A1059" s="12"/>
      <c r="B1059" s="14"/>
      <c r="C1059" s="14"/>
      <c r="D1059" s="14"/>
      <c r="E1059" s="14"/>
      <c r="F1059" s="14"/>
      <c r="G1059" s="14"/>
      <c r="H1059" s="14"/>
      <c r="I1059" s="15"/>
      <c r="J1059" s="223"/>
      <c r="K1059" s="14"/>
      <c r="L1059" s="14"/>
      <c r="M1059" s="14"/>
      <c r="N1059" s="14"/>
      <c r="O1059" s="14"/>
      <c r="P1059" s="14"/>
      <c r="Q1059" s="14"/>
      <c r="R1059" s="14"/>
      <c r="S1059" s="14"/>
      <c r="T1059" s="14"/>
      <c r="U1059" s="17"/>
      <c r="V1059" s="14"/>
      <c r="W1059" s="14"/>
      <c r="X1059" s="18"/>
      <c r="Y1059" s="18"/>
      <c r="Z1059" s="18"/>
      <c r="AA1059" s="218"/>
      <c r="AB1059" s="218"/>
      <c r="AC1059" s="218"/>
    </row>
    <row r="1060" ht="15.75" customHeight="1">
      <c r="A1060" s="12"/>
      <c r="B1060" s="14"/>
      <c r="C1060" s="14"/>
      <c r="D1060" s="14"/>
      <c r="E1060" s="14"/>
      <c r="F1060" s="14"/>
      <c r="G1060" s="14"/>
      <c r="H1060" s="14"/>
      <c r="I1060" s="15"/>
      <c r="J1060" s="223"/>
      <c r="K1060" s="14"/>
      <c r="L1060" s="14"/>
      <c r="M1060" s="14"/>
      <c r="N1060" s="14"/>
      <c r="O1060" s="14"/>
      <c r="P1060" s="14"/>
      <c r="Q1060" s="14"/>
      <c r="R1060" s="14"/>
      <c r="S1060" s="14"/>
      <c r="T1060" s="14"/>
      <c r="U1060" s="17"/>
      <c r="V1060" s="14"/>
      <c r="W1060" s="14"/>
      <c r="X1060" s="18"/>
      <c r="Y1060" s="18"/>
      <c r="Z1060" s="18"/>
      <c r="AA1060" s="218"/>
      <c r="AB1060" s="218"/>
      <c r="AC1060" s="218"/>
    </row>
    <row r="1061" ht="15.75" customHeight="1">
      <c r="A1061" s="12"/>
      <c r="B1061" s="14"/>
      <c r="C1061" s="14"/>
      <c r="D1061" s="14"/>
      <c r="E1061" s="14"/>
      <c r="F1061" s="14"/>
      <c r="G1061" s="14"/>
      <c r="H1061" s="14"/>
      <c r="I1061" s="15"/>
      <c r="J1061" s="223"/>
      <c r="K1061" s="14"/>
      <c r="L1061" s="14"/>
      <c r="M1061" s="14"/>
      <c r="N1061" s="14"/>
      <c r="O1061" s="14"/>
      <c r="P1061" s="14"/>
      <c r="Q1061" s="14"/>
      <c r="R1061" s="14"/>
      <c r="S1061" s="14"/>
      <c r="T1061" s="14"/>
      <c r="U1061" s="17"/>
      <c r="V1061" s="14"/>
      <c r="W1061" s="14"/>
      <c r="X1061" s="18"/>
      <c r="Y1061" s="18"/>
      <c r="Z1061" s="18"/>
      <c r="AA1061" s="218"/>
      <c r="AB1061" s="218"/>
      <c r="AC1061" s="218"/>
    </row>
    <row r="1062" ht="15.75" customHeight="1">
      <c r="A1062" s="12"/>
      <c r="B1062" s="14"/>
      <c r="C1062" s="14"/>
      <c r="D1062" s="14"/>
      <c r="E1062" s="14"/>
      <c r="F1062" s="14"/>
      <c r="G1062" s="14"/>
      <c r="H1062" s="14"/>
      <c r="I1062" s="15"/>
      <c r="J1062" s="223"/>
      <c r="K1062" s="14"/>
      <c r="L1062" s="14"/>
      <c r="M1062" s="14"/>
      <c r="N1062" s="14"/>
      <c r="O1062" s="14"/>
      <c r="P1062" s="14"/>
      <c r="Q1062" s="14"/>
      <c r="R1062" s="14"/>
      <c r="S1062" s="14"/>
      <c r="T1062" s="14"/>
      <c r="U1062" s="17"/>
      <c r="V1062" s="14"/>
      <c r="W1062" s="14"/>
      <c r="X1062" s="18"/>
      <c r="Y1062" s="18"/>
      <c r="Z1062" s="18"/>
      <c r="AA1062" s="218"/>
      <c r="AB1062" s="218"/>
      <c r="AC1062" s="218"/>
    </row>
    <row r="1063" ht="15.75" customHeight="1">
      <c r="A1063" s="12"/>
      <c r="B1063" s="14"/>
      <c r="C1063" s="14"/>
      <c r="D1063" s="14"/>
      <c r="E1063" s="14"/>
      <c r="F1063" s="14"/>
      <c r="G1063" s="14"/>
      <c r="H1063" s="14"/>
      <c r="I1063" s="15"/>
      <c r="J1063" s="223"/>
      <c r="K1063" s="14"/>
      <c r="L1063" s="14"/>
      <c r="M1063" s="14"/>
      <c r="N1063" s="14"/>
      <c r="O1063" s="14"/>
      <c r="P1063" s="14"/>
      <c r="Q1063" s="14"/>
      <c r="R1063" s="14"/>
      <c r="S1063" s="14"/>
      <c r="T1063" s="14"/>
      <c r="U1063" s="17"/>
      <c r="V1063" s="14"/>
      <c r="W1063" s="14"/>
      <c r="X1063" s="18"/>
      <c r="Y1063" s="18"/>
      <c r="Z1063" s="18"/>
      <c r="AA1063" s="218"/>
      <c r="AB1063" s="218"/>
      <c r="AC1063" s="218"/>
    </row>
    <row r="1064" ht="15.75" customHeight="1">
      <c r="A1064" s="12"/>
      <c r="B1064" s="14"/>
      <c r="C1064" s="14"/>
      <c r="D1064" s="14"/>
      <c r="E1064" s="14"/>
      <c r="F1064" s="14"/>
      <c r="G1064" s="14"/>
      <c r="H1064" s="14"/>
      <c r="I1064" s="15"/>
      <c r="J1064" s="223"/>
      <c r="K1064" s="14"/>
      <c r="L1064" s="14"/>
      <c r="M1064" s="14"/>
      <c r="N1064" s="14"/>
      <c r="O1064" s="14"/>
      <c r="P1064" s="14"/>
      <c r="Q1064" s="14"/>
      <c r="R1064" s="14"/>
      <c r="S1064" s="14"/>
      <c r="T1064" s="14"/>
      <c r="U1064" s="17"/>
      <c r="V1064" s="14"/>
      <c r="W1064" s="14"/>
      <c r="X1064" s="18"/>
      <c r="Y1064" s="18"/>
      <c r="Z1064" s="18"/>
      <c r="AA1064" s="218"/>
      <c r="AB1064" s="218"/>
      <c r="AC1064" s="218"/>
    </row>
    <row r="1065" ht="15.75" customHeight="1">
      <c r="A1065" s="12"/>
      <c r="B1065" s="14"/>
      <c r="C1065" s="14"/>
      <c r="D1065" s="14"/>
      <c r="E1065" s="14"/>
      <c r="F1065" s="14"/>
      <c r="G1065" s="14"/>
      <c r="H1065" s="14"/>
      <c r="I1065" s="15"/>
      <c r="J1065" s="223"/>
      <c r="K1065" s="14"/>
      <c r="L1065" s="14"/>
      <c r="M1065" s="14"/>
      <c r="N1065" s="14"/>
      <c r="O1065" s="14"/>
      <c r="P1065" s="14"/>
      <c r="Q1065" s="14"/>
      <c r="R1065" s="14"/>
      <c r="S1065" s="14"/>
      <c r="T1065" s="14"/>
      <c r="U1065" s="17"/>
      <c r="V1065" s="14"/>
      <c r="W1065" s="14"/>
      <c r="X1065" s="18"/>
      <c r="Y1065" s="18"/>
      <c r="Z1065" s="18"/>
      <c r="AA1065" s="218"/>
      <c r="AB1065" s="218"/>
      <c r="AC1065" s="218"/>
    </row>
    <row r="1066" ht="15.75" customHeight="1">
      <c r="A1066" s="12"/>
      <c r="B1066" s="14"/>
      <c r="C1066" s="14"/>
      <c r="D1066" s="14"/>
      <c r="E1066" s="14"/>
      <c r="F1066" s="14"/>
      <c r="G1066" s="14"/>
      <c r="H1066" s="14"/>
      <c r="I1066" s="15"/>
      <c r="J1066" s="223"/>
      <c r="K1066" s="14"/>
      <c r="L1066" s="14"/>
      <c r="M1066" s="14"/>
      <c r="N1066" s="14"/>
      <c r="O1066" s="14"/>
      <c r="P1066" s="14"/>
      <c r="Q1066" s="14"/>
      <c r="R1066" s="14"/>
      <c r="S1066" s="14"/>
      <c r="T1066" s="14"/>
      <c r="U1066" s="17"/>
      <c r="V1066" s="14"/>
      <c r="W1066" s="14"/>
      <c r="X1066" s="18"/>
      <c r="Y1066" s="18"/>
      <c r="Z1066" s="18"/>
      <c r="AA1066" s="218"/>
      <c r="AB1066" s="218"/>
      <c r="AC1066" s="218"/>
    </row>
    <row r="1067" ht="15.75" customHeight="1">
      <c r="A1067" s="12"/>
      <c r="B1067" s="14"/>
      <c r="C1067" s="14"/>
      <c r="D1067" s="14"/>
      <c r="E1067" s="14"/>
      <c r="F1067" s="14"/>
      <c r="G1067" s="14"/>
      <c r="H1067" s="14"/>
      <c r="I1067" s="15"/>
      <c r="J1067" s="223"/>
      <c r="K1067" s="14"/>
      <c r="L1067" s="14"/>
      <c r="M1067" s="14"/>
      <c r="N1067" s="14"/>
      <c r="O1067" s="14"/>
      <c r="P1067" s="14"/>
      <c r="Q1067" s="14"/>
      <c r="R1067" s="14"/>
      <c r="S1067" s="14"/>
      <c r="T1067" s="14"/>
      <c r="U1067" s="17"/>
      <c r="V1067" s="14"/>
      <c r="W1067" s="14"/>
      <c r="X1067" s="18"/>
      <c r="Y1067" s="18"/>
      <c r="Z1067" s="18"/>
      <c r="AA1067" s="218"/>
      <c r="AB1067" s="218"/>
      <c r="AC1067" s="218"/>
    </row>
    <row r="1068" ht="15.75" customHeight="1">
      <c r="A1068" s="12"/>
      <c r="B1068" s="14"/>
      <c r="C1068" s="14"/>
      <c r="D1068" s="14"/>
      <c r="E1068" s="14"/>
      <c r="F1068" s="14"/>
      <c r="G1068" s="14"/>
      <c r="H1068" s="14"/>
      <c r="I1068" s="15"/>
      <c r="J1068" s="223"/>
      <c r="K1068" s="14"/>
      <c r="L1068" s="14"/>
      <c r="M1068" s="14"/>
      <c r="N1068" s="14"/>
      <c r="O1068" s="14"/>
      <c r="P1068" s="14"/>
      <c r="Q1068" s="14"/>
      <c r="R1068" s="14"/>
      <c r="S1068" s="14"/>
      <c r="T1068" s="14"/>
      <c r="U1068" s="17"/>
      <c r="V1068" s="14"/>
      <c r="W1068" s="14"/>
      <c r="X1068" s="18"/>
      <c r="Y1068" s="18"/>
      <c r="Z1068" s="18"/>
      <c r="AA1068" s="218"/>
      <c r="AB1068" s="218"/>
      <c r="AC1068" s="218"/>
    </row>
    <row r="1069" ht="15.75" customHeight="1">
      <c r="A1069" s="12"/>
      <c r="B1069" s="14"/>
      <c r="C1069" s="14"/>
      <c r="D1069" s="14"/>
      <c r="E1069" s="14"/>
      <c r="F1069" s="14"/>
      <c r="G1069" s="14"/>
      <c r="H1069" s="14"/>
      <c r="I1069" s="15"/>
      <c r="J1069" s="223"/>
      <c r="K1069" s="14"/>
      <c r="L1069" s="14"/>
      <c r="M1069" s="14"/>
      <c r="N1069" s="14"/>
      <c r="O1069" s="14"/>
      <c r="P1069" s="14"/>
      <c r="Q1069" s="14"/>
      <c r="R1069" s="14"/>
      <c r="S1069" s="14"/>
      <c r="T1069" s="14"/>
      <c r="U1069" s="17"/>
      <c r="V1069" s="14"/>
      <c r="W1069" s="14"/>
      <c r="X1069" s="18"/>
      <c r="Y1069" s="18"/>
      <c r="Z1069" s="18"/>
      <c r="AA1069" s="218"/>
      <c r="AB1069" s="218"/>
      <c r="AC1069" s="218"/>
    </row>
    <row r="1070" ht="15.75" customHeight="1">
      <c r="A1070" s="12"/>
      <c r="B1070" s="14"/>
      <c r="C1070" s="14"/>
      <c r="D1070" s="14"/>
      <c r="E1070" s="14"/>
      <c r="F1070" s="14"/>
      <c r="G1070" s="14"/>
      <c r="H1070" s="14"/>
      <c r="I1070" s="15"/>
      <c r="J1070" s="223"/>
      <c r="K1070" s="14"/>
      <c r="L1070" s="14"/>
      <c r="M1070" s="14"/>
      <c r="N1070" s="14"/>
      <c r="O1070" s="14"/>
      <c r="P1070" s="14"/>
      <c r="Q1070" s="14"/>
      <c r="R1070" s="14"/>
      <c r="S1070" s="14"/>
      <c r="T1070" s="14"/>
      <c r="U1070" s="17"/>
      <c r="V1070" s="14"/>
      <c r="W1070" s="14"/>
      <c r="X1070" s="18"/>
      <c r="Y1070" s="18"/>
      <c r="Z1070" s="18"/>
      <c r="AA1070" s="218"/>
      <c r="AB1070" s="218"/>
      <c r="AC1070" s="218"/>
    </row>
    <row r="1071" ht="15.75" customHeight="1">
      <c r="A1071" s="12"/>
      <c r="B1071" s="14"/>
      <c r="C1071" s="14"/>
      <c r="D1071" s="14"/>
      <c r="E1071" s="14"/>
      <c r="F1071" s="14"/>
      <c r="G1071" s="14"/>
      <c r="H1071" s="14"/>
      <c r="I1071" s="15"/>
      <c r="J1071" s="223"/>
      <c r="K1071" s="14"/>
      <c r="L1071" s="14"/>
      <c r="M1071" s="14"/>
      <c r="N1071" s="14"/>
      <c r="O1071" s="14"/>
      <c r="P1071" s="14"/>
      <c r="Q1071" s="14"/>
      <c r="R1071" s="14"/>
      <c r="S1071" s="14"/>
      <c r="T1071" s="14"/>
      <c r="U1071" s="17"/>
      <c r="V1071" s="14"/>
      <c r="W1071" s="14"/>
      <c r="X1071" s="18"/>
      <c r="Y1071" s="18"/>
      <c r="Z1071" s="18"/>
      <c r="AA1071" s="218"/>
      <c r="AB1071" s="218"/>
      <c r="AC1071" s="218"/>
    </row>
    <row r="1072" ht="15.75" customHeight="1">
      <c r="A1072" s="12"/>
      <c r="B1072" s="14"/>
      <c r="C1072" s="14"/>
      <c r="D1072" s="14"/>
      <c r="E1072" s="14"/>
      <c r="F1072" s="14"/>
      <c r="G1072" s="14"/>
      <c r="H1072" s="14"/>
      <c r="I1072" s="15"/>
      <c r="J1072" s="223"/>
      <c r="K1072" s="14"/>
      <c r="L1072" s="14"/>
      <c r="M1072" s="14"/>
      <c r="N1072" s="14"/>
      <c r="O1072" s="14"/>
      <c r="P1072" s="14"/>
      <c r="Q1072" s="14"/>
      <c r="R1072" s="14"/>
      <c r="S1072" s="14"/>
      <c r="T1072" s="14"/>
      <c r="U1072" s="17"/>
      <c r="V1072" s="14"/>
      <c r="W1072" s="14"/>
      <c r="X1072" s="18"/>
      <c r="Y1072" s="18"/>
      <c r="Z1072" s="18"/>
      <c r="AA1072" s="218"/>
      <c r="AB1072" s="218"/>
      <c r="AC1072" s="218"/>
    </row>
    <row r="1073" ht="15.75" customHeight="1">
      <c r="A1073" s="12"/>
      <c r="B1073" s="14"/>
      <c r="C1073" s="14"/>
      <c r="D1073" s="14"/>
      <c r="E1073" s="14"/>
      <c r="F1073" s="14"/>
      <c r="G1073" s="14"/>
      <c r="H1073" s="14"/>
      <c r="I1073" s="15"/>
      <c r="J1073" s="223"/>
      <c r="K1073" s="14"/>
      <c r="L1073" s="14"/>
      <c r="M1073" s="14"/>
      <c r="N1073" s="14"/>
      <c r="O1073" s="14"/>
      <c r="P1073" s="14"/>
      <c r="Q1073" s="14"/>
      <c r="R1073" s="14"/>
      <c r="S1073" s="14"/>
      <c r="T1073" s="14"/>
      <c r="U1073" s="17"/>
      <c r="V1073" s="14"/>
      <c r="W1073" s="14"/>
      <c r="X1073" s="18"/>
      <c r="Y1073" s="18"/>
      <c r="Z1073" s="18"/>
      <c r="AA1073" s="218"/>
      <c r="AB1073" s="218"/>
      <c r="AC1073" s="218"/>
    </row>
    <row r="1074" ht="15.75" customHeight="1">
      <c r="A1074" s="12"/>
      <c r="B1074" s="14"/>
      <c r="C1074" s="14"/>
      <c r="D1074" s="14"/>
      <c r="E1074" s="14"/>
      <c r="F1074" s="14"/>
      <c r="G1074" s="14"/>
      <c r="H1074" s="14"/>
      <c r="I1074" s="15"/>
      <c r="J1074" s="223"/>
      <c r="K1074" s="14"/>
      <c r="L1074" s="14"/>
      <c r="M1074" s="14"/>
      <c r="N1074" s="14"/>
      <c r="O1074" s="14"/>
      <c r="P1074" s="14"/>
      <c r="Q1074" s="14"/>
      <c r="R1074" s="14"/>
      <c r="S1074" s="14"/>
      <c r="T1074" s="14"/>
      <c r="U1074" s="17"/>
      <c r="V1074" s="14"/>
      <c r="W1074" s="14"/>
      <c r="X1074" s="18"/>
      <c r="Y1074" s="18"/>
      <c r="Z1074" s="18"/>
      <c r="AA1074" s="218"/>
      <c r="AB1074" s="218"/>
      <c r="AC1074" s="218"/>
    </row>
    <row r="1075" ht="15.75" customHeight="1">
      <c r="A1075" s="12"/>
      <c r="B1075" s="14"/>
      <c r="C1075" s="14"/>
      <c r="D1075" s="14"/>
      <c r="E1075" s="14"/>
      <c r="F1075" s="14"/>
      <c r="G1075" s="14"/>
      <c r="H1075" s="14"/>
      <c r="I1075" s="15"/>
      <c r="J1075" s="223"/>
      <c r="K1075" s="14"/>
      <c r="L1075" s="14"/>
      <c r="M1075" s="14"/>
      <c r="N1075" s="14"/>
      <c r="O1075" s="14"/>
      <c r="P1075" s="14"/>
      <c r="Q1075" s="14"/>
      <c r="R1075" s="14"/>
      <c r="S1075" s="14"/>
      <c r="T1075" s="14"/>
      <c r="U1075" s="17"/>
      <c r="V1075" s="14"/>
      <c r="W1075" s="14"/>
      <c r="X1075" s="18"/>
      <c r="Y1075" s="18"/>
      <c r="Z1075" s="18"/>
      <c r="AA1075" s="218"/>
      <c r="AB1075" s="218"/>
      <c r="AC1075" s="218"/>
    </row>
    <row r="1076" ht="15.75" customHeight="1">
      <c r="A1076" s="12"/>
      <c r="B1076" s="14"/>
      <c r="C1076" s="14"/>
      <c r="D1076" s="14"/>
      <c r="E1076" s="14"/>
      <c r="F1076" s="14"/>
      <c r="G1076" s="14"/>
      <c r="H1076" s="14"/>
      <c r="I1076" s="15"/>
      <c r="J1076" s="223"/>
      <c r="K1076" s="14"/>
      <c r="L1076" s="14"/>
      <c r="M1076" s="14"/>
      <c r="N1076" s="14"/>
      <c r="O1076" s="14"/>
      <c r="P1076" s="14"/>
      <c r="Q1076" s="14"/>
      <c r="R1076" s="14"/>
      <c r="S1076" s="14"/>
      <c r="T1076" s="14"/>
      <c r="U1076" s="17"/>
      <c r="V1076" s="14"/>
      <c r="W1076" s="14"/>
      <c r="X1076" s="18"/>
      <c r="Y1076" s="18"/>
      <c r="Z1076" s="18"/>
      <c r="AA1076" s="218"/>
      <c r="AB1076" s="218"/>
      <c r="AC1076" s="218"/>
    </row>
    <row r="1077" ht="15.75" customHeight="1">
      <c r="A1077" s="12"/>
      <c r="B1077" s="14"/>
      <c r="C1077" s="14"/>
      <c r="D1077" s="14"/>
      <c r="E1077" s="14"/>
      <c r="F1077" s="14"/>
      <c r="G1077" s="14"/>
      <c r="H1077" s="14"/>
      <c r="I1077" s="15"/>
      <c r="J1077" s="223"/>
      <c r="K1077" s="14"/>
      <c r="L1077" s="14"/>
      <c r="M1077" s="14"/>
      <c r="N1077" s="14"/>
      <c r="O1077" s="14"/>
      <c r="P1077" s="14"/>
      <c r="Q1077" s="14"/>
      <c r="R1077" s="14"/>
      <c r="S1077" s="14"/>
      <c r="T1077" s="14"/>
      <c r="U1077" s="17"/>
      <c r="V1077" s="14"/>
      <c r="W1077" s="14"/>
      <c r="X1077" s="18"/>
      <c r="Y1077" s="18"/>
      <c r="Z1077" s="18"/>
      <c r="AA1077" s="218"/>
      <c r="AB1077" s="218"/>
      <c r="AC1077" s="218"/>
    </row>
    <row r="1078" ht="15.75" customHeight="1">
      <c r="A1078" s="12"/>
      <c r="B1078" s="14"/>
      <c r="C1078" s="14"/>
      <c r="D1078" s="14"/>
      <c r="E1078" s="14"/>
      <c r="F1078" s="14"/>
      <c r="G1078" s="14"/>
      <c r="H1078" s="14"/>
      <c r="I1078" s="15"/>
      <c r="J1078" s="223"/>
      <c r="K1078" s="14"/>
      <c r="L1078" s="14"/>
      <c r="M1078" s="14"/>
      <c r="N1078" s="14"/>
      <c r="O1078" s="14"/>
      <c r="P1078" s="14"/>
      <c r="Q1078" s="14"/>
      <c r="R1078" s="14"/>
      <c r="S1078" s="14"/>
      <c r="T1078" s="14"/>
      <c r="U1078" s="17"/>
      <c r="V1078" s="14"/>
      <c r="W1078" s="14"/>
      <c r="X1078" s="18"/>
      <c r="Y1078" s="18"/>
      <c r="Z1078" s="18"/>
      <c r="AA1078" s="218"/>
      <c r="AB1078" s="218"/>
      <c r="AC1078" s="218"/>
    </row>
    <row r="1079" ht="15.75" customHeight="1">
      <c r="A1079" s="12"/>
      <c r="B1079" s="14"/>
      <c r="C1079" s="14"/>
      <c r="D1079" s="14"/>
      <c r="E1079" s="14"/>
      <c r="F1079" s="14"/>
      <c r="G1079" s="14"/>
      <c r="H1079" s="14"/>
      <c r="I1079" s="15"/>
      <c r="J1079" s="223"/>
      <c r="K1079" s="14"/>
      <c r="L1079" s="14"/>
      <c r="M1079" s="14"/>
      <c r="N1079" s="14"/>
      <c r="O1079" s="14"/>
      <c r="P1079" s="14"/>
      <c r="Q1079" s="14"/>
      <c r="R1079" s="14"/>
      <c r="S1079" s="14"/>
      <c r="T1079" s="14"/>
      <c r="U1079" s="17"/>
      <c r="V1079" s="14"/>
      <c r="W1079" s="14"/>
      <c r="X1079" s="18"/>
      <c r="Y1079" s="18"/>
      <c r="Z1079" s="18"/>
      <c r="AA1079" s="218"/>
      <c r="AB1079" s="218"/>
      <c r="AC1079" s="218"/>
    </row>
    <row r="1080" ht="15.75" customHeight="1">
      <c r="A1080" s="12"/>
      <c r="B1080" s="14"/>
      <c r="C1080" s="14"/>
      <c r="D1080" s="14"/>
      <c r="E1080" s="14"/>
      <c r="F1080" s="14"/>
      <c r="G1080" s="14"/>
      <c r="H1080" s="14"/>
      <c r="I1080" s="15"/>
      <c r="J1080" s="223"/>
      <c r="K1080" s="14"/>
      <c r="L1080" s="14"/>
      <c r="M1080" s="14"/>
      <c r="N1080" s="14"/>
      <c r="O1080" s="14"/>
      <c r="P1080" s="14"/>
      <c r="Q1080" s="14"/>
      <c r="R1080" s="14"/>
      <c r="S1080" s="14"/>
      <c r="T1080" s="14"/>
      <c r="U1080" s="17"/>
      <c r="V1080" s="14"/>
      <c r="W1080" s="14"/>
      <c r="X1080" s="18"/>
      <c r="Y1080" s="18"/>
      <c r="Z1080" s="18"/>
      <c r="AA1080" s="218"/>
      <c r="AB1080" s="218"/>
      <c r="AC1080" s="218"/>
    </row>
    <row r="1081" ht="15.75" customHeight="1">
      <c r="A1081" s="12"/>
      <c r="B1081" s="14"/>
      <c r="C1081" s="14"/>
      <c r="D1081" s="14"/>
      <c r="E1081" s="14"/>
      <c r="F1081" s="14"/>
      <c r="G1081" s="14"/>
      <c r="H1081" s="14"/>
      <c r="I1081" s="15"/>
      <c r="J1081" s="223"/>
      <c r="K1081" s="14"/>
      <c r="L1081" s="14"/>
      <c r="M1081" s="14"/>
      <c r="N1081" s="14"/>
      <c r="O1081" s="14"/>
      <c r="P1081" s="14"/>
      <c r="Q1081" s="14"/>
      <c r="R1081" s="14"/>
      <c r="S1081" s="14"/>
      <c r="T1081" s="14"/>
      <c r="U1081" s="17"/>
      <c r="V1081" s="14"/>
      <c r="W1081" s="14"/>
      <c r="X1081" s="18"/>
      <c r="Y1081" s="18"/>
      <c r="Z1081" s="18"/>
      <c r="AA1081" s="218"/>
      <c r="AB1081" s="218"/>
      <c r="AC1081" s="218"/>
    </row>
    <row r="1082" ht="15.75" customHeight="1">
      <c r="A1082" s="12"/>
      <c r="B1082" s="14"/>
      <c r="C1082" s="14"/>
      <c r="D1082" s="14"/>
      <c r="E1082" s="14"/>
      <c r="F1082" s="14"/>
      <c r="G1082" s="14"/>
      <c r="H1082" s="14"/>
      <c r="I1082" s="15"/>
      <c r="J1082" s="223"/>
      <c r="K1082" s="14"/>
      <c r="L1082" s="14"/>
      <c r="M1082" s="14"/>
      <c r="N1082" s="14"/>
      <c r="O1082" s="14"/>
      <c r="P1082" s="14"/>
      <c r="Q1082" s="14"/>
      <c r="R1082" s="14"/>
      <c r="S1082" s="14"/>
      <c r="T1082" s="14"/>
      <c r="U1082" s="17"/>
      <c r="V1082" s="14"/>
      <c r="W1082" s="14"/>
      <c r="X1082" s="18"/>
      <c r="Y1082" s="18"/>
      <c r="Z1082" s="18"/>
      <c r="AA1082" s="218"/>
      <c r="AB1082" s="218"/>
      <c r="AC1082" s="218"/>
    </row>
    <row r="1083" ht="15.75" customHeight="1">
      <c r="A1083" s="12"/>
      <c r="B1083" s="14"/>
      <c r="C1083" s="14"/>
      <c r="D1083" s="14"/>
      <c r="E1083" s="14"/>
      <c r="F1083" s="14"/>
      <c r="G1083" s="14"/>
      <c r="H1083" s="14"/>
      <c r="I1083" s="15"/>
      <c r="J1083" s="223"/>
      <c r="K1083" s="14"/>
      <c r="L1083" s="14"/>
      <c r="M1083" s="14"/>
      <c r="N1083" s="14"/>
      <c r="O1083" s="14"/>
      <c r="P1083" s="14"/>
      <c r="Q1083" s="14"/>
      <c r="R1083" s="14"/>
      <c r="S1083" s="14"/>
      <c r="T1083" s="14"/>
      <c r="U1083" s="17"/>
      <c r="V1083" s="14"/>
      <c r="W1083" s="14"/>
      <c r="X1083" s="18"/>
      <c r="Y1083" s="18"/>
      <c r="Z1083" s="18"/>
      <c r="AA1083" s="218"/>
      <c r="AB1083" s="218"/>
      <c r="AC1083" s="218"/>
    </row>
    <row r="1084" ht="15.75" customHeight="1">
      <c r="A1084" s="12"/>
      <c r="B1084" s="14"/>
      <c r="C1084" s="14"/>
      <c r="D1084" s="14"/>
      <c r="E1084" s="14"/>
      <c r="F1084" s="14"/>
      <c r="G1084" s="14"/>
      <c r="H1084" s="14"/>
      <c r="I1084" s="15"/>
      <c r="J1084" s="223"/>
      <c r="K1084" s="14"/>
      <c r="L1084" s="14"/>
      <c r="M1084" s="14"/>
      <c r="N1084" s="14"/>
      <c r="O1084" s="14"/>
      <c r="P1084" s="14"/>
      <c r="Q1084" s="14"/>
      <c r="R1084" s="14"/>
      <c r="S1084" s="14"/>
      <c r="T1084" s="14"/>
      <c r="U1084" s="17"/>
      <c r="V1084" s="14"/>
      <c r="W1084" s="14"/>
      <c r="X1084" s="18"/>
      <c r="Y1084" s="18"/>
      <c r="Z1084" s="18"/>
      <c r="AA1084" s="218"/>
      <c r="AB1084" s="218"/>
      <c r="AC1084" s="218"/>
    </row>
    <row r="1085" ht="15.75" customHeight="1">
      <c r="A1085" s="12"/>
      <c r="B1085" s="14"/>
      <c r="C1085" s="14"/>
      <c r="D1085" s="14"/>
      <c r="E1085" s="14"/>
      <c r="F1085" s="14"/>
      <c r="G1085" s="14"/>
      <c r="H1085" s="14"/>
      <c r="I1085" s="15"/>
      <c r="J1085" s="223"/>
      <c r="K1085" s="14"/>
      <c r="L1085" s="14"/>
      <c r="M1085" s="14"/>
      <c r="N1085" s="14"/>
      <c r="O1085" s="14"/>
      <c r="P1085" s="14"/>
      <c r="Q1085" s="14"/>
      <c r="R1085" s="14"/>
      <c r="S1085" s="14"/>
      <c r="T1085" s="14"/>
      <c r="U1085" s="17"/>
      <c r="V1085" s="14"/>
      <c r="W1085" s="14"/>
      <c r="X1085" s="18"/>
      <c r="Y1085" s="18"/>
      <c r="Z1085" s="18"/>
      <c r="AA1085" s="218"/>
      <c r="AB1085" s="218"/>
      <c r="AC1085" s="218"/>
    </row>
    <row r="1086" ht="15.75" customHeight="1">
      <c r="A1086" s="12"/>
      <c r="B1086" s="14"/>
      <c r="C1086" s="14"/>
      <c r="D1086" s="14"/>
      <c r="E1086" s="14"/>
      <c r="F1086" s="14"/>
      <c r="G1086" s="14"/>
      <c r="H1086" s="14"/>
      <c r="I1086" s="15"/>
      <c r="J1086" s="223"/>
      <c r="K1086" s="14"/>
      <c r="L1086" s="14"/>
      <c r="M1086" s="14"/>
      <c r="N1086" s="14"/>
      <c r="O1086" s="14"/>
      <c r="P1086" s="14"/>
      <c r="Q1086" s="14"/>
      <c r="R1086" s="14"/>
      <c r="S1086" s="14"/>
      <c r="T1086" s="14"/>
      <c r="U1086" s="17"/>
      <c r="V1086" s="14"/>
      <c r="W1086" s="14"/>
      <c r="X1086" s="18"/>
      <c r="Y1086" s="18"/>
      <c r="Z1086" s="18"/>
      <c r="AA1086" s="218"/>
      <c r="AB1086" s="218"/>
      <c r="AC1086" s="218"/>
    </row>
    <row r="1087" ht="15.75" customHeight="1">
      <c r="A1087" s="12"/>
      <c r="B1087" s="14"/>
      <c r="C1087" s="14"/>
      <c r="D1087" s="14"/>
      <c r="E1087" s="14"/>
      <c r="F1087" s="14"/>
      <c r="G1087" s="14"/>
      <c r="H1087" s="14"/>
      <c r="I1087" s="15"/>
      <c r="J1087" s="223"/>
      <c r="K1087" s="14"/>
      <c r="L1087" s="14"/>
      <c r="M1087" s="14"/>
      <c r="N1087" s="14"/>
      <c r="O1087" s="14"/>
      <c r="P1087" s="14"/>
      <c r="Q1087" s="14"/>
      <c r="R1087" s="14"/>
      <c r="S1087" s="14"/>
      <c r="T1087" s="14"/>
      <c r="U1087" s="17"/>
      <c r="V1087" s="14"/>
      <c r="W1087" s="14"/>
      <c r="X1087" s="18"/>
      <c r="Y1087" s="18"/>
      <c r="Z1087" s="18"/>
      <c r="AA1087" s="218"/>
      <c r="AB1087" s="218"/>
      <c r="AC1087" s="218"/>
    </row>
    <row r="1088" ht="15.75" customHeight="1">
      <c r="A1088" s="12"/>
      <c r="B1088" s="14"/>
      <c r="C1088" s="14"/>
      <c r="D1088" s="14"/>
      <c r="E1088" s="14"/>
      <c r="F1088" s="14"/>
      <c r="G1088" s="14"/>
      <c r="H1088" s="14"/>
      <c r="I1088" s="15"/>
      <c r="J1088" s="223"/>
      <c r="K1088" s="14"/>
      <c r="L1088" s="14"/>
      <c r="M1088" s="14"/>
      <c r="N1088" s="14"/>
      <c r="O1088" s="14"/>
      <c r="P1088" s="14"/>
      <c r="Q1088" s="14"/>
      <c r="R1088" s="14"/>
      <c r="S1088" s="14"/>
      <c r="T1088" s="14"/>
      <c r="U1088" s="17"/>
      <c r="V1088" s="14"/>
      <c r="W1088" s="14"/>
      <c r="X1088" s="18"/>
      <c r="Y1088" s="18"/>
      <c r="Z1088" s="18"/>
      <c r="AA1088" s="218"/>
      <c r="AB1088" s="218"/>
      <c r="AC1088" s="218"/>
    </row>
    <row r="1089" ht="15.75" customHeight="1">
      <c r="A1089" s="12"/>
      <c r="B1089" s="14"/>
      <c r="C1089" s="14"/>
      <c r="D1089" s="14"/>
      <c r="E1089" s="14"/>
      <c r="F1089" s="14"/>
      <c r="G1089" s="14"/>
      <c r="H1089" s="14"/>
      <c r="I1089" s="15"/>
      <c r="J1089" s="223"/>
      <c r="K1089" s="14"/>
      <c r="L1089" s="14"/>
      <c r="M1089" s="14"/>
      <c r="N1089" s="14"/>
      <c r="O1089" s="14"/>
      <c r="P1089" s="14"/>
      <c r="Q1089" s="14"/>
      <c r="R1089" s="14"/>
      <c r="S1089" s="14"/>
      <c r="T1089" s="14"/>
      <c r="U1089" s="17"/>
      <c r="V1089" s="14"/>
      <c r="W1089" s="14"/>
      <c r="X1089" s="18"/>
      <c r="Y1089" s="18"/>
      <c r="Z1089" s="18"/>
      <c r="AA1089" s="218"/>
      <c r="AB1089" s="218"/>
      <c r="AC1089" s="218"/>
    </row>
    <row r="1090" ht="15.75" customHeight="1">
      <c r="A1090" s="12"/>
      <c r="B1090" s="14"/>
      <c r="C1090" s="14"/>
      <c r="D1090" s="14"/>
      <c r="E1090" s="14"/>
      <c r="F1090" s="14"/>
      <c r="G1090" s="14"/>
      <c r="H1090" s="14"/>
      <c r="I1090" s="15"/>
      <c r="J1090" s="223"/>
      <c r="K1090" s="14"/>
      <c r="L1090" s="14"/>
      <c r="M1090" s="14"/>
      <c r="N1090" s="14"/>
      <c r="O1090" s="14"/>
      <c r="P1090" s="14"/>
      <c r="Q1090" s="14"/>
      <c r="R1090" s="14"/>
      <c r="S1090" s="14"/>
      <c r="T1090" s="14"/>
      <c r="U1090" s="17"/>
      <c r="V1090" s="14"/>
      <c r="W1090" s="14"/>
      <c r="X1090" s="18"/>
      <c r="Y1090" s="18"/>
      <c r="Z1090" s="18"/>
      <c r="AA1090" s="218"/>
      <c r="AB1090" s="218"/>
      <c r="AC1090" s="218"/>
    </row>
    <row r="1091" ht="15.75" customHeight="1">
      <c r="A1091" s="12"/>
      <c r="B1091" s="14"/>
      <c r="C1091" s="14"/>
      <c r="D1091" s="14"/>
      <c r="E1091" s="14"/>
      <c r="F1091" s="14"/>
      <c r="G1091" s="14"/>
      <c r="H1091" s="14"/>
      <c r="I1091" s="15"/>
      <c r="J1091" s="223"/>
      <c r="K1091" s="14"/>
      <c r="L1091" s="14"/>
      <c r="M1091" s="14"/>
      <c r="N1091" s="14"/>
      <c r="O1091" s="14"/>
      <c r="P1091" s="14"/>
      <c r="Q1091" s="14"/>
      <c r="R1091" s="14"/>
      <c r="S1091" s="14"/>
      <c r="T1091" s="14"/>
      <c r="U1091" s="17"/>
      <c r="V1091" s="14"/>
      <c r="W1091" s="14"/>
      <c r="X1091" s="18"/>
      <c r="Y1091" s="18"/>
      <c r="Z1091" s="18"/>
      <c r="AA1091" s="218"/>
      <c r="AB1091" s="218"/>
      <c r="AC1091" s="218"/>
    </row>
    <row r="1092" ht="15.75" customHeight="1">
      <c r="A1092" s="12"/>
      <c r="B1092" s="14"/>
      <c r="C1092" s="14"/>
      <c r="D1092" s="14"/>
      <c r="E1092" s="14"/>
      <c r="F1092" s="14"/>
      <c r="G1092" s="14"/>
      <c r="H1092" s="14"/>
      <c r="I1092" s="15"/>
      <c r="J1092" s="223"/>
      <c r="K1092" s="14"/>
      <c r="L1092" s="14"/>
      <c r="M1092" s="14"/>
      <c r="N1092" s="14"/>
      <c r="O1092" s="14"/>
      <c r="P1092" s="14"/>
      <c r="Q1092" s="14"/>
      <c r="R1092" s="14"/>
      <c r="S1092" s="14"/>
      <c r="T1092" s="14"/>
      <c r="U1092" s="17"/>
      <c r="V1092" s="14"/>
      <c r="W1092" s="14"/>
      <c r="X1092" s="18"/>
      <c r="Y1092" s="18"/>
      <c r="Z1092" s="18"/>
      <c r="AA1092" s="218"/>
      <c r="AB1092" s="218"/>
      <c r="AC1092" s="218"/>
    </row>
    <row r="1093" ht="15.75" customHeight="1">
      <c r="A1093" s="12"/>
      <c r="B1093" s="14"/>
      <c r="C1093" s="14"/>
      <c r="D1093" s="14"/>
      <c r="E1093" s="14"/>
      <c r="F1093" s="14"/>
      <c r="G1093" s="14"/>
      <c r="H1093" s="14"/>
      <c r="I1093" s="15"/>
      <c r="J1093" s="223"/>
      <c r="K1093" s="14"/>
      <c r="L1093" s="14"/>
      <c r="M1093" s="14"/>
      <c r="N1093" s="14"/>
      <c r="O1093" s="14"/>
      <c r="P1093" s="14"/>
      <c r="Q1093" s="14"/>
      <c r="R1093" s="14"/>
      <c r="S1093" s="14"/>
      <c r="T1093" s="14"/>
      <c r="U1093" s="17"/>
      <c r="V1093" s="14"/>
      <c r="W1093" s="14"/>
      <c r="X1093" s="18"/>
      <c r="Y1093" s="18"/>
      <c r="Z1093" s="18"/>
      <c r="AA1093" s="218"/>
      <c r="AB1093" s="218"/>
      <c r="AC1093" s="218"/>
    </row>
    <row r="1094" ht="15.75" customHeight="1">
      <c r="A1094" s="12"/>
      <c r="B1094" s="14"/>
      <c r="C1094" s="14"/>
      <c r="D1094" s="14"/>
      <c r="E1094" s="14"/>
      <c r="F1094" s="14"/>
      <c r="G1094" s="14"/>
      <c r="H1094" s="14"/>
      <c r="I1094" s="15"/>
      <c r="J1094" s="223"/>
      <c r="K1094" s="14"/>
      <c r="L1094" s="14"/>
      <c r="M1094" s="14"/>
      <c r="N1094" s="14"/>
      <c r="O1094" s="14"/>
      <c r="P1094" s="14"/>
      <c r="Q1094" s="14"/>
      <c r="R1094" s="14"/>
      <c r="S1094" s="14"/>
      <c r="T1094" s="14"/>
      <c r="U1094" s="17"/>
      <c r="V1094" s="14"/>
      <c r="W1094" s="14"/>
      <c r="X1094" s="18"/>
      <c r="Y1094" s="18"/>
      <c r="Z1094" s="18"/>
      <c r="AA1094" s="218"/>
      <c r="AB1094" s="218"/>
      <c r="AC1094" s="218"/>
    </row>
    <row r="1095" ht="15.75" customHeight="1">
      <c r="A1095" s="12"/>
      <c r="B1095" s="14"/>
      <c r="C1095" s="14"/>
      <c r="D1095" s="14"/>
      <c r="E1095" s="14"/>
      <c r="F1095" s="14"/>
      <c r="G1095" s="14"/>
      <c r="H1095" s="14"/>
      <c r="I1095" s="15"/>
      <c r="J1095" s="223"/>
      <c r="K1095" s="14"/>
      <c r="L1095" s="14"/>
      <c r="M1095" s="14"/>
      <c r="N1095" s="14"/>
      <c r="O1095" s="14"/>
      <c r="P1095" s="14"/>
      <c r="Q1095" s="14"/>
      <c r="R1095" s="14"/>
      <c r="S1095" s="14"/>
      <c r="T1095" s="14"/>
      <c r="U1095" s="17"/>
      <c r="V1095" s="14"/>
      <c r="W1095" s="14"/>
      <c r="X1095" s="18"/>
      <c r="Y1095" s="18"/>
      <c r="Z1095" s="18"/>
      <c r="AA1095" s="218"/>
      <c r="AB1095" s="218"/>
      <c r="AC1095" s="218"/>
    </row>
    <row r="1096" ht="15.75" customHeight="1">
      <c r="A1096" s="12"/>
      <c r="B1096" s="14"/>
      <c r="C1096" s="14"/>
      <c r="D1096" s="14"/>
      <c r="E1096" s="14"/>
      <c r="F1096" s="14"/>
      <c r="G1096" s="14"/>
      <c r="H1096" s="14"/>
      <c r="I1096" s="15"/>
      <c r="J1096" s="223"/>
      <c r="K1096" s="14"/>
      <c r="L1096" s="14"/>
      <c r="M1096" s="14"/>
      <c r="N1096" s="14"/>
      <c r="O1096" s="14"/>
      <c r="P1096" s="14"/>
      <c r="Q1096" s="14"/>
      <c r="R1096" s="14"/>
      <c r="S1096" s="14"/>
      <c r="T1096" s="14"/>
      <c r="U1096" s="17"/>
      <c r="V1096" s="14"/>
      <c r="W1096" s="14"/>
      <c r="X1096" s="18"/>
      <c r="Y1096" s="18"/>
      <c r="Z1096" s="18"/>
      <c r="AA1096" s="218"/>
      <c r="AB1096" s="218"/>
      <c r="AC1096" s="218"/>
    </row>
    <row r="1097" ht="15.75" customHeight="1">
      <c r="A1097" s="12"/>
      <c r="B1097" s="14"/>
      <c r="C1097" s="14"/>
      <c r="D1097" s="14"/>
      <c r="E1097" s="14"/>
      <c r="F1097" s="14"/>
      <c r="G1097" s="14"/>
      <c r="H1097" s="14"/>
      <c r="I1097" s="15"/>
      <c r="J1097" s="223"/>
      <c r="K1097" s="14"/>
      <c r="L1097" s="14"/>
      <c r="M1097" s="14"/>
      <c r="N1097" s="14"/>
      <c r="O1097" s="14"/>
      <c r="P1097" s="14"/>
      <c r="Q1097" s="14"/>
      <c r="R1097" s="14"/>
      <c r="S1097" s="14"/>
      <c r="T1097" s="14"/>
      <c r="U1097" s="17"/>
      <c r="V1097" s="14"/>
      <c r="W1097" s="14"/>
      <c r="X1097" s="18"/>
      <c r="Y1097" s="18"/>
      <c r="Z1097" s="18"/>
      <c r="AA1097" s="218"/>
      <c r="AB1097" s="218"/>
      <c r="AC1097" s="218"/>
    </row>
    <row r="1098" ht="15.75" customHeight="1">
      <c r="A1098" s="12"/>
      <c r="B1098" s="14"/>
      <c r="C1098" s="14"/>
      <c r="D1098" s="14"/>
      <c r="E1098" s="14"/>
      <c r="F1098" s="14"/>
      <c r="G1098" s="14"/>
      <c r="H1098" s="14"/>
      <c r="I1098" s="15"/>
      <c r="J1098" s="223"/>
      <c r="K1098" s="14"/>
      <c r="L1098" s="14"/>
      <c r="M1098" s="14"/>
      <c r="N1098" s="14"/>
      <c r="O1098" s="14"/>
      <c r="P1098" s="14"/>
      <c r="Q1098" s="14"/>
      <c r="R1098" s="14"/>
      <c r="S1098" s="14"/>
      <c r="T1098" s="14"/>
      <c r="U1098" s="17"/>
      <c r="V1098" s="14"/>
      <c r="W1098" s="14"/>
      <c r="X1098" s="18"/>
      <c r="Y1098" s="18"/>
      <c r="Z1098" s="18"/>
      <c r="AA1098" s="218"/>
      <c r="AB1098" s="218"/>
      <c r="AC1098" s="218"/>
    </row>
    <row r="1099" ht="15.75" customHeight="1">
      <c r="A1099" s="12"/>
      <c r="B1099" s="14"/>
      <c r="C1099" s="14"/>
      <c r="D1099" s="14"/>
      <c r="E1099" s="14"/>
      <c r="F1099" s="14"/>
      <c r="G1099" s="14"/>
      <c r="H1099" s="14"/>
      <c r="I1099" s="15"/>
      <c r="J1099" s="223"/>
      <c r="K1099" s="14"/>
      <c r="L1099" s="14"/>
      <c r="M1099" s="14"/>
      <c r="N1099" s="14"/>
      <c r="O1099" s="14"/>
      <c r="P1099" s="14"/>
      <c r="Q1099" s="14"/>
      <c r="R1099" s="14"/>
      <c r="S1099" s="14"/>
      <c r="T1099" s="14"/>
      <c r="U1099" s="17"/>
      <c r="V1099" s="14"/>
      <c r="W1099" s="14"/>
      <c r="X1099" s="18"/>
      <c r="Y1099" s="18"/>
      <c r="Z1099" s="18"/>
      <c r="AA1099" s="218"/>
      <c r="AB1099" s="218"/>
      <c r="AC1099" s="218"/>
    </row>
    <row r="1100" ht="15.75" customHeight="1">
      <c r="A1100" s="12"/>
      <c r="B1100" s="14"/>
      <c r="C1100" s="14"/>
      <c r="D1100" s="14"/>
      <c r="E1100" s="14"/>
      <c r="F1100" s="14"/>
      <c r="G1100" s="14"/>
      <c r="H1100" s="14"/>
      <c r="I1100" s="15"/>
      <c r="J1100" s="223"/>
      <c r="K1100" s="14"/>
      <c r="L1100" s="14"/>
      <c r="M1100" s="14"/>
      <c r="N1100" s="14"/>
      <c r="O1100" s="14"/>
      <c r="P1100" s="14"/>
      <c r="Q1100" s="14"/>
      <c r="R1100" s="14"/>
      <c r="S1100" s="14"/>
      <c r="T1100" s="14"/>
      <c r="U1100" s="17"/>
      <c r="V1100" s="14"/>
      <c r="W1100" s="14"/>
      <c r="X1100" s="18"/>
      <c r="Y1100" s="18"/>
      <c r="Z1100" s="18"/>
      <c r="AA1100" s="218"/>
      <c r="AB1100" s="218"/>
      <c r="AC1100" s="218"/>
    </row>
    <row r="1101" ht="15.75" customHeight="1">
      <c r="A1101" s="12"/>
      <c r="B1101" s="14"/>
      <c r="C1101" s="14"/>
      <c r="D1101" s="14"/>
      <c r="E1101" s="14"/>
      <c r="F1101" s="14"/>
      <c r="G1101" s="14"/>
      <c r="H1101" s="14"/>
      <c r="I1101" s="15"/>
      <c r="J1101" s="223"/>
      <c r="K1101" s="14"/>
      <c r="L1101" s="14"/>
      <c r="M1101" s="14"/>
      <c r="N1101" s="14"/>
      <c r="O1101" s="14"/>
      <c r="P1101" s="14"/>
      <c r="Q1101" s="14"/>
      <c r="R1101" s="14"/>
      <c r="S1101" s="14"/>
      <c r="T1101" s="14"/>
      <c r="U1101" s="17"/>
      <c r="V1101" s="14"/>
      <c r="W1101" s="14"/>
      <c r="X1101" s="18"/>
      <c r="Y1101" s="18"/>
      <c r="Z1101" s="18"/>
      <c r="AA1101" s="218"/>
      <c r="AB1101" s="218"/>
      <c r="AC1101" s="218"/>
    </row>
    <row r="1102" ht="15.75" customHeight="1">
      <c r="A1102" s="12"/>
      <c r="B1102" s="14"/>
      <c r="C1102" s="14"/>
      <c r="D1102" s="14"/>
      <c r="E1102" s="14"/>
      <c r="F1102" s="14"/>
      <c r="G1102" s="14"/>
      <c r="H1102" s="14"/>
      <c r="I1102" s="15"/>
      <c r="J1102" s="223"/>
      <c r="K1102" s="14"/>
      <c r="L1102" s="14"/>
      <c r="M1102" s="14"/>
      <c r="N1102" s="14"/>
      <c r="O1102" s="14"/>
      <c r="P1102" s="14"/>
      <c r="Q1102" s="14"/>
      <c r="R1102" s="14"/>
      <c r="S1102" s="14"/>
      <c r="T1102" s="14"/>
      <c r="U1102" s="17"/>
      <c r="V1102" s="14"/>
      <c r="W1102" s="14"/>
      <c r="X1102" s="18"/>
      <c r="Y1102" s="18"/>
      <c r="Z1102" s="18"/>
      <c r="AA1102" s="218"/>
      <c r="AB1102" s="218"/>
      <c r="AC1102" s="218"/>
    </row>
    <row r="1103" ht="15.75" customHeight="1">
      <c r="A1103" s="12"/>
      <c r="B1103" s="14"/>
      <c r="C1103" s="14"/>
      <c r="D1103" s="14"/>
      <c r="E1103" s="14"/>
      <c r="F1103" s="14"/>
      <c r="G1103" s="14"/>
      <c r="H1103" s="14"/>
      <c r="I1103" s="15"/>
      <c r="J1103" s="223"/>
      <c r="K1103" s="14"/>
      <c r="L1103" s="14"/>
      <c r="M1103" s="14"/>
      <c r="N1103" s="14"/>
      <c r="O1103" s="14"/>
      <c r="P1103" s="14"/>
      <c r="Q1103" s="14"/>
      <c r="R1103" s="14"/>
      <c r="S1103" s="14"/>
      <c r="T1103" s="14"/>
      <c r="U1103" s="17"/>
      <c r="V1103" s="14"/>
      <c r="W1103" s="14"/>
      <c r="X1103" s="18"/>
      <c r="Y1103" s="18"/>
      <c r="Z1103" s="18"/>
      <c r="AA1103" s="218"/>
      <c r="AB1103" s="218"/>
      <c r="AC1103" s="218"/>
    </row>
    <row r="1104" ht="15.75" customHeight="1">
      <c r="A1104" s="12"/>
      <c r="B1104" s="14"/>
      <c r="C1104" s="14"/>
      <c r="D1104" s="14"/>
      <c r="E1104" s="14"/>
      <c r="F1104" s="14"/>
      <c r="G1104" s="14"/>
      <c r="H1104" s="14"/>
      <c r="I1104" s="15"/>
      <c r="J1104" s="223"/>
      <c r="K1104" s="14"/>
      <c r="L1104" s="14"/>
      <c r="M1104" s="14"/>
      <c r="N1104" s="14"/>
      <c r="O1104" s="14"/>
      <c r="P1104" s="14"/>
      <c r="Q1104" s="14"/>
      <c r="R1104" s="14"/>
      <c r="S1104" s="14"/>
      <c r="T1104" s="14"/>
      <c r="U1104" s="17"/>
      <c r="V1104" s="14"/>
      <c r="W1104" s="14"/>
      <c r="X1104" s="18"/>
      <c r="Y1104" s="18"/>
      <c r="Z1104" s="18"/>
      <c r="AA1104" s="218"/>
      <c r="AB1104" s="218"/>
      <c r="AC1104" s="218"/>
    </row>
    <row r="1105" ht="15.75" customHeight="1">
      <c r="A1105" s="12"/>
      <c r="B1105" s="14"/>
      <c r="C1105" s="14"/>
      <c r="D1105" s="14"/>
      <c r="E1105" s="14"/>
      <c r="F1105" s="14"/>
      <c r="G1105" s="14"/>
      <c r="H1105" s="14"/>
      <c r="I1105" s="15"/>
      <c r="J1105" s="223"/>
      <c r="K1105" s="14"/>
      <c r="L1105" s="14"/>
      <c r="M1105" s="14"/>
      <c r="N1105" s="14"/>
      <c r="O1105" s="14"/>
      <c r="P1105" s="14"/>
      <c r="Q1105" s="14"/>
      <c r="R1105" s="14"/>
      <c r="S1105" s="14"/>
      <c r="T1105" s="14"/>
      <c r="U1105" s="17"/>
      <c r="V1105" s="14"/>
      <c r="W1105" s="14"/>
      <c r="X1105" s="18"/>
      <c r="Y1105" s="18"/>
      <c r="Z1105" s="18"/>
      <c r="AA1105" s="218"/>
      <c r="AB1105" s="218"/>
      <c r="AC1105" s="218"/>
    </row>
    <row r="1106" ht="15.75" customHeight="1">
      <c r="A1106" s="12"/>
      <c r="B1106" s="14"/>
      <c r="C1106" s="14"/>
      <c r="D1106" s="14"/>
      <c r="E1106" s="14"/>
      <c r="F1106" s="14"/>
      <c r="G1106" s="14"/>
      <c r="H1106" s="14"/>
      <c r="I1106" s="15"/>
      <c r="J1106" s="223"/>
      <c r="K1106" s="14"/>
      <c r="L1106" s="14"/>
      <c r="M1106" s="14"/>
      <c r="N1106" s="14"/>
      <c r="O1106" s="14"/>
      <c r="P1106" s="14"/>
      <c r="Q1106" s="14"/>
      <c r="R1106" s="14"/>
      <c r="S1106" s="14"/>
      <c r="T1106" s="14"/>
      <c r="U1106" s="17"/>
      <c r="V1106" s="14"/>
      <c r="W1106" s="14"/>
      <c r="X1106" s="18"/>
      <c r="Y1106" s="18"/>
      <c r="Z1106" s="18"/>
      <c r="AA1106" s="218"/>
      <c r="AB1106" s="218"/>
      <c r="AC1106" s="218"/>
    </row>
    <row r="1107" ht="15.75" customHeight="1">
      <c r="A1107" s="12"/>
      <c r="B1107" s="14"/>
      <c r="C1107" s="14"/>
      <c r="D1107" s="14"/>
      <c r="E1107" s="14"/>
      <c r="F1107" s="14"/>
      <c r="G1107" s="14"/>
      <c r="H1107" s="14"/>
      <c r="I1107" s="15"/>
      <c r="J1107" s="223"/>
      <c r="K1107" s="14"/>
      <c r="L1107" s="14"/>
      <c r="M1107" s="14"/>
      <c r="N1107" s="14"/>
      <c r="O1107" s="14"/>
      <c r="P1107" s="14"/>
      <c r="Q1107" s="14"/>
      <c r="R1107" s="14"/>
      <c r="S1107" s="14"/>
      <c r="T1107" s="14"/>
      <c r="U1107" s="17"/>
      <c r="V1107" s="14"/>
      <c r="W1107" s="14"/>
      <c r="X1107" s="18"/>
      <c r="Y1107" s="18"/>
      <c r="Z1107" s="18"/>
      <c r="AA1107" s="218"/>
      <c r="AB1107" s="218"/>
      <c r="AC1107" s="218"/>
    </row>
    <row r="1108" ht="15.75" customHeight="1">
      <c r="A1108" s="12"/>
      <c r="B1108" s="14"/>
      <c r="C1108" s="14"/>
      <c r="D1108" s="14"/>
      <c r="E1108" s="14"/>
      <c r="F1108" s="14"/>
      <c r="G1108" s="14"/>
      <c r="H1108" s="14"/>
      <c r="I1108" s="15"/>
      <c r="J1108" s="223"/>
      <c r="K1108" s="14"/>
      <c r="L1108" s="14"/>
      <c r="M1108" s="14"/>
      <c r="N1108" s="14"/>
      <c r="O1108" s="14"/>
      <c r="P1108" s="14"/>
      <c r="Q1108" s="14"/>
      <c r="R1108" s="14"/>
      <c r="S1108" s="14"/>
      <c r="T1108" s="14"/>
      <c r="U1108" s="17"/>
      <c r="V1108" s="14"/>
      <c r="W1108" s="14"/>
      <c r="X1108" s="18"/>
      <c r="Y1108" s="18"/>
      <c r="Z1108" s="18"/>
      <c r="AA1108" s="218"/>
      <c r="AB1108" s="218"/>
      <c r="AC1108" s="218"/>
    </row>
    <row r="1109" ht="15.75" customHeight="1">
      <c r="A1109" s="12"/>
      <c r="B1109" s="14"/>
      <c r="C1109" s="14"/>
      <c r="D1109" s="14"/>
      <c r="E1109" s="14"/>
      <c r="F1109" s="14"/>
      <c r="G1109" s="14"/>
      <c r="H1109" s="14"/>
      <c r="I1109" s="15"/>
      <c r="J1109" s="223"/>
      <c r="K1109" s="14"/>
      <c r="L1109" s="14"/>
      <c r="M1109" s="14"/>
      <c r="N1109" s="14"/>
      <c r="O1109" s="14"/>
      <c r="P1109" s="14"/>
      <c r="Q1109" s="14"/>
      <c r="R1109" s="14"/>
      <c r="S1109" s="14"/>
      <c r="T1109" s="14"/>
      <c r="U1109" s="17"/>
      <c r="V1109" s="14"/>
      <c r="W1109" s="14"/>
      <c r="X1109" s="18"/>
      <c r="Y1109" s="18"/>
      <c r="Z1109" s="18"/>
      <c r="AA1109" s="218"/>
      <c r="AB1109" s="218"/>
      <c r="AC1109" s="218"/>
    </row>
    <row r="1110" ht="15.75" customHeight="1">
      <c r="A1110" s="12"/>
      <c r="B1110" s="14"/>
      <c r="C1110" s="14"/>
      <c r="D1110" s="14"/>
      <c r="E1110" s="14"/>
      <c r="F1110" s="14"/>
      <c r="G1110" s="14"/>
      <c r="H1110" s="14"/>
      <c r="I1110" s="15"/>
      <c r="J1110" s="223"/>
      <c r="K1110" s="14"/>
      <c r="L1110" s="14"/>
      <c r="M1110" s="14"/>
      <c r="N1110" s="14"/>
      <c r="O1110" s="14"/>
      <c r="P1110" s="14"/>
      <c r="Q1110" s="14"/>
      <c r="R1110" s="14"/>
      <c r="S1110" s="14"/>
      <c r="T1110" s="14"/>
      <c r="U1110" s="17"/>
      <c r="V1110" s="14"/>
      <c r="W1110" s="14"/>
      <c r="X1110" s="18"/>
      <c r="Y1110" s="18"/>
      <c r="Z1110" s="18"/>
      <c r="AA1110" s="218"/>
      <c r="AB1110" s="218"/>
      <c r="AC1110" s="218"/>
    </row>
    <row r="1111" ht="15.75" customHeight="1">
      <c r="A1111" s="12"/>
      <c r="B1111" s="14"/>
      <c r="C1111" s="14"/>
      <c r="D1111" s="14"/>
      <c r="E1111" s="14"/>
      <c r="F1111" s="14"/>
      <c r="G1111" s="14"/>
      <c r="H1111" s="14"/>
      <c r="I1111" s="15"/>
      <c r="J1111" s="223"/>
      <c r="K1111" s="14"/>
      <c r="L1111" s="14"/>
      <c r="M1111" s="14"/>
      <c r="N1111" s="14"/>
      <c r="O1111" s="14"/>
      <c r="P1111" s="14"/>
      <c r="Q1111" s="14"/>
      <c r="R1111" s="14"/>
      <c r="S1111" s="14"/>
      <c r="T1111" s="14"/>
      <c r="U1111" s="17"/>
      <c r="V1111" s="14"/>
      <c r="W1111" s="14"/>
      <c r="X1111" s="18"/>
      <c r="Y1111" s="18"/>
      <c r="Z1111" s="18"/>
      <c r="AA1111" s="218"/>
      <c r="AB1111" s="218"/>
      <c r="AC1111" s="218"/>
    </row>
    <row r="1112" ht="15.75" customHeight="1">
      <c r="A1112" s="12"/>
      <c r="B1112" s="14"/>
      <c r="C1112" s="14"/>
      <c r="D1112" s="14"/>
      <c r="E1112" s="14"/>
      <c r="F1112" s="14"/>
      <c r="G1112" s="14"/>
      <c r="H1112" s="14"/>
      <c r="I1112" s="15"/>
      <c r="J1112" s="223"/>
      <c r="K1112" s="14"/>
      <c r="L1112" s="14"/>
      <c r="M1112" s="14"/>
      <c r="N1112" s="14"/>
      <c r="O1112" s="14"/>
      <c r="P1112" s="14"/>
      <c r="Q1112" s="14"/>
      <c r="R1112" s="14"/>
      <c r="S1112" s="14"/>
      <c r="T1112" s="14"/>
      <c r="U1112" s="17"/>
      <c r="V1112" s="14"/>
      <c r="W1112" s="14"/>
      <c r="X1112" s="18"/>
      <c r="Y1112" s="18"/>
      <c r="Z1112" s="18"/>
      <c r="AA1112" s="218"/>
      <c r="AB1112" s="218"/>
      <c r="AC1112" s="218"/>
    </row>
    <row r="1113" ht="15.75" customHeight="1">
      <c r="A1113" s="12"/>
      <c r="B1113" s="14"/>
      <c r="C1113" s="14"/>
      <c r="D1113" s="14"/>
      <c r="E1113" s="14"/>
      <c r="F1113" s="14"/>
      <c r="G1113" s="14"/>
      <c r="H1113" s="14"/>
      <c r="I1113" s="15"/>
      <c r="J1113" s="223"/>
      <c r="K1113" s="14"/>
      <c r="L1113" s="14"/>
      <c r="M1113" s="14"/>
      <c r="N1113" s="14"/>
      <c r="O1113" s="14"/>
      <c r="P1113" s="14"/>
      <c r="Q1113" s="14"/>
      <c r="R1113" s="14"/>
      <c r="S1113" s="14"/>
      <c r="T1113" s="14"/>
      <c r="U1113" s="17"/>
      <c r="V1113" s="14"/>
      <c r="W1113" s="14"/>
      <c r="X1113" s="18"/>
      <c r="Y1113" s="18"/>
      <c r="Z1113" s="18"/>
      <c r="AA1113" s="218"/>
      <c r="AB1113" s="218"/>
      <c r="AC1113" s="218"/>
    </row>
    <row r="1114" ht="15.75" customHeight="1">
      <c r="A1114" s="12"/>
      <c r="B1114" s="14"/>
      <c r="C1114" s="14"/>
      <c r="D1114" s="14"/>
      <c r="E1114" s="14"/>
      <c r="F1114" s="14"/>
      <c r="G1114" s="14"/>
      <c r="H1114" s="14"/>
      <c r="I1114" s="15"/>
      <c r="J1114" s="223"/>
      <c r="K1114" s="14"/>
      <c r="L1114" s="14"/>
      <c r="M1114" s="14"/>
      <c r="N1114" s="14"/>
      <c r="O1114" s="14"/>
      <c r="P1114" s="14"/>
      <c r="Q1114" s="14"/>
      <c r="R1114" s="14"/>
      <c r="S1114" s="14"/>
      <c r="T1114" s="14"/>
      <c r="U1114" s="17"/>
      <c r="V1114" s="14"/>
      <c r="W1114" s="14"/>
      <c r="X1114" s="18"/>
      <c r="Y1114" s="18"/>
      <c r="Z1114" s="18"/>
      <c r="AA1114" s="218"/>
      <c r="AB1114" s="218"/>
      <c r="AC1114" s="218"/>
    </row>
    <row r="1115" ht="15.75" customHeight="1">
      <c r="A1115" s="12"/>
      <c r="B1115" s="14"/>
      <c r="C1115" s="14"/>
      <c r="D1115" s="14"/>
      <c r="E1115" s="14"/>
      <c r="F1115" s="14"/>
      <c r="G1115" s="14"/>
      <c r="H1115" s="14"/>
      <c r="I1115" s="15"/>
      <c r="J1115" s="223"/>
      <c r="K1115" s="14"/>
      <c r="L1115" s="14"/>
      <c r="M1115" s="14"/>
      <c r="N1115" s="14"/>
      <c r="O1115" s="14"/>
      <c r="P1115" s="14"/>
      <c r="Q1115" s="14"/>
      <c r="R1115" s="14"/>
      <c r="S1115" s="14"/>
      <c r="T1115" s="14"/>
      <c r="U1115" s="17"/>
      <c r="V1115" s="14"/>
      <c r="W1115" s="14"/>
      <c r="X1115" s="18"/>
      <c r="Y1115" s="18"/>
      <c r="Z1115" s="18"/>
      <c r="AA1115" s="218"/>
      <c r="AB1115" s="218"/>
      <c r="AC1115" s="218"/>
    </row>
    <row r="1116" ht="15.75" customHeight="1">
      <c r="A1116" s="12"/>
      <c r="B1116" s="14"/>
      <c r="C1116" s="14"/>
      <c r="D1116" s="14"/>
      <c r="E1116" s="14"/>
      <c r="F1116" s="14"/>
      <c r="G1116" s="14"/>
      <c r="H1116" s="14"/>
      <c r="I1116" s="15"/>
      <c r="J1116" s="223"/>
      <c r="K1116" s="14"/>
      <c r="L1116" s="14"/>
      <c r="M1116" s="14"/>
      <c r="N1116" s="14"/>
      <c r="O1116" s="14"/>
      <c r="P1116" s="14"/>
      <c r="Q1116" s="14"/>
      <c r="R1116" s="14"/>
      <c r="S1116" s="14"/>
      <c r="T1116" s="14"/>
      <c r="U1116" s="17"/>
      <c r="V1116" s="14"/>
      <c r="W1116" s="14"/>
      <c r="X1116" s="18"/>
      <c r="Y1116" s="18"/>
      <c r="Z1116" s="18"/>
      <c r="AA1116" s="218"/>
      <c r="AB1116" s="218"/>
      <c r="AC1116" s="218"/>
    </row>
    <row r="1117" ht="15.75" customHeight="1">
      <c r="A1117" s="12"/>
      <c r="B1117" s="14"/>
      <c r="C1117" s="14"/>
      <c r="D1117" s="14"/>
      <c r="E1117" s="14"/>
      <c r="F1117" s="14"/>
      <c r="G1117" s="14"/>
      <c r="H1117" s="14"/>
      <c r="I1117" s="15"/>
      <c r="J1117" s="223"/>
      <c r="K1117" s="14"/>
      <c r="L1117" s="14"/>
      <c r="M1117" s="14"/>
      <c r="N1117" s="14"/>
      <c r="O1117" s="14"/>
      <c r="P1117" s="14"/>
      <c r="Q1117" s="14"/>
      <c r="R1117" s="14"/>
      <c r="S1117" s="14"/>
      <c r="T1117" s="14"/>
      <c r="U1117" s="17"/>
      <c r="V1117" s="14"/>
      <c r="W1117" s="14"/>
      <c r="X1117" s="18"/>
      <c r="Y1117" s="18"/>
      <c r="Z1117" s="18"/>
      <c r="AA1117" s="218"/>
      <c r="AB1117" s="218"/>
      <c r="AC1117" s="218"/>
    </row>
    <row r="1118" ht="15.75" customHeight="1">
      <c r="A1118" s="12"/>
      <c r="B1118" s="14"/>
      <c r="C1118" s="14"/>
      <c r="D1118" s="14"/>
      <c r="E1118" s="14"/>
      <c r="F1118" s="14"/>
      <c r="G1118" s="14"/>
      <c r="H1118" s="14"/>
      <c r="I1118" s="15"/>
      <c r="J1118" s="223"/>
      <c r="K1118" s="14"/>
      <c r="L1118" s="14"/>
      <c r="M1118" s="14"/>
      <c r="N1118" s="14"/>
      <c r="O1118" s="14"/>
      <c r="P1118" s="14"/>
      <c r="Q1118" s="14"/>
      <c r="R1118" s="14"/>
      <c r="S1118" s="14"/>
      <c r="T1118" s="14"/>
      <c r="U1118" s="17"/>
      <c r="V1118" s="14"/>
      <c r="W1118" s="14"/>
      <c r="X1118" s="18"/>
      <c r="Y1118" s="18"/>
      <c r="Z1118" s="18"/>
      <c r="AA1118" s="218"/>
      <c r="AB1118" s="218"/>
      <c r="AC1118" s="218"/>
    </row>
    <row r="1119" ht="15.75" customHeight="1">
      <c r="A1119" s="12"/>
      <c r="B1119" s="14"/>
      <c r="C1119" s="14"/>
      <c r="D1119" s="14"/>
      <c r="E1119" s="14"/>
      <c r="F1119" s="14"/>
      <c r="G1119" s="14"/>
      <c r="H1119" s="14"/>
      <c r="I1119" s="15"/>
      <c r="J1119" s="223"/>
      <c r="K1119" s="14"/>
      <c r="L1119" s="14"/>
      <c r="M1119" s="14"/>
      <c r="N1119" s="14"/>
      <c r="O1119" s="14"/>
      <c r="P1119" s="14"/>
      <c r="Q1119" s="14"/>
      <c r="R1119" s="14"/>
      <c r="S1119" s="14"/>
      <c r="T1119" s="14"/>
      <c r="U1119" s="17"/>
      <c r="V1119" s="14"/>
      <c r="W1119" s="14"/>
      <c r="X1119" s="18"/>
      <c r="Y1119" s="18"/>
      <c r="Z1119" s="18"/>
      <c r="AA1119" s="218"/>
      <c r="AB1119" s="218"/>
      <c r="AC1119" s="218"/>
    </row>
    <row r="1120" ht="15.75" customHeight="1">
      <c r="A1120" s="12"/>
      <c r="B1120" s="14"/>
      <c r="C1120" s="14"/>
      <c r="D1120" s="14"/>
      <c r="E1120" s="14"/>
      <c r="F1120" s="14"/>
      <c r="G1120" s="14"/>
      <c r="H1120" s="14"/>
      <c r="I1120" s="15"/>
      <c r="J1120" s="223"/>
      <c r="K1120" s="14"/>
      <c r="L1120" s="14"/>
      <c r="M1120" s="14"/>
      <c r="N1120" s="14"/>
      <c r="O1120" s="14"/>
      <c r="P1120" s="14"/>
      <c r="Q1120" s="14"/>
      <c r="R1120" s="14"/>
      <c r="S1120" s="14"/>
      <c r="T1120" s="14"/>
      <c r="U1120" s="17"/>
      <c r="V1120" s="14"/>
      <c r="W1120" s="14"/>
      <c r="X1120" s="18"/>
      <c r="Y1120" s="18"/>
      <c r="Z1120" s="18"/>
      <c r="AA1120" s="218"/>
      <c r="AB1120" s="218"/>
      <c r="AC1120" s="218"/>
    </row>
    <row r="1121" ht="15.75" customHeight="1">
      <c r="A1121" s="12"/>
      <c r="B1121" s="14"/>
      <c r="C1121" s="14"/>
      <c r="D1121" s="14"/>
      <c r="E1121" s="14"/>
      <c r="F1121" s="14"/>
      <c r="G1121" s="14"/>
      <c r="H1121" s="14"/>
      <c r="I1121" s="15"/>
      <c r="J1121" s="223"/>
      <c r="K1121" s="14"/>
      <c r="L1121" s="14"/>
      <c r="M1121" s="14"/>
      <c r="N1121" s="14"/>
      <c r="O1121" s="14"/>
      <c r="P1121" s="14"/>
      <c r="Q1121" s="14"/>
      <c r="R1121" s="14"/>
      <c r="S1121" s="14"/>
      <c r="T1121" s="14"/>
      <c r="U1121" s="17"/>
      <c r="V1121" s="14"/>
      <c r="W1121" s="14"/>
      <c r="X1121" s="18"/>
      <c r="Y1121" s="18"/>
      <c r="Z1121" s="18"/>
      <c r="AA1121" s="218"/>
      <c r="AB1121" s="218"/>
      <c r="AC1121" s="218"/>
    </row>
    <row r="1122" ht="15.75" customHeight="1">
      <c r="A1122" s="12"/>
      <c r="B1122" s="14"/>
      <c r="C1122" s="14"/>
      <c r="D1122" s="14"/>
      <c r="E1122" s="142"/>
      <c r="F1122" s="14"/>
      <c r="G1122" s="14"/>
      <c r="H1122" s="14"/>
      <c r="I1122" s="15"/>
      <c r="J1122" s="223"/>
      <c r="K1122" s="14"/>
      <c r="L1122" s="14"/>
      <c r="M1122" s="14"/>
      <c r="N1122" s="14"/>
      <c r="O1122" s="14"/>
      <c r="P1122" s="14"/>
      <c r="Q1122" s="14"/>
      <c r="R1122" s="14"/>
      <c r="S1122" s="14"/>
      <c r="T1122" s="14"/>
      <c r="U1122" s="17"/>
      <c r="V1122" s="14"/>
      <c r="W1122" s="14"/>
      <c r="X1122" s="18"/>
      <c r="Y1122" s="18"/>
      <c r="Z1122" s="18"/>
      <c r="AA1122" s="218"/>
      <c r="AB1122" s="218"/>
      <c r="AC1122" s="218"/>
    </row>
    <row r="1123" ht="15.75" customHeight="1">
      <c r="A1123" s="12"/>
      <c r="B1123" s="14"/>
      <c r="C1123" s="14"/>
      <c r="D1123" s="14"/>
      <c r="E1123" s="142"/>
      <c r="F1123" s="14"/>
      <c r="G1123" s="14"/>
      <c r="H1123" s="14"/>
      <c r="I1123" s="15"/>
      <c r="J1123" s="223"/>
      <c r="K1123" s="14"/>
      <c r="L1123" s="14"/>
      <c r="M1123" s="14"/>
      <c r="N1123" s="14"/>
      <c r="O1123" s="14"/>
      <c r="P1123" s="14"/>
      <c r="Q1123" s="14"/>
      <c r="R1123" s="14"/>
      <c r="S1123" s="14"/>
      <c r="T1123" s="14"/>
      <c r="U1123" s="17"/>
      <c r="V1123" s="14"/>
      <c r="W1123" s="14"/>
      <c r="X1123" s="18"/>
      <c r="Y1123" s="18"/>
      <c r="Z1123" s="18"/>
      <c r="AA1123" s="218"/>
      <c r="AB1123" s="218"/>
      <c r="AC1123" s="218"/>
    </row>
    <row r="1124" ht="15.75" customHeight="1">
      <c r="A1124" s="12"/>
      <c r="B1124" s="14"/>
      <c r="C1124" s="14"/>
      <c r="D1124" s="14"/>
      <c r="E1124" s="14"/>
      <c r="F1124" s="14"/>
      <c r="G1124" s="14"/>
      <c r="H1124" s="14"/>
      <c r="I1124" s="15"/>
      <c r="J1124" s="223"/>
      <c r="K1124" s="14"/>
      <c r="L1124" s="14"/>
      <c r="M1124" s="14"/>
      <c r="N1124" s="14"/>
      <c r="O1124" s="14"/>
      <c r="P1124" s="14"/>
      <c r="Q1124" s="14"/>
      <c r="R1124" s="14"/>
      <c r="S1124" s="14"/>
      <c r="T1124" s="14"/>
      <c r="U1124" s="17"/>
      <c r="V1124" s="14"/>
      <c r="W1124" s="14"/>
      <c r="X1124" s="18"/>
      <c r="Y1124" s="18"/>
      <c r="Z1124" s="18"/>
      <c r="AA1124" s="218"/>
      <c r="AB1124" s="218"/>
      <c r="AC1124" s="218"/>
    </row>
    <row r="1125" ht="15.75" customHeight="1">
      <c r="A1125" s="12"/>
      <c r="B1125" s="14"/>
      <c r="C1125" s="14"/>
      <c r="D1125" s="14"/>
      <c r="E1125" s="14"/>
      <c r="F1125" s="14"/>
      <c r="G1125" s="14"/>
      <c r="H1125" s="14"/>
      <c r="I1125" s="15"/>
      <c r="J1125" s="223"/>
      <c r="K1125" s="14"/>
      <c r="L1125" s="14"/>
      <c r="M1125" s="14"/>
      <c r="N1125" s="14"/>
      <c r="O1125" s="14"/>
      <c r="P1125" s="14"/>
      <c r="Q1125" s="14"/>
      <c r="R1125" s="14"/>
      <c r="S1125" s="14"/>
      <c r="T1125" s="14"/>
      <c r="U1125" s="17"/>
      <c r="V1125" s="14"/>
      <c r="W1125" s="14"/>
      <c r="X1125" s="18"/>
      <c r="Y1125" s="18"/>
      <c r="Z1125" s="18"/>
      <c r="AA1125" s="218"/>
      <c r="AB1125" s="218"/>
      <c r="AC1125" s="218"/>
    </row>
    <row r="1126" ht="15.75" customHeight="1">
      <c r="A1126" s="12"/>
      <c r="B1126" s="14"/>
      <c r="C1126" s="14"/>
      <c r="D1126" s="14"/>
      <c r="E1126" s="14"/>
      <c r="F1126" s="14"/>
      <c r="G1126" s="14"/>
      <c r="H1126" s="14"/>
      <c r="I1126" s="15"/>
      <c r="J1126" s="223"/>
      <c r="K1126" s="14"/>
      <c r="L1126" s="14"/>
      <c r="M1126" s="14"/>
      <c r="N1126" s="14"/>
      <c r="O1126" s="14"/>
      <c r="P1126" s="14"/>
      <c r="Q1126" s="14"/>
      <c r="R1126" s="14"/>
      <c r="S1126" s="14"/>
      <c r="T1126" s="14"/>
      <c r="U1126" s="17"/>
      <c r="V1126" s="14"/>
      <c r="W1126" s="14"/>
      <c r="X1126" s="18"/>
      <c r="Y1126" s="18"/>
      <c r="Z1126" s="18"/>
      <c r="AA1126" s="218"/>
      <c r="AB1126" s="218"/>
      <c r="AC1126" s="218"/>
    </row>
    <row r="1127" ht="15.75" customHeight="1">
      <c r="A1127" s="12"/>
      <c r="B1127" s="14"/>
      <c r="C1127" s="14"/>
      <c r="D1127" s="14"/>
      <c r="E1127" s="14"/>
      <c r="F1127" s="14"/>
      <c r="G1127" s="14"/>
      <c r="H1127" s="14"/>
      <c r="I1127" s="15"/>
      <c r="J1127" s="223"/>
      <c r="K1127" s="14"/>
      <c r="L1127" s="14"/>
      <c r="M1127" s="14"/>
      <c r="N1127" s="14"/>
      <c r="O1127" s="14"/>
      <c r="P1127" s="14"/>
      <c r="Q1127" s="14"/>
      <c r="R1127" s="14"/>
      <c r="S1127" s="14"/>
      <c r="T1127" s="14"/>
      <c r="U1127" s="17"/>
      <c r="V1127" s="14"/>
      <c r="W1127" s="14"/>
      <c r="X1127" s="18"/>
      <c r="Y1127" s="18"/>
      <c r="Z1127" s="18"/>
      <c r="AA1127" s="218"/>
      <c r="AB1127" s="218"/>
      <c r="AC1127" s="218"/>
    </row>
    <row r="1128" ht="15.75" customHeight="1">
      <c r="A1128" s="12"/>
      <c r="B1128" s="14"/>
      <c r="C1128" s="14"/>
      <c r="D1128" s="14"/>
      <c r="E1128" s="14"/>
      <c r="F1128" s="14"/>
      <c r="G1128" s="14"/>
      <c r="H1128" s="14"/>
      <c r="I1128" s="15"/>
      <c r="J1128" s="223"/>
      <c r="K1128" s="14"/>
      <c r="L1128" s="14"/>
      <c r="M1128" s="14"/>
      <c r="N1128" s="14"/>
      <c r="O1128" s="14"/>
      <c r="P1128" s="14"/>
      <c r="Q1128" s="14"/>
      <c r="R1128" s="14"/>
      <c r="S1128" s="14"/>
      <c r="T1128" s="14"/>
      <c r="U1128" s="17"/>
      <c r="V1128" s="14"/>
      <c r="W1128" s="14"/>
      <c r="X1128" s="18"/>
      <c r="Y1128" s="18"/>
      <c r="Z1128" s="18"/>
      <c r="AA1128" s="218"/>
      <c r="AB1128" s="218"/>
      <c r="AC1128" s="218"/>
    </row>
    <row r="1129" ht="15.75" customHeight="1">
      <c r="A1129" s="12"/>
      <c r="B1129" s="14"/>
      <c r="C1129" s="14"/>
      <c r="D1129" s="14"/>
      <c r="E1129" s="14"/>
      <c r="F1129" s="14"/>
      <c r="G1129" s="14"/>
      <c r="H1129" s="14"/>
      <c r="I1129" s="15"/>
      <c r="J1129" s="223"/>
      <c r="K1129" s="14"/>
      <c r="L1129" s="14"/>
      <c r="M1129" s="14"/>
      <c r="N1129" s="14"/>
      <c r="O1129" s="14"/>
      <c r="P1129" s="14"/>
      <c r="Q1129" s="14"/>
      <c r="R1129" s="14"/>
      <c r="S1129" s="14"/>
      <c r="T1129" s="14"/>
      <c r="U1129" s="17"/>
      <c r="V1129" s="14"/>
      <c r="W1129" s="14"/>
      <c r="X1129" s="18"/>
      <c r="Y1129" s="18"/>
      <c r="Z1129" s="18"/>
      <c r="AA1129" s="218"/>
      <c r="AB1129" s="218"/>
      <c r="AC1129" s="218"/>
    </row>
    <row r="1130" ht="15.75" customHeight="1">
      <c r="A1130" s="12"/>
      <c r="B1130" s="14"/>
      <c r="C1130" s="14"/>
      <c r="D1130" s="14"/>
      <c r="E1130" s="14"/>
      <c r="F1130" s="14"/>
      <c r="G1130" s="14"/>
      <c r="H1130" s="14"/>
      <c r="I1130" s="15"/>
      <c r="J1130" s="223"/>
      <c r="K1130" s="14"/>
      <c r="L1130" s="14"/>
      <c r="M1130" s="14"/>
      <c r="N1130" s="14"/>
      <c r="O1130" s="14"/>
      <c r="P1130" s="14"/>
      <c r="Q1130" s="14"/>
      <c r="R1130" s="14"/>
      <c r="S1130" s="14"/>
      <c r="T1130" s="14"/>
      <c r="U1130" s="17"/>
      <c r="V1130" s="14"/>
      <c r="W1130" s="14"/>
      <c r="X1130" s="18"/>
      <c r="Y1130" s="18"/>
      <c r="Z1130" s="18"/>
      <c r="AA1130" s="218"/>
      <c r="AB1130" s="218"/>
      <c r="AC1130" s="218"/>
    </row>
    <row r="1131" ht="15.75" customHeight="1">
      <c r="A1131" s="12"/>
      <c r="B1131" s="14"/>
      <c r="C1131" s="14"/>
      <c r="D1131" s="14"/>
      <c r="E1131" s="14"/>
      <c r="F1131" s="14"/>
      <c r="G1131" s="14"/>
      <c r="H1131" s="14"/>
      <c r="I1131" s="15"/>
      <c r="J1131" s="223"/>
      <c r="K1131" s="14"/>
      <c r="L1131" s="14"/>
      <c r="M1131" s="14"/>
      <c r="N1131" s="14"/>
      <c r="O1131" s="14"/>
      <c r="P1131" s="14"/>
      <c r="Q1131" s="14"/>
      <c r="R1131" s="14"/>
      <c r="S1131" s="14"/>
      <c r="T1131" s="14"/>
      <c r="U1131" s="17"/>
      <c r="V1131" s="14"/>
      <c r="W1131" s="14"/>
      <c r="X1131" s="18"/>
      <c r="Y1131" s="18"/>
      <c r="Z1131" s="18"/>
      <c r="AA1131" s="218"/>
      <c r="AB1131" s="218"/>
      <c r="AC1131" s="218"/>
    </row>
    <row r="1132" ht="15.75" customHeight="1">
      <c r="A1132" s="12"/>
      <c r="B1132" s="14"/>
      <c r="C1132" s="14"/>
      <c r="D1132" s="14"/>
      <c r="E1132" s="14"/>
      <c r="F1132" s="14"/>
      <c r="G1132" s="14"/>
      <c r="H1132" s="14"/>
      <c r="I1132" s="15"/>
      <c r="J1132" s="223"/>
      <c r="K1132" s="14"/>
      <c r="L1132" s="14"/>
      <c r="M1132" s="14"/>
      <c r="N1132" s="14"/>
      <c r="O1132" s="14"/>
      <c r="P1132" s="14"/>
      <c r="Q1132" s="14"/>
      <c r="R1132" s="14"/>
      <c r="S1132" s="14"/>
      <c r="T1132" s="14"/>
      <c r="U1132" s="17"/>
      <c r="V1132" s="14"/>
      <c r="W1132" s="14"/>
      <c r="X1132" s="18"/>
      <c r="Y1132" s="18"/>
      <c r="Z1132" s="18"/>
      <c r="AA1132" s="218"/>
      <c r="AB1132" s="218"/>
      <c r="AC1132" s="218"/>
    </row>
    <row r="1133" ht="15.75" customHeight="1">
      <c r="A1133" s="12"/>
      <c r="B1133" s="14"/>
      <c r="C1133" s="14"/>
      <c r="D1133" s="14"/>
      <c r="E1133" s="14"/>
      <c r="F1133" s="14"/>
      <c r="G1133" s="14"/>
      <c r="H1133" s="14"/>
      <c r="I1133" s="15"/>
      <c r="J1133" s="223"/>
      <c r="K1133" s="14"/>
      <c r="L1133" s="14"/>
      <c r="M1133" s="14"/>
      <c r="N1133" s="14"/>
      <c r="O1133" s="14"/>
      <c r="P1133" s="14"/>
      <c r="Q1133" s="14"/>
      <c r="R1133" s="14"/>
      <c r="S1133" s="14"/>
      <c r="T1133" s="14"/>
      <c r="U1133" s="17"/>
      <c r="V1133" s="14"/>
      <c r="W1133" s="14"/>
      <c r="X1133" s="18"/>
      <c r="Y1133" s="18"/>
      <c r="Z1133" s="18"/>
      <c r="AA1133" s="218"/>
      <c r="AB1133" s="218"/>
      <c r="AC1133" s="218"/>
    </row>
    <row r="1134" ht="15.75" customHeight="1">
      <c r="A1134" s="12"/>
      <c r="B1134" s="14"/>
      <c r="C1134" s="14"/>
      <c r="D1134" s="14"/>
      <c r="E1134" s="14"/>
      <c r="F1134" s="14"/>
      <c r="G1134" s="14"/>
      <c r="H1134" s="14"/>
      <c r="I1134" s="15"/>
      <c r="J1134" s="223"/>
      <c r="K1134" s="14"/>
      <c r="L1134" s="14"/>
      <c r="M1134" s="14"/>
      <c r="N1134" s="14"/>
      <c r="O1134" s="14"/>
      <c r="P1134" s="14"/>
      <c r="Q1134" s="14"/>
      <c r="R1134" s="14"/>
      <c r="S1134" s="14"/>
      <c r="T1134" s="14"/>
      <c r="U1134" s="17"/>
      <c r="V1134" s="14"/>
      <c r="W1134" s="14"/>
      <c r="X1134" s="18"/>
      <c r="Y1134" s="18"/>
      <c r="Z1134" s="18"/>
      <c r="AA1134" s="218"/>
      <c r="AB1134" s="218"/>
      <c r="AC1134" s="218"/>
    </row>
    <row r="1135" ht="15.75" customHeight="1">
      <c r="A1135" s="12"/>
      <c r="B1135" s="14"/>
      <c r="C1135" s="14"/>
      <c r="D1135" s="14"/>
      <c r="E1135" s="14"/>
      <c r="F1135" s="14"/>
      <c r="G1135" s="14"/>
      <c r="H1135" s="14"/>
      <c r="I1135" s="15"/>
      <c r="J1135" s="223"/>
      <c r="K1135" s="14"/>
      <c r="L1135" s="14"/>
      <c r="M1135" s="14"/>
      <c r="N1135" s="14"/>
      <c r="O1135" s="14"/>
      <c r="P1135" s="14"/>
      <c r="Q1135" s="14"/>
      <c r="R1135" s="14"/>
      <c r="S1135" s="14"/>
      <c r="T1135" s="14"/>
      <c r="U1135" s="17"/>
      <c r="V1135" s="14"/>
      <c r="W1135" s="14"/>
      <c r="X1135" s="18"/>
      <c r="Y1135" s="18"/>
      <c r="Z1135" s="18"/>
      <c r="AA1135" s="218"/>
      <c r="AB1135" s="218"/>
      <c r="AC1135" s="218"/>
    </row>
    <row r="1136" ht="15.75" customHeight="1">
      <c r="A1136" s="12"/>
      <c r="B1136" s="14"/>
      <c r="C1136" s="14"/>
      <c r="D1136" s="14"/>
      <c r="E1136" s="14"/>
      <c r="F1136" s="14"/>
      <c r="G1136" s="14"/>
      <c r="H1136" s="14"/>
      <c r="I1136" s="15"/>
      <c r="J1136" s="223"/>
      <c r="K1136" s="14"/>
      <c r="L1136" s="14"/>
      <c r="M1136" s="14"/>
      <c r="N1136" s="14"/>
      <c r="O1136" s="14"/>
      <c r="P1136" s="14"/>
      <c r="Q1136" s="14"/>
      <c r="R1136" s="14"/>
      <c r="S1136" s="14"/>
      <c r="T1136" s="14"/>
      <c r="U1136" s="17"/>
      <c r="V1136" s="14"/>
      <c r="W1136" s="14"/>
      <c r="X1136" s="18"/>
      <c r="Y1136" s="18"/>
      <c r="Z1136" s="18"/>
      <c r="AA1136" s="218"/>
      <c r="AB1136" s="218"/>
      <c r="AC1136" s="218"/>
    </row>
    <row r="1137" ht="15.75" customHeight="1">
      <c r="A1137" s="12"/>
      <c r="B1137" s="14"/>
      <c r="C1137" s="14"/>
      <c r="D1137" s="14"/>
      <c r="E1137" s="14"/>
      <c r="F1137" s="14"/>
      <c r="G1137" s="14"/>
      <c r="H1137" s="14"/>
      <c r="I1137" s="15"/>
      <c r="J1137" s="223"/>
      <c r="K1137" s="14"/>
      <c r="L1137" s="14"/>
      <c r="M1137" s="14"/>
      <c r="N1137" s="14"/>
      <c r="O1137" s="14"/>
      <c r="P1137" s="14"/>
      <c r="Q1137" s="14"/>
      <c r="R1137" s="14"/>
      <c r="S1137" s="14"/>
      <c r="T1137" s="14"/>
      <c r="U1137" s="17"/>
      <c r="V1137" s="14"/>
      <c r="W1137" s="14"/>
      <c r="X1137" s="18"/>
      <c r="Y1137" s="18"/>
      <c r="Z1137" s="18"/>
      <c r="AA1137" s="218"/>
      <c r="AB1137" s="218"/>
      <c r="AC1137" s="218"/>
    </row>
    <row r="1138" ht="15.75" customHeight="1">
      <c r="A1138" s="12"/>
      <c r="B1138" s="14"/>
      <c r="C1138" s="14"/>
      <c r="D1138" s="14"/>
      <c r="E1138" s="14"/>
      <c r="F1138" s="14"/>
      <c r="G1138" s="14"/>
      <c r="H1138" s="14"/>
      <c r="I1138" s="15"/>
      <c r="J1138" s="223"/>
      <c r="K1138" s="14"/>
      <c r="L1138" s="14"/>
      <c r="M1138" s="14"/>
      <c r="N1138" s="14"/>
      <c r="O1138" s="14"/>
      <c r="P1138" s="14"/>
      <c r="Q1138" s="14"/>
      <c r="R1138" s="14"/>
      <c r="S1138" s="14"/>
      <c r="T1138" s="14"/>
      <c r="U1138" s="17"/>
      <c r="V1138" s="14"/>
      <c r="W1138" s="14"/>
      <c r="X1138" s="18"/>
      <c r="Y1138" s="18"/>
      <c r="Z1138" s="18"/>
      <c r="AA1138" s="218"/>
      <c r="AB1138" s="218"/>
      <c r="AC1138" s="218"/>
    </row>
    <row r="1139" ht="15.75" customHeight="1">
      <c r="A1139" s="12"/>
      <c r="B1139" s="14"/>
      <c r="C1139" s="14"/>
      <c r="D1139" s="14"/>
      <c r="E1139" s="14"/>
      <c r="F1139" s="14"/>
      <c r="G1139" s="14"/>
      <c r="H1139" s="14"/>
      <c r="I1139" s="15"/>
      <c r="J1139" s="223"/>
      <c r="K1139" s="14"/>
      <c r="L1139" s="14"/>
      <c r="M1139" s="14"/>
      <c r="N1139" s="14"/>
      <c r="O1139" s="14"/>
      <c r="P1139" s="14"/>
      <c r="Q1139" s="14"/>
      <c r="R1139" s="14"/>
      <c r="S1139" s="14"/>
      <c r="T1139" s="14"/>
      <c r="U1139" s="17"/>
      <c r="V1139" s="14"/>
      <c r="W1139" s="14"/>
      <c r="X1139" s="18"/>
      <c r="Y1139" s="18"/>
      <c r="Z1139" s="18"/>
      <c r="AA1139" s="218"/>
      <c r="AB1139" s="218"/>
      <c r="AC1139" s="218"/>
    </row>
    <row r="1140" ht="15.75" customHeight="1">
      <c r="A1140" s="12"/>
      <c r="B1140" s="14"/>
      <c r="C1140" s="14"/>
      <c r="D1140" s="14"/>
      <c r="E1140" s="14"/>
      <c r="F1140" s="14"/>
      <c r="G1140" s="14"/>
      <c r="H1140" s="14"/>
      <c r="I1140" s="15"/>
      <c r="J1140" s="223"/>
      <c r="K1140" s="14"/>
      <c r="L1140" s="14"/>
      <c r="M1140" s="14"/>
      <c r="N1140" s="14"/>
      <c r="O1140" s="14"/>
      <c r="P1140" s="14"/>
      <c r="Q1140" s="14"/>
      <c r="R1140" s="14"/>
      <c r="S1140" s="14"/>
      <c r="T1140" s="14"/>
      <c r="U1140" s="17"/>
      <c r="V1140" s="14"/>
      <c r="W1140" s="14"/>
      <c r="X1140" s="18"/>
      <c r="Y1140" s="18"/>
      <c r="Z1140" s="18"/>
      <c r="AA1140" s="218"/>
      <c r="AB1140" s="218"/>
      <c r="AC1140" s="218"/>
    </row>
    <row r="1141" ht="15.75" customHeight="1">
      <c r="A1141" s="12"/>
      <c r="B1141" s="14"/>
      <c r="C1141" s="14"/>
      <c r="D1141" s="14"/>
      <c r="E1141" s="14"/>
      <c r="F1141" s="14"/>
      <c r="G1141" s="14"/>
      <c r="H1141" s="14"/>
      <c r="I1141" s="15"/>
      <c r="J1141" s="223"/>
      <c r="K1141" s="14"/>
      <c r="L1141" s="14"/>
      <c r="M1141" s="14"/>
      <c r="N1141" s="14"/>
      <c r="O1141" s="14"/>
      <c r="P1141" s="14"/>
      <c r="Q1141" s="14"/>
      <c r="R1141" s="14"/>
      <c r="S1141" s="14"/>
      <c r="T1141" s="14"/>
      <c r="U1141" s="17"/>
      <c r="V1141" s="14"/>
      <c r="W1141" s="14"/>
      <c r="X1141" s="18"/>
      <c r="Y1141" s="18"/>
      <c r="Z1141" s="18"/>
      <c r="AA1141" s="218"/>
      <c r="AB1141" s="218"/>
      <c r="AC1141" s="218"/>
    </row>
    <row r="1142" ht="15.75" customHeight="1">
      <c r="A1142" s="12"/>
      <c r="B1142" s="14"/>
      <c r="C1142" s="14"/>
      <c r="D1142" s="14"/>
      <c r="E1142" s="14"/>
      <c r="F1142" s="14"/>
      <c r="G1142" s="14"/>
      <c r="H1142" s="14"/>
      <c r="I1142" s="15"/>
      <c r="J1142" s="223"/>
      <c r="K1142" s="14"/>
      <c r="L1142" s="14"/>
      <c r="M1142" s="14"/>
      <c r="N1142" s="14"/>
      <c r="O1142" s="14"/>
      <c r="P1142" s="14"/>
      <c r="Q1142" s="14"/>
      <c r="R1142" s="14"/>
      <c r="S1142" s="14"/>
      <c r="T1142" s="14"/>
      <c r="U1142" s="17"/>
      <c r="V1142" s="14"/>
      <c r="W1142" s="14"/>
      <c r="X1142" s="18"/>
      <c r="Y1142" s="18"/>
      <c r="Z1142" s="18"/>
      <c r="AA1142" s="218"/>
      <c r="AB1142" s="218"/>
      <c r="AC1142" s="218"/>
    </row>
    <row r="1143" ht="15.75" customHeight="1">
      <c r="A1143" s="12"/>
      <c r="B1143" s="14"/>
      <c r="C1143" s="14"/>
      <c r="D1143" s="14"/>
      <c r="E1143" s="14"/>
      <c r="F1143" s="14"/>
      <c r="G1143" s="14"/>
      <c r="H1143" s="14"/>
      <c r="I1143" s="15"/>
      <c r="J1143" s="223"/>
      <c r="K1143" s="14"/>
      <c r="L1143" s="14"/>
      <c r="M1143" s="14"/>
      <c r="N1143" s="14"/>
      <c r="O1143" s="14"/>
      <c r="P1143" s="14"/>
      <c r="Q1143" s="14"/>
      <c r="R1143" s="14"/>
      <c r="S1143" s="14"/>
      <c r="T1143" s="14"/>
      <c r="U1143" s="17"/>
      <c r="V1143" s="14"/>
      <c r="W1143" s="14"/>
      <c r="X1143" s="18"/>
      <c r="Y1143" s="18"/>
      <c r="Z1143" s="18"/>
      <c r="AA1143" s="218"/>
      <c r="AB1143" s="218"/>
      <c r="AC1143" s="218"/>
    </row>
    <row r="1144" ht="15.75" customHeight="1">
      <c r="A1144" s="12"/>
      <c r="B1144" s="14"/>
      <c r="C1144" s="14"/>
      <c r="D1144" s="14"/>
      <c r="E1144" s="14"/>
      <c r="F1144" s="14"/>
      <c r="G1144" s="14"/>
      <c r="H1144" s="14"/>
      <c r="I1144" s="15"/>
      <c r="J1144" s="223"/>
      <c r="K1144" s="14"/>
      <c r="L1144" s="14"/>
      <c r="M1144" s="14"/>
      <c r="N1144" s="14"/>
      <c r="O1144" s="14"/>
      <c r="P1144" s="14"/>
      <c r="Q1144" s="14"/>
      <c r="R1144" s="14"/>
      <c r="S1144" s="14"/>
      <c r="T1144" s="14"/>
      <c r="U1144" s="17"/>
      <c r="V1144" s="14"/>
      <c r="W1144" s="14"/>
      <c r="X1144" s="18"/>
      <c r="Y1144" s="18"/>
      <c r="Z1144" s="18"/>
      <c r="AA1144" s="218"/>
      <c r="AB1144" s="218"/>
      <c r="AC1144" s="218"/>
    </row>
    <row r="1145" ht="15.75" customHeight="1">
      <c r="A1145" s="12"/>
      <c r="B1145" s="14"/>
      <c r="C1145" s="14"/>
      <c r="D1145" s="14"/>
      <c r="E1145" s="14"/>
      <c r="F1145" s="14"/>
      <c r="G1145" s="14"/>
      <c r="H1145" s="14"/>
      <c r="I1145" s="15"/>
      <c r="J1145" s="223"/>
      <c r="K1145" s="14"/>
      <c r="L1145" s="14"/>
      <c r="M1145" s="14"/>
      <c r="N1145" s="14"/>
      <c r="O1145" s="14"/>
      <c r="P1145" s="14"/>
      <c r="Q1145" s="14"/>
      <c r="R1145" s="14"/>
      <c r="S1145" s="14"/>
      <c r="T1145" s="14"/>
      <c r="U1145" s="17"/>
      <c r="V1145" s="14"/>
      <c r="W1145" s="14"/>
      <c r="X1145" s="18"/>
      <c r="Y1145" s="18"/>
      <c r="Z1145" s="18"/>
      <c r="AA1145" s="218"/>
      <c r="AB1145" s="218"/>
      <c r="AC1145" s="218"/>
    </row>
    <row r="1146" ht="15.75" customHeight="1">
      <c r="A1146" s="12"/>
      <c r="B1146" s="14"/>
      <c r="C1146" s="14"/>
      <c r="D1146" s="14"/>
      <c r="E1146" s="14"/>
      <c r="F1146" s="14"/>
      <c r="G1146" s="14"/>
      <c r="H1146" s="14"/>
      <c r="I1146" s="15"/>
      <c r="J1146" s="223"/>
      <c r="K1146" s="14"/>
      <c r="L1146" s="14"/>
      <c r="M1146" s="14"/>
      <c r="N1146" s="14"/>
      <c r="O1146" s="14"/>
      <c r="P1146" s="14"/>
      <c r="Q1146" s="14"/>
      <c r="R1146" s="14"/>
      <c r="S1146" s="14"/>
      <c r="T1146" s="14"/>
      <c r="U1146" s="17"/>
      <c r="V1146" s="14"/>
      <c r="W1146" s="14"/>
      <c r="X1146" s="18"/>
      <c r="Y1146" s="18"/>
      <c r="Z1146" s="18"/>
      <c r="AA1146" s="218"/>
      <c r="AB1146" s="218"/>
      <c r="AC1146" s="218"/>
    </row>
    <row r="1147" ht="15.75" customHeight="1">
      <c r="A1147" s="12"/>
      <c r="B1147" s="14"/>
      <c r="C1147" s="14"/>
      <c r="D1147" s="14"/>
      <c r="E1147" s="14"/>
      <c r="F1147" s="14"/>
      <c r="G1147" s="14"/>
      <c r="H1147" s="14"/>
      <c r="I1147" s="15"/>
      <c r="J1147" s="223"/>
      <c r="K1147" s="14"/>
      <c r="L1147" s="14"/>
      <c r="M1147" s="14"/>
      <c r="N1147" s="14"/>
      <c r="O1147" s="14"/>
      <c r="P1147" s="14"/>
      <c r="Q1147" s="14"/>
      <c r="R1147" s="14"/>
      <c r="S1147" s="14"/>
      <c r="T1147" s="14"/>
      <c r="U1147" s="17"/>
      <c r="V1147" s="14"/>
      <c r="W1147" s="14"/>
      <c r="X1147" s="18"/>
      <c r="Y1147" s="18"/>
      <c r="Z1147" s="18"/>
      <c r="AA1147" s="218"/>
      <c r="AB1147" s="218"/>
      <c r="AC1147" s="218"/>
    </row>
    <row r="1148" ht="15.75" customHeight="1">
      <c r="A1148" s="12"/>
      <c r="B1148" s="14"/>
      <c r="C1148" s="14"/>
      <c r="D1148" s="14"/>
      <c r="E1148" s="14"/>
      <c r="F1148" s="14"/>
      <c r="G1148" s="14"/>
      <c r="H1148" s="14"/>
      <c r="I1148" s="15"/>
      <c r="J1148" s="223"/>
      <c r="K1148" s="14"/>
      <c r="L1148" s="14"/>
      <c r="M1148" s="14"/>
      <c r="N1148" s="14"/>
      <c r="O1148" s="14"/>
      <c r="P1148" s="14"/>
      <c r="Q1148" s="14"/>
      <c r="R1148" s="14"/>
      <c r="S1148" s="14"/>
      <c r="T1148" s="14"/>
      <c r="U1148" s="17"/>
      <c r="V1148" s="14"/>
      <c r="W1148" s="14"/>
      <c r="X1148" s="18"/>
      <c r="Y1148" s="18"/>
      <c r="Z1148" s="18"/>
      <c r="AA1148" s="218"/>
      <c r="AB1148" s="218"/>
      <c r="AC1148" s="218"/>
    </row>
    <row r="1149" ht="15.75" customHeight="1">
      <c r="A1149" s="12"/>
      <c r="B1149" s="14"/>
      <c r="C1149" s="14"/>
      <c r="D1149" s="14"/>
      <c r="E1149" s="14"/>
      <c r="F1149" s="14"/>
      <c r="G1149" s="14"/>
      <c r="H1149" s="14"/>
      <c r="I1149" s="15"/>
      <c r="J1149" s="223"/>
      <c r="K1149" s="14"/>
      <c r="L1149" s="14"/>
      <c r="M1149" s="14"/>
      <c r="N1149" s="14"/>
      <c r="O1149" s="14"/>
      <c r="P1149" s="14"/>
      <c r="Q1149" s="14"/>
      <c r="R1149" s="14"/>
      <c r="S1149" s="14"/>
      <c r="T1149" s="14"/>
      <c r="U1149" s="17"/>
      <c r="V1149" s="14"/>
      <c r="W1149" s="14"/>
      <c r="X1149" s="18"/>
      <c r="Y1149" s="18"/>
      <c r="Z1149" s="18"/>
      <c r="AA1149" s="218"/>
      <c r="AB1149" s="218"/>
      <c r="AC1149" s="218"/>
    </row>
    <row r="1150" ht="15.75" customHeight="1">
      <c r="A1150" s="12"/>
      <c r="B1150" s="14"/>
      <c r="C1150" s="14"/>
      <c r="D1150" s="14"/>
      <c r="E1150" s="14"/>
      <c r="F1150" s="14"/>
      <c r="G1150" s="14"/>
      <c r="H1150" s="14"/>
      <c r="I1150" s="15"/>
      <c r="J1150" s="223"/>
      <c r="K1150" s="14"/>
      <c r="L1150" s="14"/>
      <c r="M1150" s="14"/>
      <c r="N1150" s="14"/>
      <c r="O1150" s="14"/>
      <c r="P1150" s="14"/>
      <c r="Q1150" s="14"/>
      <c r="R1150" s="14"/>
      <c r="S1150" s="14"/>
      <c r="T1150" s="14"/>
      <c r="U1150" s="17"/>
      <c r="V1150" s="14"/>
      <c r="W1150" s="14"/>
      <c r="X1150" s="18"/>
      <c r="Y1150" s="18"/>
      <c r="Z1150" s="18"/>
      <c r="AA1150" s="218"/>
      <c r="AB1150" s="218"/>
      <c r="AC1150" s="218"/>
    </row>
    <row r="1151" ht="15.75" customHeight="1">
      <c r="A1151" s="12"/>
      <c r="B1151" s="14"/>
      <c r="C1151" s="14"/>
      <c r="D1151" s="14"/>
      <c r="E1151" s="14"/>
      <c r="F1151" s="14"/>
      <c r="G1151" s="14"/>
      <c r="H1151" s="14"/>
      <c r="I1151" s="15"/>
      <c r="J1151" s="223"/>
      <c r="K1151" s="14"/>
      <c r="L1151" s="14"/>
      <c r="M1151" s="14"/>
      <c r="N1151" s="14"/>
      <c r="O1151" s="14"/>
      <c r="P1151" s="14"/>
      <c r="Q1151" s="14"/>
      <c r="R1151" s="14"/>
      <c r="S1151" s="14"/>
      <c r="T1151" s="14"/>
      <c r="U1151" s="17"/>
      <c r="V1151" s="14"/>
      <c r="W1151" s="14"/>
      <c r="X1151" s="18"/>
      <c r="Y1151" s="18"/>
      <c r="Z1151" s="18"/>
      <c r="AA1151" s="218"/>
      <c r="AB1151" s="218"/>
      <c r="AC1151" s="218"/>
    </row>
    <row r="1152" ht="15.75" customHeight="1">
      <c r="A1152" s="12"/>
      <c r="B1152" s="14"/>
      <c r="C1152" s="14"/>
      <c r="D1152" s="14"/>
      <c r="E1152" s="14"/>
      <c r="F1152" s="14"/>
      <c r="G1152" s="14"/>
      <c r="H1152" s="14"/>
      <c r="I1152" s="15"/>
      <c r="J1152" s="223"/>
      <c r="K1152" s="14"/>
      <c r="L1152" s="14"/>
      <c r="M1152" s="14"/>
      <c r="N1152" s="14"/>
      <c r="O1152" s="14"/>
      <c r="P1152" s="14"/>
      <c r="Q1152" s="14"/>
      <c r="R1152" s="14"/>
      <c r="S1152" s="14"/>
      <c r="T1152" s="14"/>
      <c r="U1152" s="17"/>
      <c r="V1152" s="14"/>
      <c r="W1152" s="14"/>
      <c r="X1152" s="18"/>
      <c r="Y1152" s="18"/>
      <c r="Z1152" s="18"/>
      <c r="AA1152" s="218"/>
      <c r="AB1152" s="218"/>
      <c r="AC1152" s="218"/>
    </row>
    <row r="1153" ht="15.75" customHeight="1">
      <c r="A1153" s="12"/>
      <c r="B1153" s="14"/>
      <c r="C1153" s="14"/>
      <c r="D1153" s="14"/>
      <c r="E1153" s="14"/>
      <c r="F1153" s="14"/>
      <c r="G1153" s="14"/>
      <c r="H1153" s="14"/>
      <c r="I1153" s="15"/>
      <c r="J1153" s="223"/>
      <c r="K1153" s="14"/>
      <c r="L1153" s="14"/>
      <c r="M1153" s="14"/>
      <c r="N1153" s="14"/>
      <c r="O1153" s="14"/>
      <c r="P1153" s="14"/>
      <c r="Q1153" s="14"/>
      <c r="R1153" s="14"/>
      <c r="S1153" s="14"/>
      <c r="T1153" s="14"/>
      <c r="U1153" s="17"/>
      <c r="V1153" s="14"/>
      <c r="W1153" s="14"/>
      <c r="X1153" s="18"/>
      <c r="Y1153" s="18"/>
      <c r="Z1153" s="18"/>
      <c r="AA1153" s="218"/>
      <c r="AB1153" s="218"/>
      <c r="AC1153" s="218"/>
    </row>
    <row r="1154" ht="15.75" customHeight="1">
      <c r="A1154" s="12"/>
      <c r="B1154" s="14"/>
      <c r="C1154" s="14"/>
      <c r="D1154" s="14"/>
      <c r="E1154" s="14"/>
      <c r="F1154" s="14"/>
      <c r="G1154" s="14"/>
      <c r="H1154" s="14"/>
      <c r="I1154" s="15"/>
      <c r="J1154" s="223"/>
      <c r="K1154" s="14"/>
      <c r="L1154" s="14"/>
      <c r="M1154" s="14"/>
      <c r="N1154" s="14"/>
      <c r="O1154" s="14"/>
      <c r="P1154" s="14"/>
      <c r="Q1154" s="14"/>
      <c r="R1154" s="14"/>
      <c r="S1154" s="14"/>
      <c r="T1154" s="14"/>
      <c r="U1154" s="17"/>
      <c r="V1154" s="14"/>
      <c r="W1154" s="14"/>
      <c r="X1154" s="18"/>
      <c r="Y1154" s="18"/>
      <c r="Z1154" s="18"/>
      <c r="AA1154" s="218"/>
      <c r="AB1154" s="218"/>
      <c r="AC1154" s="218"/>
    </row>
    <row r="1155" ht="15.75" customHeight="1">
      <c r="A1155" s="12"/>
      <c r="B1155" s="14"/>
      <c r="C1155" s="14"/>
      <c r="D1155" s="14"/>
      <c r="E1155" s="14"/>
      <c r="F1155" s="14"/>
      <c r="G1155" s="14"/>
      <c r="H1155" s="14"/>
      <c r="I1155" s="15"/>
      <c r="J1155" s="223"/>
      <c r="K1155" s="14"/>
      <c r="L1155" s="14"/>
      <c r="M1155" s="14"/>
      <c r="N1155" s="14"/>
      <c r="O1155" s="14"/>
      <c r="P1155" s="14"/>
      <c r="Q1155" s="14"/>
      <c r="R1155" s="14"/>
      <c r="S1155" s="14"/>
      <c r="T1155" s="14"/>
      <c r="U1155" s="17"/>
      <c r="V1155" s="14"/>
      <c r="W1155" s="14"/>
      <c r="X1155" s="18"/>
      <c r="Y1155" s="18"/>
      <c r="Z1155" s="18"/>
      <c r="AA1155" s="218"/>
      <c r="AB1155" s="218"/>
      <c r="AC1155" s="218"/>
    </row>
    <row r="1156" ht="15.75" customHeight="1">
      <c r="A1156" s="12"/>
      <c r="B1156" s="14"/>
      <c r="C1156" s="14"/>
      <c r="D1156" s="14"/>
      <c r="E1156" s="14"/>
      <c r="F1156" s="14"/>
      <c r="G1156" s="14"/>
      <c r="H1156" s="14"/>
      <c r="I1156" s="15"/>
      <c r="J1156" s="223"/>
      <c r="K1156" s="14"/>
      <c r="L1156" s="14"/>
      <c r="M1156" s="14"/>
      <c r="N1156" s="14"/>
      <c r="O1156" s="14"/>
      <c r="P1156" s="14"/>
      <c r="Q1156" s="14"/>
      <c r="R1156" s="14"/>
      <c r="S1156" s="14"/>
      <c r="T1156" s="14"/>
      <c r="U1156" s="17"/>
      <c r="V1156" s="14"/>
      <c r="W1156" s="14"/>
      <c r="X1156" s="18"/>
      <c r="Y1156" s="18"/>
      <c r="Z1156" s="18"/>
      <c r="AA1156" s="218"/>
      <c r="AB1156" s="218"/>
      <c r="AC1156" s="218"/>
    </row>
    <row r="1157" ht="15.75" customHeight="1">
      <c r="A1157" s="12"/>
      <c r="B1157" s="14"/>
      <c r="C1157" s="14"/>
      <c r="D1157" s="14"/>
      <c r="E1157" s="14"/>
      <c r="F1157" s="14"/>
      <c r="G1157" s="14"/>
      <c r="H1157" s="14"/>
      <c r="I1157" s="15"/>
      <c r="J1157" s="223"/>
      <c r="K1157" s="14"/>
      <c r="L1157" s="14"/>
      <c r="M1157" s="14"/>
      <c r="N1157" s="14"/>
      <c r="O1157" s="14"/>
      <c r="P1157" s="14"/>
      <c r="Q1157" s="14"/>
      <c r="R1157" s="14"/>
      <c r="S1157" s="14"/>
      <c r="T1157" s="14"/>
      <c r="U1157" s="17"/>
      <c r="V1157" s="14"/>
      <c r="W1157" s="14"/>
      <c r="X1157" s="18"/>
      <c r="Y1157" s="18"/>
      <c r="Z1157" s="18"/>
      <c r="AA1157" s="218"/>
      <c r="AB1157" s="218"/>
      <c r="AC1157" s="218"/>
    </row>
    <row r="1158" ht="15.75" customHeight="1">
      <c r="A1158" s="12"/>
      <c r="B1158" s="14"/>
      <c r="C1158" s="14"/>
      <c r="D1158" s="14"/>
      <c r="E1158" s="14"/>
      <c r="F1158" s="14"/>
      <c r="G1158" s="14"/>
      <c r="H1158" s="14"/>
      <c r="I1158" s="15"/>
      <c r="J1158" s="223"/>
      <c r="K1158" s="14"/>
      <c r="L1158" s="14"/>
      <c r="M1158" s="14"/>
      <c r="N1158" s="14"/>
      <c r="O1158" s="14"/>
      <c r="P1158" s="14"/>
      <c r="Q1158" s="14"/>
      <c r="R1158" s="14"/>
      <c r="S1158" s="14"/>
      <c r="T1158" s="14"/>
      <c r="U1158" s="17"/>
      <c r="V1158" s="14"/>
      <c r="W1158" s="14"/>
      <c r="X1158" s="18"/>
      <c r="Y1158" s="18"/>
      <c r="Z1158" s="18"/>
      <c r="AA1158" s="218"/>
      <c r="AB1158" s="218"/>
      <c r="AC1158" s="218"/>
    </row>
    <row r="1159" ht="15.75" customHeight="1">
      <c r="A1159" s="12"/>
      <c r="B1159" s="14"/>
      <c r="C1159" s="14"/>
      <c r="D1159" s="14"/>
      <c r="E1159" s="14"/>
      <c r="F1159" s="14"/>
      <c r="G1159" s="14"/>
      <c r="H1159" s="14"/>
      <c r="I1159" s="15"/>
      <c r="J1159" s="223"/>
      <c r="K1159" s="14"/>
      <c r="L1159" s="14"/>
      <c r="M1159" s="14"/>
      <c r="N1159" s="14"/>
      <c r="O1159" s="14"/>
      <c r="P1159" s="14"/>
      <c r="Q1159" s="14"/>
      <c r="R1159" s="14"/>
      <c r="S1159" s="14"/>
      <c r="T1159" s="14"/>
      <c r="U1159" s="17"/>
      <c r="V1159" s="14"/>
      <c r="W1159" s="14"/>
      <c r="X1159" s="18"/>
      <c r="Y1159" s="18"/>
      <c r="Z1159" s="18"/>
      <c r="AA1159" s="218"/>
      <c r="AB1159" s="218"/>
      <c r="AC1159" s="218"/>
    </row>
    <row r="1160" ht="15.75" customHeight="1">
      <c r="A1160" s="12"/>
      <c r="B1160" s="14"/>
      <c r="C1160" s="14"/>
      <c r="D1160" s="14"/>
      <c r="E1160" s="14"/>
      <c r="F1160" s="14"/>
      <c r="G1160" s="14"/>
      <c r="H1160" s="14"/>
      <c r="I1160" s="15"/>
      <c r="J1160" s="223"/>
      <c r="K1160" s="14"/>
      <c r="L1160" s="14"/>
      <c r="M1160" s="14"/>
      <c r="N1160" s="14"/>
      <c r="O1160" s="14"/>
      <c r="P1160" s="14"/>
      <c r="Q1160" s="14"/>
      <c r="R1160" s="14"/>
      <c r="S1160" s="14"/>
      <c r="T1160" s="14"/>
      <c r="U1160" s="17"/>
      <c r="V1160" s="14"/>
      <c r="W1160" s="14"/>
      <c r="X1160" s="18"/>
      <c r="Y1160" s="18"/>
      <c r="Z1160" s="18"/>
      <c r="AA1160" s="218"/>
      <c r="AB1160" s="218"/>
      <c r="AC1160" s="218"/>
    </row>
    <row r="1161" ht="15.75" customHeight="1">
      <c r="A1161" s="12"/>
      <c r="B1161" s="14"/>
      <c r="C1161" s="14"/>
      <c r="D1161" s="14"/>
      <c r="E1161" s="14"/>
      <c r="F1161" s="14"/>
      <c r="G1161" s="14"/>
      <c r="H1161" s="14"/>
      <c r="I1161" s="15"/>
      <c r="J1161" s="223"/>
      <c r="K1161" s="14"/>
      <c r="L1161" s="14"/>
      <c r="M1161" s="14"/>
      <c r="N1161" s="14"/>
      <c r="O1161" s="14"/>
      <c r="P1161" s="14"/>
      <c r="Q1161" s="14"/>
      <c r="R1161" s="14"/>
      <c r="S1161" s="14"/>
      <c r="T1161" s="14"/>
      <c r="U1161" s="17"/>
      <c r="V1161" s="14"/>
      <c r="W1161" s="14"/>
      <c r="X1161" s="18"/>
      <c r="Y1161" s="18"/>
      <c r="Z1161" s="18"/>
      <c r="AA1161" s="218"/>
      <c r="AB1161" s="218"/>
      <c r="AC1161" s="218"/>
    </row>
    <row r="1162" ht="15.75" customHeight="1">
      <c r="A1162" s="12"/>
      <c r="B1162" s="14"/>
      <c r="C1162" s="14"/>
      <c r="D1162" s="14"/>
      <c r="E1162" s="14"/>
      <c r="F1162" s="14"/>
      <c r="G1162" s="14"/>
      <c r="H1162" s="14"/>
      <c r="I1162" s="15"/>
      <c r="J1162" s="223"/>
      <c r="K1162" s="14"/>
      <c r="L1162" s="14"/>
      <c r="M1162" s="14"/>
      <c r="N1162" s="14"/>
      <c r="O1162" s="14"/>
      <c r="P1162" s="14"/>
      <c r="Q1162" s="14"/>
      <c r="R1162" s="14"/>
      <c r="S1162" s="14"/>
      <c r="T1162" s="14"/>
      <c r="U1162" s="17"/>
      <c r="V1162" s="14"/>
      <c r="W1162" s="14"/>
      <c r="X1162" s="18"/>
      <c r="Y1162" s="18"/>
      <c r="Z1162" s="18"/>
      <c r="AA1162" s="218"/>
      <c r="AB1162" s="218"/>
      <c r="AC1162" s="218"/>
    </row>
    <row r="1163" ht="15.75" customHeight="1">
      <c r="A1163" s="12"/>
      <c r="B1163" s="14"/>
      <c r="C1163" s="14"/>
      <c r="D1163" s="14"/>
      <c r="E1163" s="14"/>
      <c r="F1163" s="14"/>
      <c r="G1163" s="14"/>
      <c r="H1163" s="14"/>
      <c r="I1163" s="15"/>
      <c r="J1163" s="223"/>
      <c r="K1163" s="14"/>
      <c r="L1163" s="14"/>
      <c r="M1163" s="14"/>
      <c r="N1163" s="14"/>
      <c r="O1163" s="14"/>
      <c r="P1163" s="14"/>
      <c r="Q1163" s="14"/>
      <c r="R1163" s="14"/>
      <c r="S1163" s="14"/>
      <c r="T1163" s="14"/>
      <c r="U1163" s="17"/>
      <c r="V1163" s="14"/>
      <c r="W1163" s="14"/>
      <c r="X1163" s="18"/>
      <c r="Y1163" s="18"/>
      <c r="Z1163" s="18"/>
      <c r="AA1163" s="218"/>
      <c r="AB1163" s="218"/>
      <c r="AC1163" s="218"/>
    </row>
    <row r="1164" ht="15.75" customHeight="1">
      <c r="A1164" s="12"/>
      <c r="B1164" s="14"/>
      <c r="C1164" s="14"/>
      <c r="D1164" s="14"/>
      <c r="E1164" s="14"/>
      <c r="F1164" s="14"/>
      <c r="G1164" s="14"/>
      <c r="H1164" s="14"/>
      <c r="I1164" s="15"/>
      <c r="J1164" s="223"/>
      <c r="K1164" s="14"/>
      <c r="L1164" s="14"/>
      <c r="M1164" s="14"/>
      <c r="N1164" s="14"/>
      <c r="O1164" s="14"/>
      <c r="P1164" s="14"/>
      <c r="Q1164" s="14"/>
      <c r="R1164" s="14"/>
      <c r="S1164" s="14"/>
      <c r="T1164" s="14"/>
      <c r="U1164" s="17"/>
      <c r="V1164" s="14"/>
      <c r="W1164" s="14"/>
      <c r="X1164" s="18"/>
      <c r="Y1164" s="18"/>
      <c r="Z1164" s="18"/>
      <c r="AA1164" s="218"/>
      <c r="AB1164" s="218"/>
      <c r="AC1164" s="218"/>
    </row>
    <row r="1165" ht="15.75" customHeight="1">
      <c r="A1165" s="12"/>
      <c r="B1165" s="14"/>
      <c r="C1165" s="14"/>
      <c r="D1165" s="14"/>
      <c r="E1165" s="14"/>
      <c r="F1165" s="14"/>
      <c r="G1165" s="14"/>
      <c r="H1165" s="14"/>
      <c r="I1165" s="15"/>
      <c r="J1165" s="223"/>
      <c r="K1165" s="14"/>
      <c r="L1165" s="14"/>
      <c r="M1165" s="14"/>
      <c r="N1165" s="14"/>
      <c r="O1165" s="14"/>
      <c r="P1165" s="14"/>
      <c r="Q1165" s="14"/>
      <c r="R1165" s="14"/>
      <c r="S1165" s="14"/>
      <c r="T1165" s="14"/>
      <c r="U1165" s="17"/>
      <c r="V1165" s="14"/>
      <c r="W1165" s="14"/>
      <c r="X1165" s="18"/>
      <c r="Y1165" s="18"/>
      <c r="Z1165" s="18"/>
      <c r="AA1165" s="218"/>
      <c r="AB1165" s="218"/>
      <c r="AC1165" s="218"/>
    </row>
    <row r="1166" ht="15.75" customHeight="1">
      <c r="A1166" s="12"/>
      <c r="B1166" s="14"/>
      <c r="C1166" s="14"/>
      <c r="D1166" s="14"/>
      <c r="E1166" s="14"/>
      <c r="F1166" s="14"/>
      <c r="G1166" s="14"/>
      <c r="H1166" s="14"/>
      <c r="I1166" s="15"/>
      <c r="J1166" s="223"/>
      <c r="K1166" s="14"/>
      <c r="L1166" s="14"/>
      <c r="M1166" s="14"/>
      <c r="N1166" s="14"/>
      <c r="O1166" s="14"/>
      <c r="P1166" s="14"/>
      <c r="Q1166" s="14"/>
      <c r="R1166" s="14"/>
      <c r="S1166" s="14"/>
      <c r="T1166" s="14"/>
      <c r="U1166" s="17"/>
      <c r="V1166" s="14"/>
      <c r="W1166" s="14"/>
      <c r="X1166" s="18"/>
      <c r="Y1166" s="18"/>
      <c r="Z1166" s="18"/>
      <c r="AA1166" s="218"/>
      <c r="AB1166" s="218"/>
      <c r="AC1166" s="218"/>
    </row>
    <row r="1167" ht="15.75" customHeight="1">
      <c r="A1167" s="12"/>
      <c r="B1167" s="14"/>
      <c r="C1167" s="14"/>
      <c r="D1167" s="14"/>
      <c r="E1167" s="14"/>
      <c r="F1167" s="14"/>
      <c r="G1167" s="14"/>
      <c r="H1167" s="14"/>
      <c r="I1167" s="15"/>
      <c r="J1167" s="223"/>
      <c r="K1167" s="14"/>
      <c r="L1167" s="14"/>
      <c r="M1167" s="14"/>
      <c r="N1167" s="14"/>
      <c r="O1167" s="14"/>
      <c r="P1167" s="14"/>
      <c r="Q1167" s="14"/>
      <c r="R1167" s="14"/>
      <c r="S1167" s="14"/>
      <c r="T1167" s="14"/>
      <c r="U1167" s="17"/>
      <c r="V1167" s="14"/>
      <c r="W1167" s="14"/>
      <c r="X1167" s="18"/>
      <c r="Y1167" s="18"/>
      <c r="Z1167" s="18"/>
      <c r="AA1167" s="218"/>
      <c r="AB1167" s="218"/>
      <c r="AC1167" s="218"/>
    </row>
    <row r="1168" ht="15.75" customHeight="1">
      <c r="A1168" s="12"/>
      <c r="B1168" s="14"/>
      <c r="C1168" s="14"/>
      <c r="D1168" s="14"/>
      <c r="E1168" s="14"/>
      <c r="F1168" s="14"/>
      <c r="G1168" s="14"/>
      <c r="H1168" s="14"/>
      <c r="I1168" s="15"/>
      <c r="J1168" s="223"/>
      <c r="K1168" s="14"/>
      <c r="L1168" s="14"/>
      <c r="M1168" s="14"/>
      <c r="N1168" s="14"/>
      <c r="O1168" s="14"/>
      <c r="P1168" s="14"/>
      <c r="Q1168" s="14"/>
      <c r="R1168" s="14"/>
      <c r="S1168" s="14"/>
      <c r="T1168" s="14"/>
      <c r="U1168" s="17"/>
      <c r="V1168" s="14"/>
      <c r="W1168" s="14"/>
      <c r="X1168" s="18"/>
      <c r="Y1168" s="18"/>
      <c r="Z1168" s="18"/>
      <c r="AA1168" s="218"/>
      <c r="AB1168" s="218"/>
      <c r="AC1168" s="218"/>
    </row>
    <row r="1169" ht="15.75" customHeight="1">
      <c r="A1169" s="12"/>
      <c r="B1169" s="14"/>
      <c r="C1169" s="14"/>
      <c r="D1169" s="14"/>
      <c r="E1169" s="14"/>
      <c r="F1169" s="14"/>
      <c r="G1169" s="14"/>
      <c r="H1169" s="14"/>
      <c r="I1169" s="15"/>
      <c r="J1169" s="223"/>
      <c r="K1169" s="14"/>
      <c r="L1169" s="14"/>
      <c r="M1169" s="14"/>
      <c r="N1169" s="14"/>
      <c r="O1169" s="14"/>
      <c r="P1169" s="14"/>
      <c r="Q1169" s="14"/>
      <c r="R1169" s="14"/>
      <c r="S1169" s="14"/>
      <c r="T1169" s="14"/>
      <c r="U1169" s="17"/>
      <c r="V1169" s="14"/>
      <c r="W1169" s="14"/>
      <c r="X1169" s="18"/>
      <c r="Y1169" s="18"/>
      <c r="Z1169" s="18"/>
      <c r="AA1169" s="218"/>
      <c r="AB1169" s="218"/>
      <c r="AC1169" s="218"/>
    </row>
    <row r="1170" ht="15.75" customHeight="1">
      <c r="A1170" s="12"/>
      <c r="B1170" s="14"/>
      <c r="C1170" s="14"/>
      <c r="D1170" s="14"/>
      <c r="E1170" s="14"/>
      <c r="F1170" s="14"/>
      <c r="G1170" s="14"/>
      <c r="H1170" s="14"/>
      <c r="I1170" s="15"/>
      <c r="J1170" s="223"/>
      <c r="K1170" s="14"/>
      <c r="L1170" s="14"/>
      <c r="M1170" s="14"/>
      <c r="N1170" s="14"/>
      <c r="O1170" s="14"/>
      <c r="P1170" s="14"/>
      <c r="Q1170" s="14"/>
      <c r="R1170" s="14"/>
      <c r="S1170" s="14"/>
      <c r="T1170" s="14"/>
      <c r="U1170" s="17"/>
      <c r="V1170" s="14"/>
      <c r="W1170" s="14"/>
      <c r="X1170" s="18"/>
      <c r="Y1170" s="18"/>
      <c r="Z1170" s="18"/>
      <c r="AA1170" s="218"/>
      <c r="AB1170" s="218"/>
      <c r="AC1170" s="218"/>
    </row>
    <row r="1171" ht="15.75" customHeight="1">
      <c r="A1171" s="12"/>
      <c r="B1171" s="14"/>
      <c r="C1171" s="14"/>
      <c r="D1171" s="14"/>
      <c r="E1171" s="14"/>
      <c r="F1171" s="14"/>
      <c r="G1171" s="14"/>
      <c r="H1171" s="14"/>
      <c r="I1171" s="15"/>
      <c r="J1171" s="223"/>
      <c r="K1171" s="14"/>
      <c r="L1171" s="14"/>
      <c r="M1171" s="14"/>
      <c r="N1171" s="14"/>
      <c r="O1171" s="14"/>
      <c r="P1171" s="14"/>
      <c r="Q1171" s="14"/>
      <c r="R1171" s="14"/>
      <c r="S1171" s="14"/>
      <c r="T1171" s="14"/>
      <c r="U1171" s="17"/>
      <c r="V1171" s="14"/>
      <c r="W1171" s="14"/>
      <c r="X1171" s="18"/>
      <c r="Y1171" s="18"/>
      <c r="Z1171" s="18"/>
      <c r="AA1171" s="218"/>
      <c r="AB1171" s="218"/>
      <c r="AC1171" s="218"/>
    </row>
    <row r="1172" ht="15.75" customHeight="1">
      <c r="A1172" s="12"/>
      <c r="B1172" s="14"/>
      <c r="C1172" s="14"/>
      <c r="D1172" s="14"/>
      <c r="E1172" s="14"/>
      <c r="F1172" s="14"/>
      <c r="G1172" s="14"/>
      <c r="H1172" s="14"/>
      <c r="I1172" s="15"/>
      <c r="J1172" s="223"/>
      <c r="K1172" s="14"/>
      <c r="L1172" s="14"/>
      <c r="M1172" s="14"/>
      <c r="N1172" s="14"/>
      <c r="O1172" s="14"/>
      <c r="P1172" s="14"/>
      <c r="Q1172" s="14"/>
      <c r="R1172" s="14"/>
      <c r="S1172" s="14"/>
      <c r="T1172" s="14"/>
      <c r="U1172" s="17"/>
      <c r="V1172" s="14"/>
      <c r="W1172" s="14"/>
      <c r="X1172" s="18"/>
      <c r="Y1172" s="18"/>
      <c r="Z1172" s="18"/>
      <c r="AA1172" s="218"/>
      <c r="AB1172" s="218"/>
      <c r="AC1172" s="218"/>
    </row>
    <row r="1173" ht="15.75" customHeight="1">
      <c r="A1173" s="12"/>
      <c r="B1173" s="14"/>
      <c r="C1173" s="14"/>
      <c r="D1173" s="14"/>
      <c r="E1173" s="14"/>
      <c r="F1173" s="14"/>
      <c r="G1173" s="14"/>
      <c r="H1173" s="14"/>
      <c r="I1173" s="15"/>
      <c r="J1173" s="223"/>
      <c r="K1173" s="14"/>
      <c r="L1173" s="14"/>
      <c r="M1173" s="14"/>
      <c r="N1173" s="14"/>
      <c r="O1173" s="14"/>
      <c r="P1173" s="14"/>
      <c r="Q1173" s="14"/>
      <c r="R1173" s="14"/>
      <c r="S1173" s="14"/>
      <c r="T1173" s="14"/>
      <c r="U1173" s="17"/>
      <c r="V1173" s="14"/>
      <c r="W1173" s="14"/>
      <c r="X1173" s="18"/>
      <c r="Y1173" s="18"/>
      <c r="Z1173" s="18"/>
      <c r="AA1173" s="218"/>
      <c r="AB1173" s="218"/>
      <c r="AC1173" s="218"/>
    </row>
    <row r="1174" ht="15.75" customHeight="1">
      <c r="A1174" s="12"/>
      <c r="B1174" s="14"/>
      <c r="C1174" s="14"/>
      <c r="D1174" s="14"/>
      <c r="E1174" s="14"/>
      <c r="F1174" s="14"/>
      <c r="G1174" s="14"/>
      <c r="H1174" s="14"/>
      <c r="I1174" s="15"/>
      <c r="J1174" s="223"/>
      <c r="K1174" s="14"/>
      <c r="L1174" s="14"/>
      <c r="M1174" s="14"/>
      <c r="N1174" s="14"/>
      <c r="O1174" s="14"/>
      <c r="P1174" s="14"/>
      <c r="Q1174" s="14"/>
      <c r="R1174" s="14"/>
      <c r="S1174" s="14"/>
      <c r="T1174" s="14"/>
      <c r="U1174" s="17"/>
      <c r="V1174" s="14"/>
      <c r="W1174" s="14"/>
      <c r="X1174" s="18"/>
      <c r="Y1174" s="18"/>
      <c r="Z1174" s="18"/>
      <c r="AA1174" s="218"/>
      <c r="AB1174" s="218"/>
      <c r="AC1174" s="218"/>
    </row>
    <row r="1175" ht="15.75" customHeight="1">
      <c r="A1175" s="12"/>
      <c r="B1175" s="14"/>
      <c r="C1175" s="14"/>
      <c r="D1175" s="14"/>
      <c r="E1175" s="14"/>
      <c r="F1175" s="14"/>
      <c r="G1175" s="14"/>
      <c r="H1175" s="14"/>
      <c r="I1175" s="15"/>
      <c r="J1175" s="223"/>
      <c r="K1175" s="14"/>
      <c r="L1175" s="14"/>
      <c r="M1175" s="14"/>
      <c r="N1175" s="14"/>
      <c r="O1175" s="14"/>
      <c r="P1175" s="14"/>
      <c r="Q1175" s="14"/>
      <c r="R1175" s="14"/>
      <c r="S1175" s="14"/>
      <c r="T1175" s="14"/>
      <c r="U1175" s="17"/>
      <c r="V1175" s="14"/>
      <c r="W1175" s="14"/>
      <c r="X1175" s="18"/>
      <c r="Y1175" s="18"/>
      <c r="Z1175" s="18"/>
      <c r="AA1175" s="218"/>
      <c r="AB1175" s="218"/>
      <c r="AC1175" s="218"/>
    </row>
    <row r="1176" ht="15.75" customHeight="1">
      <c r="A1176" s="12"/>
      <c r="B1176" s="14"/>
      <c r="C1176" s="14"/>
      <c r="D1176" s="14"/>
      <c r="E1176" s="14"/>
      <c r="F1176" s="14"/>
      <c r="G1176" s="14"/>
      <c r="H1176" s="14"/>
      <c r="I1176" s="15"/>
      <c r="J1176" s="223"/>
      <c r="K1176" s="14"/>
      <c r="L1176" s="14"/>
      <c r="M1176" s="14"/>
      <c r="N1176" s="14"/>
      <c r="O1176" s="14"/>
      <c r="P1176" s="14"/>
      <c r="Q1176" s="14"/>
      <c r="R1176" s="14"/>
      <c r="S1176" s="14"/>
      <c r="T1176" s="14"/>
      <c r="U1176" s="17"/>
      <c r="V1176" s="14"/>
      <c r="W1176" s="14"/>
      <c r="X1176" s="18"/>
      <c r="Y1176" s="18"/>
      <c r="Z1176" s="18"/>
      <c r="AA1176" s="218"/>
      <c r="AB1176" s="218"/>
      <c r="AC1176" s="218"/>
    </row>
    <row r="1177" ht="15.75" customHeight="1">
      <c r="A1177" s="12"/>
      <c r="B1177" s="14"/>
      <c r="C1177" s="14"/>
      <c r="D1177" s="14"/>
      <c r="E1177" s="14"/>
      <c r="F1177" s="14"/>
      <c r="G1177" s="14"/>
      <c r="H1177" s="14"/>
      <c r="I1177" s="15"/>
      <c r="J1177" s="223"/>
      <c r="K1177" s="14"/>
      <c r="L1177" s="14"/>
      <c r="M1177" s="14"/>
      <c r="N1177" s="14"/>
      <c r="O1177" s="14"/>
      <c r="P1177" s="14"/>
      <c r="Q1177" s="14"/>
      <c r="R1177" s="14"/>
      <c r="S1177" s="14"/>
      <c r="T1177" s="14"/>
      <c r="U1177" s="17"/>
      <c r="V1177" s="14"/>
      <c r="W1177" s="14"/>
      <c r="X1177" s="18"/>
      <c r="Y1177" s="18"/>
      <c r="Z1177" s="18"/>
      <c r="AA1177" s="218"/>
      <c r="AB1177" s="218"/>
      <c r="AC1177" s="218"/>
    </row>
    <row r="1178" ht="15.75" customHeight="1">
      <c r="A1178" s="12"/>
      <c r="B1178" s="14"/>
      <c r="C1178" s="14"/>
      <c r="D1178" s="14"/>
      <c r="E1178" s="14"/>
      <c r="F1178" s="14"/>
      <c r="G1178" s="14"/>
      <c r="H1178" s="14"/>
      <c r="I1178" s="15"/>
      <c r="J1178" s="223"/>
      <c r="K1178" s="14"/>
      <c r="L1178" s="14"/>
      <c r="M1178" s="14"/>
      <c r="N1178" s="14"/>
      <c r="O1178" s="14"/>
      <c r="P1178" s="14"/>
      <c r="Q1178" s="14"/>
      <c r="R1178" s="14"/>
      <c r="S1178" s="14"/>
      <c r="T1178" s="14"/>
      <c r="U1178" s="17"/>
      <c r="V1178" s="14"/>
      <c r="W1178" s="14"/>
      <c r="X1178" s="18"/>
      <c r="Y1178" s="18"/>
      <c r="Z1178" s="18"/>
      <c r="AA1178" s="218"/>
      <c r="AB1178" s="218"/>
      <c r="AC1178" s="218"/>
    </row>
    <row r="1179" ht="15.75" customHeight="1">
      <c r="A1179" s="12"/>
      <c r="B1179" s="14"/>
      <c r="C1179" s="14"/>
      <c r="D1179" s="14"/>
      <c r="E1179" s="14"/>
      <c r="F1179" s="14"/>
      <c r="G1179" s="14"/>
      <c r="H1179" s="14"/>
      <c r="I1179" s="15"/>
      <c r="J1179" s="223"/>
      <c r="K1179" s="14"/>
      <c r="L1179" s="14"/>
      <c r="M1179" s="14"/>
      <c r="N1179" s="14"/>
      <c r="O1179" s="14"/>
      <c r="P1179" s="14"/>
      <c r="Q1179" s="14"/>
      <c r="R1179" s="14"/>
      <c r="S1179" s="14"/>
      <c r="T1179" s="14"/>
      <c r="U1179" s="17"/>
      <c r="V1179" s="14"/>
      <c r="W1179" s="14"/>
      <c r="X1179" s="18"/>
      <c r="Y1179" s="18"/>
      <c r="Z1179" s="18"/>
      <c r="AA1179" s="218"/>
      <c r="AB1179" s="218"/>
      <c r="AC1179" s="218"/>
    </row>
  </sheetData>
  <autoFilter ref="$N$1:$N$1179"/>
  <customSheetViews>
    <customSheetView guid="{5877F429-DFCF-49D4-8CD4-A9642EB63131}" filter="1" showAutoFilter="1">
      <autoFilter ref="$AC$932:$AC$935"/>
      <extLst>
        <ext uri="GoogleSheetsCustomDataVersion1">
          <go:sheetsCustomData xmlns:go="http://customooxmlschemas.google.com/" filterViewId="1064139515"/>
        </ext>
      </extLst>
    </customSheetView>
    <customSheetView guid="{788F554C-76BF-4814-BCD0-7201D004C9E3}" filter="1" showAutoFilter="1">
      <autoFilter ref="$P$134"/>
      <extLst>
        <ext uri="GoogleSheetsCustomDataVersion1">
          <go:sheetsCustomData xmlns:go="http://customooxmlschemas.google.com/" filterViewId="1105724837"/>
        </ext>
      </extLst>
    </customSheetView>
    <customSheetView guid="{46E27461-6572-4F70-BBCA-68ADBA430C22}" filter="1" showAutoFilter="1">
      <autoFilter ref="$P$134"/>
      <extLst>
        <ext uri="GoogleSheetsCustomDataVersion1">
          <go:sheetsCustomData xmlns:go="http://customooxmlschemas.google.com/" filterViewId="1302472255"/>
        </ext>
      </extLst>
    </customSheetView>
    <customSheetView guid="{4A4CD9B8-4786-4845-90B1-25BF77E7868B}" filter="1" showAutoFilter="1">
      <autoFilter ref="$L$162:$L$163"/>
      <extLst>
        <ext uri="GoogleSheetsCustomDataVersion1">
          <go:sheetsCustomData xmlns:go="http://customooxmlschemas.google.com/" filterViewId="137284332"/>
        </ext>
      </extLst>
    </customSheetView>
    <customSheetView guid="{AFA8AEEE-A3EE-4E5F-B075-63759EA97324}" filter="1" showAutoFilter="1">
      <autoFilter ref="$L$103"/>
      <extLst>
        <ext uri="GoogleSheetsCustomDataVersion1">
          <go:sheetsCustomData xmlns:go="http://customooxmlschemas.google.com/" filterViewId="1433746123"/>
        </ext>
      </extLst>
    </customSheetView>
    <customSheetView guid="{15A83D7A-E81D-42F9-A738-1DDEC2E1AF01}" filter="1" showAutoFilter="1">
      <autoFilter ref="$P$134"/>
      <extLst>
        <ext uri="GoogleSheetsCustomDataVersion1">
          <go:sheetsCustomData xmlns:go="http://customooxmlschemas.google.com/" filterViewId="1457275980"/>
        </ext>
      </extLst>
    </customSheetView>
    <customSheetView guid="{7A6E234F-62B9-4BDA-BF89-573BC3F926A6}" filter="1" showAutoFilter="1">
      <autoFilter ref="$A$187:$G$219"/>
      <extLst>
        <ext uri="GoogleSheetsCustomDataVersion1">
          <go:sheetsCustomData xmlns:go="http://customooxmlschemas.google.com/" filterViewId="1893886550"/>
        </ext>
      </extLst>
    </customSheetView>
    <customSheetView guid="{8B4F3AA9-994E-4165-A053-3D23BC014B6F}" filter="1" showAutoFilter="1">
      <autoFilter ref="$K$106"/>
      <extLst>
        <ext uri="GoogleSheetsCustomDataVersion1">
          <go:sheetsCustomData xmlns:go="http://customooxmlschemas.google.com/" filterViewId="1973646756"/>
        </ext>
      </extLst>
    </customSheetView>
    <customSheetView guid="{66972218-6189-4DB2-AAB0-5F8A0E4CA726}" filter="1" showAutoFilter="1">
      <autoFilter ref="$F$182:$G$183"/>
      <extLst>
        <ext uri="GoogleSheetsCustomDataVersion1">
          <go:sheetsCustomData xmlns:go="http://customooxmlschemas.google.com/" filterViewId="495175668"/>
        </ext>
      </extLst>
    </customSheetView>
    <customSheetView guid="{1798342C-4677-457B-8342-8A359684EE59}" filter="1" showAutoFilter="1">
      <autoFilter ref="$P$145"/>
      <extLst>
        <ext uri="GoogleSheetsCustomDataVersion1">
          <go:sheetsCustomData xmlns:go="http://customooxmlschemas.google.com/" filterViewId="621109562"/>
        </ext>
      </extLst>
    </customSheetView>
  </customSheetViews>
  <mergeCells count="46">
    <mergeCell ref="T1:T2"/>
    <mergeCell ref="U1:U2"/>
    <mergeCell ref="V1:Z1"/>
    <mergeCell ref="AA1:AA2"/>
    <mergeCell ref="AB1:AB2"/>
    <mergeCell ref="AC1:AC2"/>
    <mergeCell ref="M1:M2"/>
    <mergeCell ref="N1:N2"/>
    <mergeCell ref="O1:O2"/>
    <mergeCell ref="P1:P2"/>
    <mergeCell ref="Q1:Q2"/>
    <mergeCell ref="R1:R2"/>
    <mergeCell ref="S1:S2"/>
    <mergeCell ref="A1:A2"/>
    <mergeCell ref="B1:B2"/>
    <mergeCell ref="C1:C2"/>
    <mergeCell ref="D1:D2"/>
    <mergeCell ref="E1:H1"/>
    <mergeCell ref="I1:K1"/>
    <mergeCell ref="L1:L2"/>
    <mergeCell ref="C25:C26"/>
    <mergeCell ref="J25:J26"/>
    <mergeCell ref="K25:K26"/>
    <mergeCell ref="L25:L26"/>
    <mergeCell ref="S25:S26"/>
    <mergeCell ref="T25:T26"/>
    <mergeCell ref="U25:U26"/>
    <mergeCell ref="T54:T55"/>
    <mergeCell ref="U54:U55"/>
    <mergeCell ref="I25:I26"/>
    <mergeCell ref="G54:G55"/>
    <mergeCell ref="H54:H55"/>
    <mergeCell ref="I54:I55"/>
    <mergeCell ref="J54:J55"/>
    <mergeCell ref="K54:K55"/>
    <mergeCell ref="S54:S55"/>
    <mergeCell ref="J168:J169"/>
    <mergeCell ref="K168:K169"/>
    <mergeCell ref="I157:I158"/>
    <mergeCell ref="I160:I161"/>
    <mergeCell ref="I165:I166"/>
    <mergeCell ref="J165:J166"/>
    <mergeCell ref="K165:K166"/>
    <mergeCell ref="L165:L166"/>
    <mergeCell ref="I168:I169"/>
    <mergeCell ref="L168:L169"/>
  </mergeCells>
  <conditionalFormatting sqref="U3:U1179">
    <cfRule type="expression" dxfId="0" priority="1">
      <formula>AND(ISNUMBER(U3),TRUNC(U3)&lt;TODAY())</formula>
    </cfRule>
  </conditionalFormatting>
  <conditionalFormatting sqref="I3:I451 S450 I453:I527 I532:I548 I550:I585 I588:I633 I635 I637:I640 I647:I715 C669:H669 J669:L669 I717:I789 I793:I1013">
    <cfRule type="expression" dxfId="1" priority="2">
      <formula>"countif(I:I, I4)&gt;1"</formula>
    </cfRule>
  </conditionalFormatting>
  <conditionalFormatting sqref="U1:U1179">
    <cfRule type="timePeriod" dxfId="2" priority="3" timePeriod="today"/>
  </conditionalFormatting>
  <conditionalFormatting sqref="F57">
    <cfRule type="notContainsBlanks" dxfId="3" priority="4">
      <formula>LEN(TRIM(F57))&gt;0</formula>
    </cfRule>
  </conditionalFormatting>
  <conditionalFormatting sqref="Z3:Z386 AA3:AA979 AB3:AC933 Z418 Z433:Z435 Z440 Z510 Z547 Z551:Z553 Z573 Z578 Z581 Z623 Z890 Z937:Z938 AB937:AC938">
    <cfRule type="notContainsBlanks" dxfId="4" priority="5">
      <formula>LEN(TRIM(Z3))&gt;0</formula>
    </cfRule>
  </conditionalFormatting>
  <conditionalFormatting sqref="N1:O1179 J436">
    <cfRule type="containsText" dxfId="5" priority="6" operator="containsText" text="Chốt">
      <formula>NOT(ISERROR(SEARCH(("Chốt"),(N1))))</formula>
    </cfRule>
  </conditionalFormatting>
  <conditionalFormatting sqref="P178">
    <cfRule type="notContainsBlanks" dxfId="3" priority="7">
      <formula>LEN(TRIM(P178))&gt;0</formula>
    </cfRule>
  </conditionalFormatting>
  <conditionalFormatting sqref="V1:V1179">
    <cfRule type="notContainsBlanks" dxfId="3" priority="8">
      <formula>LEN(TRIM(V1))&gt;0</formula>
    </cfRule>
  </conditionalFormatting>
  <conditionalFormatting sqref="A1:A1179">
    <cfRule type="containsBlanks" dxfId="6" priority="9">
      <formula>LEN(TRIM(A1))=0</formula>
    </cfRule>
  </conditionalFormatting>
  <conditionalFormatting sqref="B1:B1179">
    <cfRule type="notContainsBlanks" dxfId="3" priority="10">
      <formula>LEN(TRIM(B1))&gt;0</formula>
    </cfRule>
  </conditionalFormatting>
  <dataValidations>
    <dataValidation type="list" allowBlank="1" showErrorMessage="1" sqref="B521">
      <formula1>"Fanpage Kids,Fanpage TOEIC,Hotline,HV giới thiệu,Người quen,Seeding,Data cũ,Data mua,Đến trung tâm,Website,Học viên cũ"</formula1>
    </dataValidation>
    <dataValidation type="list" allowBlank="1" showErrorMessage="1" sqref="R3:R93 R113:R114 R116:R136 R284:R285 R433:R434 R551 R623">
      <formula1>"Thứ 246 - ngày,Thứ 246 - tối,Thứ 357 - ngày,Thứ 357  - tối"</formula1>
    </dataValidation>
    <dataValidation type="list" allowBlank="1" showErrorMessage="1" sqref="B61">
      <formula1>"Fanpage Kids,Fanpage TOEIC,Hotline,HV giới thiệu,Người quen,Seeding,Data cũ,Đến trung tâm"</formula1>
    </dataValidation>
    <dataValidation type="list" allowBlank="1" showErrorMessage="1" sqref="K24">
      <formula1>"Cold,Warm 1,Warm 2,Warm 3,Hot,Done"</formula1>
    </dataValidation>
    <dataValidation type="list" allowBlank="1" showErrorMessage="1" sqref="B519 B529:B546 B550 B554:B556 B564:B565 B569 B571 B574 B576 B579:B580 B589 B594:B595 B602 B606 B609:B618 B620 B622 B625 B628:B629 B635 B637:B639 B651 B653:B654 B657 B663:B664">
      <formula1>"Fanpage Kids,Fanpage TOEIC,Hotline,HV giới thiệu,Người quen,Seeding,Data cũ,Data mua,Đến trung tâm,Website,Học sinh cũ"</formula1>
    </dataValidation>
    <dataValidation type="list" allowBlank="1" showErrorMessage="1" sqref="M3:M962 M1139:M1147">
      <formula1>"Loan,Phương,Cúc,Trang,Thảo,Yến,Linh,Ánh,Duyên,Thu"</formula1>
    </dataValidation>
    <dataValidation type="list" allowBlank="1" showErrorMessage="1" sqref="B619">
      <formula1>"Fanpage Kids,Fanpage TOEIC,Hotline,HV giới thiệu,Người quen,Seeding,Data cũ,Data mua,Đến trung tâm,Website,Học sinh cũ,Mẹ tự nhắn tin"</formula1>
    </dataValidation>
    <dataValidation type="list" allowBlank="1" showErrorMessage="1" sqref="N3:N962">
      <formula1>"Tiếp nhận thông tin,Chưa liên lạc được,Đã liên lạc lần 1,Đã liên lạc lần 2,Đã liên lạc lần 3,Đã liên lạc lần 4,Đã test,Đã học thử,Chờ,Chốt,Đã đóng học phí,Từ chối"</formula1>
    </dataValidation>
    <dataValidation type="list" allowBlank="1" showErrorMessage="1" sqref="Q3:Q93 Q113:Q114 Q116:Q136 Q284:Q285 Q433:Q434 Q551 Q623">
      <formula1>"VUI,GTPX,Phonics fun,TOEIC"</formula1>
    </dataValidation>
    <dataValidation type="list" allowBlank="1" showErrorMessage="1" sqref="B3:B60 B62:B518 B520 B522:B528 B547:B549 B551:B553 B557:B563 B566:B568 B570 B572:B573 B575 B577:B578 B581:B588 B590:B593 B596:B601 B603:B605 B607:B608 B621 B623:B624 B626:B627 B630:B634 B636 B640:B650 B652 B655:B656 B658:B662 B665:B962">
      <formula1>"Fanpage,Hotline,HV giới thiệu,Người quen,Seeding,Data cũ,Data mua,Đến trung tâm,Website"</formula1>
    </dataValidation>
    <dataValidation type="list" allowBlank="1" showErrorMessage="1" sqref="W3:W18 W21 W60">
      <formula1>"Vườn ươm Ielts,Giao tiếp phản xạ,Giao tiếp người lớn,TOEIC nền tảng,Luyện thi TOEIC,Phonics Fun"</formula1>
    </dataValidation>
  </dataValidations>
  <hyperlinks>
    <hyperlink r:id="rId2" ref="J3"/>
    <hyperlink r:id="rId3" ref="J4"/>
    <hyperlink r:id="rId4" ref="J5"/>
    <hyperlink r:id="rId5" ref="J6"/>
    <hyperlink r:id="rId6" ref="J21"/>
    <hyperlink r:id="rId7" ref="J22"/>
    <hyperlink r:id="rId8" ref="J25"/>
    <hyperlink r:id="rId9" ref="J29"/>
    <hyperlink r:id="rId10" ref="J77"/>
    <hyperlink r:id="rId11" ref="J342"/>
    <hyperlink r:id="rId12" ref="J348"/>
    <hyperlink r:id="rId13" ref="J349"/>
    <hyperlink r:id="rId14" ref="J350"/>
    <hyperlink r:id="rId15" ref="L632"/>
    <hyperlink r:id="rId16" location="gid=445902500" ref="L700"/>
    <hyperlink r:id="rId17" location="gid=445902500" ref="L701"/>
    <hyperlink r:id="rId18" location="gid=445902500" ref="L702"/>
    <hyperlink r:id="rId19" location="gid=445902500" ref="L703"/>
    <hyperlink r:id="rId20" location="gid=445902500" ref="L704"/>
    <hyperlink r:id="rId21" location="gid=445902500" ref="L705"/>
    <hyperlink r:id="rId22" location="gid=445902500" ref="L706"/>
    <hyperlink r:id="rId23" location="gid=445902500" ref="L707"/>
    <hyperlink r:id="rId24" location="gid=445902500" ref="L708"/>
    <hyperlink r:id="rId25" location="gid=445902500" ref="L709"/>
    <hyperlink r:id="rId26" location="gid=445902500" ref="L722"/>
    <hyperlink r:id="rId27" location="gid=445902500" ref="L733"/>
    <hyperlink r:id="rId28" location="gid=445902500" ref="L734"/>
    <hyperlink r:id="rId29" location="gid=445902500" ref="L735"/>
    <hyperlink r:id="rId30" location="gid=445902500" ref="L736"/>
    <hyperlink r:id="rId31" location="gid=445902500" ref="L737"/>
    <hyperlink r:id="rId32" location="gid=445902500" ref="L741"/>
    <hyperlink r:id="rId33" location="gid=1666319970" ref="L742"/>
    <hyperlink r:id="rId34" location="gid=1666319970" ref="L743"/>
    <hyperlink r:id="rId35" location="gid=1666319970" ref="L744"/>
    <hyperlink r:id="rId36" location="gid=1666319970" ref="L749"/>
    <hyperlink r:id="rId37" location="gid=1819601126" ref="L751"/>
    <hyperlink r:id="rId38" location="gid=1819601126" ref="L755"/>
    <hyperlink r:id="rId39" location="gid=1819601126" ref="L756"/>
    <hyperlink r:id="rId40" location="gid=1666319970" ref="L767"/>
    <hyperlink r:id="rId41" location="gid=1666319970" ref="L772"/>
    <hyperlink r:id="rId42" location="gid=1666319970" ref="L773"/>
    <hyperlink r:id="rId43" location="gid=1666319970" ref="L774"/>
    <hyperlink r:id="rId44" location="gid=1666319970" ref="L780"/>
    <hyperlink r:id="rId45" location="gid=445902500" ref="L781"/>
    <hyperlink r:id="rId46" location="gid=1666319970" ref="L786"/>
    <hyperlink r:id="rId47" location="gid=1666319970" ref="L787"/>
    <hyperlink r:id="rId48" location="gid=445902500" ref="L791"/>
    <hyperlink r:id="rId49" location="gid=445902500" ref="L792"/>
    <hyperlink r:id="rId50" location="gid=1666319970" ref="L797"/>
  </hyperlinks>
  <drawing r:id="rId51"/>
  <legacy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5.38"/>
    <col customWidth="1" min="3" max="6" width="19.0"/>
    <col customWidth="1" min="7" max="7" width="18.25"/>
    <col customWidth="1" min="8" max="8" width="16.88"/>
    <col customWidth="1" min="20" max="21" width="7.0"/>
  </cols>
  <sheetData>
    <row r="1" ht="15.75" customHeight="1">
      <c r="A1" s="357" t="s">
        <v>289</v>
      </c>
      <c r="J1" s="358" t="s">
        <v>4611</v>
      </c>
      <c r="S1" s="358"/>
      <c r="V1" s="358" t="s">
        <v>4612</v>
      </c>
    </row>
    <row r="2" ht="15.75" customHeight="1">
      <c r="A2" s="359" t="s">
        <v>4613</v>
      </c>
      <c r="B2" s="360" t="s">
        <v>4614</v>
      </c>
      <c r="C2" s="235"/>
      <c r="D2" s="235"/>
      <c r="E2" s="235"/>
      <c r="F2" s="236"/>
      <c r="G2" s="359" t="s">
        <v>4615</v>
      </c>
      <c r="J2" s="361" t="s">
        <v>4613</v>
      </c>
      <c r="K2" s="362"/>
      <c r="L2" s="363" t="s">
        <v>4616</v>
      </c>
      <c r="M2" s="235"/>
      <c r="N2" s="235"/>
      <c r="O2" s="235"/>
      <c r="P2" s="235"/>
      <c r="Q2" s="235"/>
      <c r="R2" s="236"/>
      <c r="S2" s="364"/>
      <c r="V2" s="361" t="s">
        <v>4613</v>
      </c>
      <c r="W2" s="363" t="s">
        <v>4616</v>
      </c>
      <c r="X2" s="235"/>
      <c r="Y2" s="235"/>
      <c r="Z2" s="235"/>
      <c r="AA2" s="235"/>
      <c r="AB2" s="235"/>
      <c r="AC2" s="235"/>
      <c r="AD2" s="236"/>
      <c r="AG2" s="358" t="s">
        <v>4617</v>
      </c>
    </row>
    <row r="3" ht="15.75" customHeight="1">
      <c r="A3" s="11"/>
      <c r="B3" s="365" t="s">
        <v>412</v>
      </c>
      <c r="C3" s="365" t="s">
        <v>66</v>
      </c>
      <c r="D3" s="365" t="s">
        <v>48</v>
      </c>
      <c r="E3" s="365" t="s">
        <v>111</v>
      </c>
      <c r="F3" s="365" t="s">
        <v>4618</v>
      </c>
      <c r="G3" s="11"/>
      <c r="J3" s="11"/>
      <c r="K3" s="366" t="s">
        <v>4619</v>
      </c>
      <c r="L3" s="366" t="s">
        <v>4620</v>
      </c>
      <c r="M3" s="367" t="s">
        <v>4621</v>
      </c>
      <c r="N3" s="368" t="s">
        <v>73</v>
      </c>
      <c r="O3" s="369" t="s">
        <v>201</v>
      </c>
      <c r="P3" s="370" t="s">
        <v>84</v>
      </c>
      <c r="Q3" s="371" t="s">
        <v>60</v>
      </c>
      <c r="R3" s="371" t="s">
        <v>703</v>
      </c>
      <c r="S3" s="371" t="s">
        <v>539</v>
      </c>
      <c r="V3" s="11"/>
      <c r="W3" s="366" t="s">
        <v>4620</v>
      </c>
      <c r="X3" s="367" t="s">
        <v>4621</v>
      </c>
      <c r="Y3" s="368" t="s">
        <v>73</v>
      </c>
      <c r="Z3" s="369" t="s">
        <v>201</v>
      </c>
      <c r="AA3" s="370" t="s">
        <v>84</v>
      </c>
      <c r="AB3" s="371" t="s">
        <v>60</v>
      </c>
      <c r="AC3" s="371" t="s">
        <v>539</v>
      </c>
      <c r="AD3" s="371" t="s">
        <v>703</v>
      </c>
      <c r="AG3" s="361" t="s">
        <v>4613</v>
      </c>
      <c r="AH3" s="363" t="s">
        <v>4616</v>
      </c>
      <c r="AI3" s="235"/>
      <c r="AJ3" s="235"/>
      <c r="AK3" s="235"/>
      <c r="AL3" s="235"/>
      <c r="AM3" s="235"/>
      <c r="AN3" s="235"/>
      <c r="AO3" s="236"/>
    </row>
    <row r="4" ht="15.75" customHeight="1">
      <c r="A4" s="372">
        <v>45261.0</v>
      </c>
      <c r="B4" s="373">
        <f>sumifs('KIDS&amp;ADULTS'!$Z$3:$Z$1997,'KIDS&amp;ADULTS'!$V$3:$V$1997,A4,'KIDS&amp;ADULTS'!$M$3:$M$1997,$B$3)</f>
        <v>0</v>
      </c>
      <c r="C4" s="373">
        <f>sumifs('KIDS&amp;ADULTS'!$Z$3:$Z$1997,'KIDS&amp;ADULTS'!$V$3:$V$1997,A4,'KIDS&amp;ADULTS'!$M$3:$M$1997,"phương")</f>
        <v>0</v>
      </c>
      <c r="D4" s="373">
        <f>sumifs('KIDS&amp;ADULTS'!$Z$3:$Z$1997,'KIDS&amp;ADULTS'!$V$3:$V$1997,A4,'KIDS&amp;ADULTS'!$M$3:$M$1997,$D$3)</f>
        <v>0</v>
      </c>
      <c r="E4" s="373">
        <f>sumifs('KIDS&amp;ADULTS'!$Z$3:$Z$1997,'KIDS&amp;ADULTS'!$V$3:$V$1997,A4,'KIDS&amp;ADULTS'!$M$3:$M$1997,"Ánh")</f>
        <v>0</v>
      </c>
      <c r="F4" s="373">
        <f>sumifs('KIDS&amp;ADULTS'!$Z$3:$Z$1997,'KIDS&amp;ADULTS'!$V$3:$V$1997,A4,'KIDS&amp;ADULTS'!$M$3:$M$1997,"Loan")</f>
        <v>0</v>
      </c>
      <c r="G4" s="373">
        <f t="shared" ref="G4:G34" si="1">sum(B4:F4)</f>
        <v>0</v>
      </c>
      <c r="J4" s="372">
        <v>45261.0</v>
      </c>
      <c r="K4" s="374"/>
      <c r="L4" s="374">
        <f>COUNTIFS('KIDS&amp;ADULTS'!$A$3:$A$12008,J4,'KIDS&amp;ADULTS'!$B$3:$B$12008,$L$3)</f>
        <v>0</v>
      </c>
      <c r="M4" s="374">
        <f>COUNTIFS('KIDS&amp;ADULTS'!$A$3:$A$12008,J4,'KIDS&amp;ADULTS'!$B$3:$B$12008,$M$3)</f>
        <v>0</v>
      </c>
      <c r="N4" s="374">
        <f>COUNTIFS('KIDS&amp;ADULTS'!$A$3:$A$12008,J4,'KIDS&amp;ADULTS'!$B$3:$B$12008,$N$3)</f>
        <v>0</v>
      </c>
      <c r="O4" s="375">
        <f>COUNTIFS('KIDS&amp;ADULTS'!$A$3:$A$12008,J4,'KIDS&amp;ADULTS'!$B$3:$B$12008,$O$3)</f>
        <v>0</v>
      </c>
      <c r="P4" s="375">
        <f>COUNTIFS('KIDS&amp;ADULTS'!$A$3:$A$12008,J4,'KIDS&amp;ADULTS'!$B$3:$B$12008,$P$3)</f>
        <v>0</v>
      </c>
      <c r="Q4" s="375">
        <f>COUNTIFS('KIDS&amp;ADULTS'!$A$3:$A$12008,J4,'KIDS&amp;ADULTS'!$B$3:$B$12008,$Q$3)</f>
        <v>0</v>
      </c>
      <c r="R4" s="375">
        <f>COUNTIFS('KIDS&amp;ADULTS'!$A$3:$A$1008,J4,'KIDS&amp;ADULTS'!$B$3:$B$1008,$R$3)</f>
        <v>0</v>
      </c>
      <c r="S4" s="374">
        <f>COUNTIFS('KIDS&amp;ADULTS'!$A$3:$A$12008,J4,'KIDS&amp;ADULTS'!$B$3:$B$12008,$S$3)</f>
        <v>0</v>
      </c>
      <c r="V4" s="372">
        <v>45261.0</v>
      </c>
      <c r="W4" s="376">
        <f>COUNTIFS('KIDS&amp;ADULTS'!$V$3:$V$12006,V4,'KIDS&amp;ADULTS'!$B$3:$B$12006,$L$3,'KIDS&amp;ADULTS'!$N$3:$N$12006,"Đã đóng học phí")</f>
        <v>0</v>
      </c>
      <c r="X4" s="376">
        <f>COUNTIFS('KIDS&amp;ADULTS'!$V$3:$V$12006,V4,'KIDS&amp;ADULTS'!$B$3:$B12006,$X$3,'KIDS&amp;ADULTS'!$N$3:$N$12006,"Đã đóng học phí")</f>
        <v>0</v>
      </c>
      <c r="Y4" s="376">
        <f>COUNTIFS('KIDS&amp;ADULTS'!$V$3:$V$12006,V4,'KIDS&amp;ADULTS'!$B$3:$B$12006,$Y$3,'KIDS&amp;ADULTS'!$N$3:$N$12006,"Đã đóng học phí")</f>
        <v>0</v>
      </c>
      <c r="Z4" s="376">
        <f>COUNTIFS('KIDS&amp;ADULTS'!$V$3:$V$12006,V4,'KIDS&amp;ADULTS'!$B$3:$B$12006,$Z$3,'KIDS&amp;ADULTS'!$N$3:$N$12006,"Đã đóng học phí")</f>
        <v>0</v>
      </c>
      <c r="AA4" s="376">
        <f>COUNTIFS('KIDS&amp;ADULTS'!$V$3:$V$12006,V4,'KIDS&amp;ADULTS'!$B$3:$B$12006,$AA$3,'KIDS&amp;ADULTS'!$N$3:$N$12006,"Đã đóng học phí")</f>
        <v>0</v>
      </c>
      <c r="AB4" s="376">
        <f>COUNTIFS('KIDS&amp;ADULTS'!$V$3:$V$12006,V4,'KIDS&amp;ADULTS'!$B$3:$B$12006,$AB$3,'KIDS&amp;ADULTS'!$N$3:$N$12006,"Đã đóng học phí")</f>
        <v>0</v>
      </c>
      <c r="AC4" s="376">
        <f>COUNTIFS('KIDS&amp;ADULTS'!$V$3:$V$12006,V4,'KIDS&amp;ADULTS'!$B$3:$B$12006,$AC$3,'KIDS&amp;ADULTS'!$N$3:$N$12006,"Đã đóng học phí")</f>
        <v>0</v>
      </c>
      <c r="AD4" s="376">
        <f>COUNTIFS('KIDS&amp;ADULTS'!$V$3:$V$12006,V4,'KIDS&amp;ADULTS'!$B$3:$B$12006,$AD$3,'KIDS&amp;ADULTS'!$N$3:$N$12006,"Đã đóng học phí")</f>
        <v>0</v>
      </c>
      <c r="AG4" s="11"/>
      <c r="AH4" s="366" t="s">
        <v>4620</v>
      </c>
      <c r="AI4" s="367" t="s">
        <v>4621</v>
      </c>
      <c r="AJ4" s="377" t="s">
        <v>73</v>
      </c>
      <c r="AK4" s="378" t="s">
        <v>201</v>
      </c>
      <c r="AL4" s="379" t="s">
        <v>84</v>
      </c>
      <c r="AM4" s="380" t="s">
        <v>60</v>
      </c>
      <c r="AN4" s="371" t="s">
        <v>539</v>
      </c>
      <c r="AO4" s="380" t="s">
        <v>703</v>
      </c>
    </row>
    <row r="5" ht="15.75" customHeight="1">
      <c r="A5" s="372">
        <v>45262.0</v>
      </c>
      <c r="B5" s="373">
        <f>sumifs('KIDS&amp;ADULTS'!$Z$3:$Z$1997,'KIDS&amp;ADULTS'!$V$3:$V$1997,A5,'KIDS&amp;ADULTS'!$M$3:$M$1997,$B$3)</f>
        <v>0</v>
      </c>
      <c r="C5" s="373">
        <f>sumifs('KIDS&amp;ADULTS'!$Z$3:$Z$1997,'KIDS&amp;ADULTS'!$V$3:$V$1997,A5,'KIDS&amp;ADULTS'!$M$3:$M$1997,"phương")</f>
        <v>0</v>
      </c>
      <c r="D5" s="373">
        <f>sumifs('KIDS&amp;ADULTS'!$Z$3:$Z$1997,'KIDS&amp;ADULTS'!$V$3:$V$1997,A5,'KIDS&amp;ADULTS'!$M$3:$M$1997,$D$3)</f>
        <v>0</v>
      </c>
      <c r="E5" s="373">
        <f>sumifs('KIDS&amp;ADULTS'!$Z$3:$Z$1997,'KIDS&amp;ADULTS'!$V$3:$V$1997,A5,'KIDS&amp;ADULTS'!$M$3:$M$1997,"Ánh")</f>
        <v>0</v>
      </c>
      <c r="F5" s="373">
        <f>sumifs('KIDS&amp;ADULTS'!$Z$3:$Z$1997,'KIDS&amp;ADULTS'!$V$3:$V$1997,A5,'KIDS&amp;ADULTS'!$M$3:$M$1997,"Loan")</f>
        <v>0</v>
      </c>
      <c r="G5" s="373">
        <f t="shared" si="1"/>
        <v>0</v>
      </c>
      <c r="J5" s="372">
        <v>45262.0</v>
      </c>
      <c r="K5" s="374">
        <v>5.0</v>
      </c>
      <c r="L5" s="374">
        <f>COUNTIFS('KIDS&amp;ADULTS'!$A$3:$A$12008,J5,'KIDS&amp;ADULTS'!$B$3:$B$12008,$L$3)</f>
        <v>0</v>
      </c>
      <c r="M5" s="374">
        <f>COUNTIFS('KIDS&amp;ADULTS'!$A$3:$A$12008,J5,'KIDS&amp;ADULTS'!$B$3:$B$12008,$M$3)</f>
        <v>0</v>
      </c>
      <c r="N5" s="374">
        <f>COUNTIFS('KIDS&amp;ADULTS'!$A$3:$A$12008,J5,'KIDS&amp;ADULTS'!$B$3:$B$12008,$N$3)</f>
        <v>0</v>
      </c>
      <c r="O5" s="375">
        <f>COUNTIFS('KIDS&amp;ADULTS'!$A$3:$A$12008,J5,'KIDS&amp;ADULTS'!$B$3:$B$12008,$O$3)</f>
        <v>0</v>
      </c>
      <c r="P5" s="375">
        <f>COUNTIFS('KIDS&amp;ADULTS'!$A$3:$A$12008,J5,'KIDS&amp;ADULTS'!$B$3:$B$12008,$P$3)</f>
        <v>0</v>
      </c>
      <c r="Q5" s="375">
        <f>COUNTIFS('KIDS&amp;ADULTS'!$A$3:$A$12008,J5,'KIDS&amp;ADULTS'!$B$3:$B$12008,$Q$3)</f>
        <v>0</v>
      </c>
      <c r="R5" s="375">
        <f>COUNTIFS('KIDS&amp;ADULTS'!$A$3:$A$1008,J5,'KIDS&amp;ADULTS'!$B$3:$B$1008,$R$3)</f>
        <v>0</v>
      </c>
      <c r="S5" s="374">
        <f>COUNTIFS('KIDS&amp;ADULTS'!$A$3:$A$12008,J5,'KIDS&amp;ADULTS'!$B$3:$B$12008,$S$3)</f>
        <v>0</v>
      </c>
      <c r="V5" s="372">
        <v>45262.0</v>
      </c>
      <c r="W5" s="376">
        <f>COUNTIFS('KIDS&amp;ADULTS'!$V$3:$V$12006,V5,'KIDS&amp;ADULTS'!$B$3:$B$12006,$L$3,'KIDS&amp;ADULTS'!$N$3:$N$12006,"Đã đóng học phí")</f>
        <v>0</v>
      </c>
      <c r="X5" s="376">
        <f>COUNTIFS('KIDS&amp;ADULTS'!$V$3:$V$12006,V5,'KIDS&amp;ADULTS'!$B$3:$B12007,$X$3,'KIDS&amp;ADULTS'!$N$3:$N$12006,"Đã đóng học phí")</f>
        <v>0</v>
      </c>
      <c r="Y5" s="376">
        <f>COUNTIFS('KIDS&amp;ADULTS'!$V$3:$V$12006,V5,'KIDS&amp;ADULTS'!$B$3:$B$12006,$Y$3,'KIDS&amp;ADULTS'!$N$3:$N$12006,"Đã đóng học phí")</f>
        <v>0</v>
      </c>
      <c r="Z5" s="376">
        <f>COUNTIFS('KIDS&amp;ADULTS'!$V$3:$V$12006,V5,'KIDS&amp;ADULTS'!$B$3:$B$12006,$Z$3,'KIDS&amp;ADULTS'!$N$3:$N$12006,"Đã đóng học phí")</f>
        <v>0</v>
      </c>
      <c r="AA5" s="376">
        <f>COUNTIFS('KIDS&amp;ADULTS'!$V$3:$V$12006,V5,'KIDS&amp;ADULTS'!$B$3:$B$12006,$AA$3,'KIDS&amp;ADULTS'!$N$3:$N$12006,"Đã đóng học phí")</f>
        <v>0</v>
      </c>
      <c r="AB5" s="376">
        <f>COUNTIFS('KIDS&amp;ADULTS'!$V$3:$V$12006,V5,'KIDS&amp;ADULTS'!$B$3:$B$12006,$AB$3,'KIDS&amp;ADULTS'!$N$3:$N$12006,"Đã đóng học phí")</f>
        <v>0</v>
      </c>
      <c r="AC5" s="376">
        <f>COUNTIFS('KIDS&amp;ADULTS'!$V$3:$V$12006,V5,'KIDS&amp;ADULTS'!$B$3:$B$12006,$AC$3,'KIDS&amp;ADULTS'!$N$3:$N$12006,"Đã đóng học phí")</f>
        <v>0</v>
      </c>
      <c r="AD5" s="376">
        <f>COUNTIFS('KIDS&amp;ADULTS'!$V$3:$V$12006,V5,'KIDS&amp;ADULTS'!$B$3:$B$12006,$AD$3,'KIDS&amp;ADULTS'!$N$3:$N$12006,"Đã đóng học phí")</f>
        <v>0</v>
      </c>
      <c r="AG5" s="381" t="s">
        <v>4622</v>
      </c>
      <c r="AH5" s="381">
        <f t="shared" ref="AH5:AO5" si="2">W35</f>
        <v>0</v>
      </c>
      <c r="AI5" s="381">
        <f t="shared" si="2"/>
        <v>0</v>
      </c>
      <c r="AJ5" s="381">
        <f t="shared" si="2"/>
        <v>0</v>
      </c>
      <c r="AK5" s="381">
        <f t="shared" si="2"/>
        <v>2</v>
      </c>
      <c r="AL5" s="381">
        <f t="shared" si="2"/>
        <v>1</v>
      </c>
      <c r="AM5" s="381">
        <f t="shared" si="2"/>
        <v>1</v>
      </c>
      <c r="AN5" s="381">
        <f t="shared" si="2"/>
        <v>0</v>
      </c>
      <c r="AO5" s="381">
        <f t="shared" si="2"/>
        <v>0</v>
      </c>
    </row>
    <row r="6" ht="15.75" customHeight="1">
      <c r="A6" s="372">
        <v>45263.0</v>
      </c>
      <c r="B6" s="373">
        <f>sumifs('KIDS&amp;ADULTS'!$Z$3:$Z$1997,'KIDS&amp;ADULTS'!$V$3:$V$1997,A6,'KIDS&amp;ADULTS'!$M$3:$M$1997,$B$3)</f>
        <v>0</v>
      </c>
      <c r="C6" s="373">
        <f>sumifs('KIDS&amp;ADULTS'!$Z$3:$Z$1997,'KIDS&amp;ADULTS'!$V$3:$V$1997,A6,'KIDS&amp;ADULTS'!$M$3:$M$1997,"phương")</f>
        <v>0</v>
      </c>
      <c r="D6" s="373">
        <f>sumifs('KIDS&amp;ADULTS'!$Z$3:$Z$1997,'KIDS&amp;ADULTS'!$V$3:$V$1997,A6,'KIDS&amp;ADULTS'!$M$3:$M$1997,$D$3)</f>
        <v>0</v>
      </c>
      <c r="E6" s="373">
        <f>sumifs('KIDS&amp;ADULTS'!$Z$3:$Z$1997,'KIDS&amp;ADULTS'!$V$3:$V$1997,A6,'KIDS&amp;ADULTS'!$M$3:$M$1997,"Ánh")</f>
        <v>0</v>
      </c>
      <c r="F6" s="373">
        <f>sumifs('KIDS&amp;ADULTS'!$Z$3:$Z$1997,'KIDS&amp;ADULTS'!$V$3:$V$1997,A6,'KIDS&amp;ADULTS'!$M$3:$M$1997,"Loan")</f>
        <v>0</v>
      </c>
      <c r="G6" s="373">
        <f t="shared" si="1"/>
        <v>0</v>
      </c>
      <c r="J6" s="372">
        <v>45263.0</v>
      </c>
      <c r="K6" s="374"/>
      <c r="L6" s="374">
        <f>COUNTIFS('KIDS&amp;ADULTS'!$A$3:$A$12008,J6,'KIDS&amp;ADULTS'!$B$3:$B$12008,$L$3)</f>
        <v>0</v>
      </c>
      <c r="M6" s="374">
        <f>COUNTIFS('KIDS&amp;ADULTS'!$A$3:$A$12008,J6,'KIDS&amp;ADULTS'!$B$3:$B$12008,$M$3)</f>
        <v>0</v>
      </c>
      <c r="N6" s="374">
        <f>COUNTIFS('KIDS&amp;ADULTS'!$A$3:$A$12008,J6,'KIDS&amp;ADULTS'!$B$3:$B$12008,$N$3)</f>
        <v>0</v>
      </c>
      <c r="O6" s="375">
        <f>COUNTIFS('KIDS&amp;ADULTS'!$A$3:$A$12008,J6,'KIDS&amp;ADULTS'!$B$3:$B$12008,$O$3)</f>
        <v>0</v>
      </c>
      <c r="P6" s="375">
        <f>COUNTIFS('KIDS&amp;ADULTS'!$A$3:$A$12008,J6,'KIDS&amp;ADULTS'!$B$3:$B$12008,$P$3)</f>
        <v>0</v>
      </c>
      <c r="Q6" s="375">
        <f>COUNTIFS('KIDS&amp;ADULTS'!$A$3:$A$12008,J6,'KIDS&amp;ADULTS'!$B$3:$B$12008,$Q$3)</f>
        <v>0</v>
      </c>
      <c r="R6" s="375">
        <f>COUNTIFS('KIDS&amp;ADULTS'!$A$3:$A$1008,J6,'KIDS&amp;ADULTS'!$B$3:$B$1008,$R$3)</f>
        <v>0</v>
      </c>
      <c r="S6" s="374">
        <f>COUNTIFS('KIDS&amp;ADULTS'!$A$3:$A$12008,J6,'KIDS&amp;ADULTS'!$B$3:$B$12008,$S$3)</f>
        <v>0</v>
      </c>
      <c r="V6" s="372">
        <v>45263.0</v>
      </c>
      <c r="W6" s="376">
        <f>COUNTIFS('KIDS&amp;ADULTS'!$V$3:$V$12006,V6,'KIDS&amp;ADULTS'!$B$3:$B$12006,$L$3,'KIDS&amp;ADULTS'!$N$3:$N$12006,"Đã đóng học phí")</f>
        <v>0</v>
      </c>
      <c r="X6" s="376">
        <f>COUNTIFS('KIDS&amp;ADULTS'!$V$3:$V$12006,V6,'KIDS&amp;ADULTS'!$B$3:$B12008,$X$3,'KIDS&amp;ADULTS'!$N$3:$N$12006,"Đã đóng học phí")</f>
        <v>0</v>
      </c>
      <c r="Y6" s="376">
        <f>COUNTIFS('KIDS&amp;ADULTS'!$V$3:$V$12006,V6,'KIDS&amp;ADULTS'!$B$3:$B$12006,$Y$3,'KIDS&amp;ADULTS'!$N$3:$N$12006,"Đã đóng học phí")</f>
        <v>0</v>
      </c>
      <c r="Z6" s="376">
        <f>COUNTIFS('KIDS&amp;ADULTS'!$V$3:$V$12006,V6,'KIDS&amp;ADULTS'!$B$3:$B$12006,$Z$3,'KIDS&amp;ADULTS'!$N$3:$N$12006,"Đã đóng học phí")</f>
        <v>0</v>
      </c>
      <c r="AA6" s="376">
        <f>COUNTIFS('KIDS&amp;ADULTS'!$V$3:$V$12006,V6,'KIDS&amp;ADULTS'!$B$3:$B$12006,$AA$3,'KIDS&amp;ADULTS'!$N$3:$N$12006,"Đã đóng học phí")</f>
        <v>0</v>
      </c>
      <c r="AB6" s="376">
        <f>COUNTIFS('KIDS&amp;ADULTS'!$V$3:$V$12006,V6,'KIDS&amp;ADULTS'!$B$3:$B$12006,$AB$3,'KIDS&amp;ADULTS'!$N$3:$N$12006,"Đã đóng học phí")</f>
        <v>0</v>
      </c>
      <c r="AC6" s="376">
        <f>COUNTIFS('KIDS&amp;ADULTS'!$V$3:$V$12006,V6,'KIDS&amp;ADULTS'!$B$3:$B$12006,$AC$3,'KIDS&amp;ADULTS'!$N$3:$N$12006,"Đã đóng học phí")</f>
        <v>0</v>
      </c>
      <c r="AD6" s="376">
        <f>COUNTIFS('KIDS&amp;ADULTS'!$V$3:$V$12006,V6,'KIDS&amp;ADULTS'!$B$3:$B$12006,$AD$3,'KIDS&amp;ADULTS'!$N$3:$N$12006,"Đã đóng học phí")</f>
        <v>0</v>
      </c>
    </row>
    <row r="7" ht="15.75" customHeight="1">
      <c r="A7" s="372">
        <v>45264.0</v>
      </c>
      <c r="B7" s="373">
        <f>sumifs('KIDS&amp;ADULTS'!$Z$3:$Z$1997,'KIDS&amp;ADULTS'!$V$3:$V$1997,A7,'KIDS&amp;ADULTS'!$M$3:$M$1997,$B$3)</f>
        <v>0</v>
      </c>
      <c r="C7" s="373">
        <f>sumifs('KIDS&amp;ADULTS'!$Z$3:$Z$1997,'KIDS&amp;ADULTS'!$V$3:$V$1997,A7,'KIDS&amp;ADULTS'!$M$3:$M$1997,"phương")</f>
        <v>0</v>
      </c>
      <c r="D7" s="373">
        <f>sumifs('KIDS&amp;ADULTS'!$Z$3:$Z$1997,'KIDS&amp;ADULTS'!$V$3:$V$1997,A7,'KIDS&amp;ADULTS'!$M$3:$M$1997,$D$3)</f>
        <v>0</v>
      </c>
      <c r="E7" s="373">
        <f>sumifs('KIDS&amp;ADULTS'!$Z$3:$Z$1997,'KIDS&amp;ADULTS'!$V$3:$V$1997,A7,'KIDS&amp;ADULTS'!$M$3:$M$1997,"Ánh")</f>
        <v>0</v>
      </c>
      <c r="F7" s="373">
        <f>sumifs('KIDS&amp;ADULTS'!$Z$3:$Z$1997,'KIDS&amp;ADULTS'!$V$3:$V$1997,A7,'KIDS&amp;ADULTS'!$M$3:$M$1997,"Loan")</f>
        <v>0</v>
      </c>
      <c r="G7" s="373">
        <f t="shared" si="1"/>
        <v>0</v>
      </c>
      <c r="J7" s="372">
        <v>45264.0</v>
      </c>
      <c r="K7" s="374"/>
      <c r="L7" s="374">
        <f>COUNTIFS('KIDS&amp;ADULTS'!$A$3:$A$12008,J7,'KIDS&amp;ADULTS'!$B$3:$B$12008,$L$3)</f>
        <v>0</v>
      </c>
      <c r="M7" s="374">
        <f>COUNTIFS('KIDS&amp;ADULTS'!$A$3:$A$12008,J7,'KIDS&amp;ADULTS'!$B$3:$B$12008,$M$3)</f>
        <v>0</v>
      </c>
      <c r="N7" s="374">
        <f>COUNTIFS('KIDS&amp;ADULTS'!$A$3:$A$12008,J7,'KIDS&amp;ADULTS'!$B$3:$B$12008,$N$3)</f>
        <v>0</v>
      </c>
      <c r="O7" s="375">
        <f>COUNTIFS('KIDS&amp;ADULTS'!$A$3:$A$12008,J7,'KIDS&amp;ADULTS'!$B$3:$B$12008,$O$3)</f>
        <v>0</v>
      </c>
      <c r="P7" s="375">
        <f>COUNTIFS('KIDS&amp;ADULTS'!$A$3:$A$12008,J7,'KIDS&amp;ADULTS'!$B$3:$B$12008,$P$3)</f>
        <v>0</v>
      </c>
      <c r="Q7" s="375">
        <f>COUNTIFS('KIDS&amp;ADULTS'!$A$3:$A$12008,J7,'KIDS&amp;ADULTS'!$B$3:$B$12008,$Q$3)</f>
        <v>0</v>
      </c>
      <c r="R7" s="375">
        <f>COUNTIFS('KIDS&amp;ADULTS'!$A$3:$A$1008,J7,'KIDS&amp;ADULTS'!$B$3:$B$1008,$R$3)</f>
        <v>0</v>
      </c>
      <c r="S7" s="374">
        <f>COUNTIFS('KIDS&amp;ADULTS'!$A$3:$A$12008,J7,'KIDS&amp;ADULTS'!$B$3:$B$12008,$S$3)</f>
        <v>0</v>
      </c>
      <c r="V7" s="372">
        <v>45264.0</v>
      </c>
      <c r="W7" s="376">
        <f>COUNTIFS('KIDS&amp;ADULTS'!$V$3:$V$12006,V7,'KIDS&amp;ADULTS'!$B$3:$B$12006,$L$3,'KIDS&amp;ADULTS'!$N$3:$N$12006,"Đã đóng học phí")</f>
        <v>0</v>
      </c>
      <c r="X7" s="376">
        <f>COUNTIFS('KIDS&amp;ADULTS'!$V$3:$V$12006,V7,'KIDS&amp;ADULTS'!$B$3:$B12009,$X$3,'KIDS&amp;ADULTS'!$N$3:$N$12006,"Đã đóng học phí")</f>
        <v>0</v>
      </c>
      <c r="Y7" s="376">
        <f>COUNTIFS('KIDS&amp;ADULTS'!$V$3:$V$12006,V7,'KIDS&amp;ADULTS'!$B$3:$B$12006,$Y$3,'KIDS&amp;ADULTS'!$N$3:$N$12006,"Đã đóng học phí")</f>
        <v>0</v>
      </c>
      <c r="Z7" s="376">
        <f>COUNTIFS('KIDS&amp;ADULTS'!$V$3:$V$12006,V7,'KIDS&amp;ADULTS'!$B$3:$B$12006,$Z$3,'KIDS&amp;ADULTS'!$N$3:$N$12006,"Đã đóng học phí")</f>
        <v>0</v>
      </c>
      <c r="AA7" s="376">
        <f>COUNTIFS('KIDS&amp;ADULTS'!$V$3:$V$12006,V7,'KIDS&amp;ADULTS'!$B$3:$B$12006,$AA$3,'KIDS&amp;ADULTS'!$N$3:$N$12006,"Đã đóng học phí")</f>
        <v>0</v>
      </c>
      <c r="AB7" s="376">
        <f>COUNTIFS('KIDS&amp;ADULTS'!$V$3:$V$12006,V7,'KIDS&amp;ADULTS'!$B$3:$B$12006,$AB$3,'KIDS&amp;ADULTS'!$N$3:$N$12006,"Đã đóng học phí")</f>
        <v>0</v>
      </c>
      <c r="AC7" s="376">
        <f>COUNTIFS('KIDS&amp;ADULTS'!$V$3:$V$12006,V7,'KIDS&amp;ADULTS'!$B$3:$B$12006,$AC$3,'KIDS&amp;ADULTS'!$N$3:$N$12006,"Đã đóng học phí")</f>
        <v>0</v>
      </c>
      <c r="AD7" s="376">
        <f>COUNTIFS('KIDS&amp;ADULTS'!$V$3:$V$12006,V7,'KIDS&amp;ADULTS'!$B$3:$B$12006,$AD$3,'KIDS&amp;ADULTS'!$N$3:$N$12006,"Đã đóng học phí")</f>
        <v>0</v>
      </c>
      <c r="AG7" s="358" t="s">
        <v>4623</v>
      </c>
    </row>
    <row r="8" ht="15.75" customHeight="1">
      <c r="A8" s="372">
        <v>45265.0</v>
      </c>
      <c r="B8" s="373">
        <f>sumifs('KIDS&amp;ADULTS'!$Z$3:$Z$1997,'KIDS&amp;ADULTS'!$V$3:$V$1997,A8,'KIDS&amp;ADULTS'!$M$3:$M$1997,$B$3)</f>
        <v>0</v>
      </c>
      <c r="C8" s="373">
        <f>sumifs('KIDS&amp;ADULTS'!$Z$3:$Z$1997,'KIDS&amp;ADULTS'!$V$3:$V$1997,A8,'KIDS&amp;ADULTS'!$M$3:$M$1997,"phương")</f>
        <v>0</v>
      </c>
      <c r="D8" s="373">
        <f>sumifs('KIDS&amp;ADULTS'!$Z$3:$Z$1997,'KIDS&amp;ADULTS'!$V$3:$V$1997,A8,'KIDS&amp;ADULTS'!$M$3:$M$1997,$D$3)</f>
        <v>0</v>
      </c>
      <c r="E8" s="373">
        <f>sumifs('KIDS&amp;ADULTS'!$Z$3:$Z$1997,'KIDS&amp;ADULTS'!$V$3:$V$1997,A8,'KIDS&amp;ADULTS'!$M$3:$M$1997,"Ánh")</f>
        <v>0</v>
      </c>
      <c r="F8" s="373">
        <f>sumifs('KIDS&amp;ADULTS'!$Z$3:$Z$1997,'KIDS&amp;ADULTS'!$V$3:$V$1997,A8,'KIDS&amp;ADULTS'!$M$3:$M$1997,"Loan")</f>
        <v>0</v>
      </c>
      <c r="G8" s="373">
        <f t="shared" si="1"/>
        <v>0</v>
      </c>
      <c r="J8" s="372">
        <v>45265.0</v>
      </c>
      <c r="K8" s="374"/>
      <c r="L8" s="374">
        <f>COUNTIFS('KIDS&amp;ADULTS'!$A$3:$A$12008,J8,'KIDS&amp;ADULTS'!$B$3:$B$12008,$L$3)</f>
        <v>0</v>
      </c>
      <c r="M8" s="374">
        <f>COUNTIFS('KIDS&amp;ADULTS'!$A$3:$A$12008,J8,'KIDS&amp;ADULTS'!$B$3:$B$12008,$M$3)</f>
        <v>0</v>
      </c>
      <c r="N8" s="374">
        <f>COUNTIFS('KIDS&amp;ADULTS'!$A$3:$A$12008,J8,'KIDS&amp;ADULTS'!$B$3:$B$12008,$N$3)</f>
        <v>0</v>
      </c>
      <c r="O8" s="375">
        <f>COUNTIFS('KIDS&amp;ADULTS'!$A$3:$A$12008,J8,'KIDS&amp;ADULTS'!$B$3:$B$12008,$O$3)</f>
        <v>1</v>
      </c>
      <c r="P8" s="375">
        <f>COUNTIFS('KIDS&amp;ADULTS'!$A$3:$A$12008,J8,'KIDS&amp;ADULTS'!$B$3:$B$12008,$P$3)</f>
        <v>1</v>
      </c>
      <c r="Q8" s="375">
        <f>COUNTIFS('KIDS&amp;ADULTS'!$A$3:$A$12008,J8,'KIDS&amp;ADULTS'!$B$3:$B$12008,$Q$3)</f>
        <v>0</v>
      </c>
      <c r="R8" s="375">
        <f>COUNTIFS('KIDS&amp;ADULTS'!$A$3:$A$1008,J8,'KIDS&amp;ADULTS'!$B$3:$B$1008,$R$3)</f>
        <v>0</v>
      </c>
      <c r="S8" s="374">
        <f>COUNTIFS('KIDS&amp;ADULTS'!$A$3:$A$12008,J8,'KIDS&amp;ADULTS'!$B$3:$B$12008,$S$3)</f>
        <v>0</v>
      </c>
      <c r="V8" s="372">
        <v>45265.0</v>
      </c>
      <c r="W8" s="376">
        <f>COUNTIFS('KIDS&amp;ADULTS'!$V$3:$V$12006,V8,'KIDS&amp;ADULTS'!$B$3:$B$12006,$L$3,'KIDS&amp;ADULTS'!$N$3:$N$12006,"Đã đóng học phí")</f>
        <v>0</v>
      </c>
      <c r="X8" s="376">
        <f>COUNTIFS('KIDS&amp;ADULTS'!$V$3:$V$12006,V8,'KIDS&amp;ADULTS'!$B$3:$B12010,$X$3,'KIDS&amp;ADULTS'!$N$3:$N$12006,"Đã đóng học phí")</f>
        <v>0</v>
      </c>
      <c r="Y8" s="376">
        <f>COUNTIFS('KIDS&amp;ADULTS'!$V$3:$V$12006,V8,'KIDS&amp;ADULTS'!$B$3:$B$12006,$Y$3,'KIDS&amp;ADULTS'!$N$3:$N$12006,"Đã đóng học phí")</f>
        <v>0</v>
      </c>
      <c r="Z8" s="376">
        <f>COUNTIFS('KIDS&amp;ADULTS'!$V$3:$V$12006,V8,'KIDS&amp;ADULTS'!$B$3:$B$12006,$Z$3,'KIDS&amp;ADULTS'!$N$3:$N$12006,"Đã đóng học phí")</f>
        <v>0</v>
      </c>
      <c r="AA8" s="376">
        <f>COUNTIFS('KIDS&amp;ADULTS'!$V$3:$V$12006,V8,'KIDS&amp;ADULTS'!$B$3:$B$12006,$AA$3,'KIDS&amp;ADULTS'!$N$3:$N$12006,"Đã đóng học phí")</f>
        <v>0</v>
      </c>
      <c r="AB8" s="376">
        <f>COUNTIFS('KIDS&amp;ADULTS'!$V$3:$V$12006,V8,'KIDS&amp;ADULTS'!$B$3:$B$12006,$AB$3,'KIDS&amp;ADULTS'!$N$3:$N$12006,"Đã đóng học phí")</f>
        <v>0</v>
      </c>
      <c r="AC8" s="376">
        <f>COUNTIFS('KIDS&amp;ADULTS'!$V$3:$V$12006,V8,'KIDS&amp;ADULTS'!$B$3:$B$12006,$AC$3,'KIDS&amp;ADULTS'!$N$3:$N$12006,"Đã đóng học phí")</f>
        <v>0</v>
      </c>
      <c r="AD8" s="376">
        <f>COUNTIFS('KIDS&amp;ADULTS'!$V$3:$V$12006,V8,'KIDS&amp;ADULTS'!$B$3:$B$12006,$AD$3,'KIDS&amp;ADULTS'!$N$3:$N$12006,"Đã đóng học phí")</f>
        <v>0</v>
      </c>
      <c r="AG8" s="361" t="s">
        <v>4613</v>
      </c>
      <c r="AH8" s="363" t="s">
        <v>4616</v>
      </c>
      <c r="AI8" s="235"/>
      <c r="AJ8" s="235"/>
      <c r="AK8" s="235"/>
      <c r="AL8" s="235"/>
      <c r="AM8" s="235"/>
      <c r="AN8" s="235"/>
      <c r="AO8" s="236"/>
    </row>
    <row r="9" ht="15.75" customHeight="1">
      <c r="A9" s="372">
        <v>45266.0</v>
      </c>
      <c r="B9" s="373">
        <f>sumifs('KIDS&amp;ADULTS'!$Z$3:$Z$1997,'KIDS&amp;ADULTS'!$V$3:$V$1997,A9,'KIDS&amp;ADULTS'!$M$3:$M$1997,$B$3)</f>
        <v>0</v>
      </c>
      <c r="C9" s="373">
        <f>sumifs('KIDS&amp;ADULTS'!$Z$3:$Z$1997,'KIDS&amp;ADULTS'!$V$3:$V$1997,A9,'KIDS&amp;ADULTS'!$M$3:$M$1997,"phương")</f>
        <v>0</v>
      </c>
      <c r="D9" s="373">
        <f>sumifs('KIDS&amp;ADULTS'!$Z$3:$Z$1997,'KIDS&amp;ADULTS'!$V$3:$V$1997,A9,'KIDS&amp;ADULTS'!$M$3:$M$1997,$D$3)</f>
        <v>0</v>
      </c>
      <c r="E9" s="373">
        <f>sumifs('KIDS&amp;ADULTS'!$Z$3:$Z$1997,'KIDS&amp;ADULTS'!$V$3:$V$1997,A9,'KIDS&amp;ADULTS'!$M$3:$M$1997,"Ánh")</f>
        <v>5767800</v>
      </c>
      <c r="F9" s="373">
        <f>sumifs('KIDS&amp;ADULTS'!$Z$3:$Z$1997,'KIDS&amp;ADULTS'!$V$3:$V$1997,A9,'KIDS&amp;ADULTS'!$M$3:$M$1997,"Loan")</f>
        <v>0</v>
      </c>
      <c r="G9" s="373">
        <f t="shared" si="1"/>
        <v>5767800</v>
      </c>
      <c r="J9" s="372">
        <v>45266.0</v>
      </c>
      <c r="K9" s="374">
        <v>2.0</v>
      </c>
      <c r="L9" s="374">
        <f>COUNTIFS('KIDS&amp;ADULTS'!$A$3:$A$12008,J9,'KIDS&amp;ADULTS'!$B$3:$B$12008,$L$3)</f>
        <v>0</v>
      </c>
      <c r="M9" s="374">
        <f>COUNTIFS('KIDS&amp;ADULTS'!$A$3:$A$12008,J9,'KIDS&amp;ADULTS'!$B$3:$B$12008,$M$3)</f>
        <v>0</v>
      </c>
      <c r="N9" s="374">
        <f>COUNTIFS('KIDS&amp;ADULTS'!$A$3:$A$12008,J9,'KIDS&amp;ADULTS'!$B$3:$B$12008,$N$3)</f>
        <v>0</v>
      </c>
      <c r="O9" s="375">
        <f>COUNTIFS('KIDS&amp;ADULTS'!$A$3:$A$12008,J9,'KIDS&amp;ADULTS'!$B$3:$B$12008,$O$3)</f>
        <v>0</v>
      </c>
      <c r="P9" s="375">
        <f>COUNTIFS('KIDS&amp;ADULTS'!$A$3:$A$12008,J9,'KIDS&amp;ADULTS'!$B$3:$B$12008,$P$3)</f>
        <v>0</v>
      </c>
      <c r="Q9" s="375">
        <f>COUNTIFS('KIDS&amp;ADULTS'!$A$3:$A$12008,J9,'KIDS&amp;ADULTS'!$B$3:$B$12008,$Q$3)</f>
        <v>0</v>
      </c>
      <c r="R9" s="375">
        <f>COUNTIFS('KIDS&amp;ADULTS'!$A$3:$A$1008,J9,'KIDS&amp;ADULTS'!$B$3:$B$1008,$R$3)</f>
        <v>0</v>
      </c>
      <c r="S9" s="374">
        <f>COUNTIFS('KIDS&amp;ADULTS'!$A$3:$A$12008,J9,'KIDS&amp;ADULTS'!$B$3:$B$12008,$S$3)</f>
        <v>0</v>
      </c>
      <c r="V9" s="372">
        <v>45266.0</v>
      </c>
      <c r="W9" s="376">
        <f>COUNTIFS('KIDS&amp;ADULTS'!$V$3:$V$12006,V9,'KIDS&amp;ADULTS'!$B$3:$B$12006,$L$3,'KIDS&amp;ADULTS'!$N$3:$N$12006,"Đã đóng học phí")</f>
        <v>0</v>
      </c>
      <c r="X9" s="376">
        <f>COUNTIFS('KIDS&amp;ADULTS'!$V$3:$V$12006,V9,'KIDS&amp;ADULTS'!$B$3:$B12011,$X$3,'KIDS&amp;ADULTS'!$N$3:$N$12006,"Đã đóng học phí")</f>
        <v>0</v>
      </c>
      <c r="Y9" s="376">
        <f>COUNTIFS('KIDS&amp;ADULTS'!$V$3:$V$12006,V9,'KIDS&amp;ADULTS'!$B$3:$B$12006,$Y$3,'KIDS&amp;ADULTS'!$N$3:$N$12006,"Đã đóng học phí")</f>
        <v>0</v>
      </c>
      <c r="Z9" s="376">
        <f>COUNTIFS('KIDS&amp;ADULTS'!$V$3:$V$12006,V9,'KIDS&amp;ADULTS'!$B$3:$B$12006,$Z$3,'KIDS&amp;ADULTS'!$N$3:$N$12006,"Đã đóng học phí")</f>
        <v>0</v>
      </c>
      <c r="AA9" s="376">
        <f>COUNTIFS('KIDS&amp;ADULTS'!$V$3:$V$12006,V9,'KIDS&amp;ADULTS'!$B$3:$B$12006,$AA$3,'KIDS&amp;ADULTS'!$N$3:$N$12006,"Đã đóng học phí")</f>
        <v>0</v>
      </c>
      <c r="AB9" s="376">
        <f>COUNTIFS('KIDS&amp;ADULTS'!$V$3:$V$12006,V9,'KIDS&amp;ADULTS'!$B$3:$B$12006,$AB$3,'KIDS&amp;ADULTS'!$N$3:$N$12006,"Đã đóng học phí")</f>
        <v>0</v>
      </c>
      <c r="AC9" s="376">
        <f>COUNTIFS('KIDS&amp;ADULTS'!$V$3:$V$12006,V9,'KIDS&amp;ADULTS'!$B$3:$B$12006,$AC$3,'KIDS&amp;ADULTS'!$N$3:$N$12006,"Đã đóng học phí")</f>
        <v>0</v>
      </c>
      <c r="AD9" s="376">
        <f>COUNTIFS('KIDS&amp;ADULTS'!$V$3:$V$12006,V9,'KIDS&amp;ADULTS'!$B$3:$B$12006,$AD$3,'KIDS&amp;ADULTS'!$N$3:$N$12006,"Đã đóng học phí")</f>
        <v>0</v>
      </c>
      <c r="AG9" s="11"/>
      <c r="AH9" s="366" t="s">
        <v>4620</v>
      </c>
      <c r="AI9" s="367" t="s">
        <v>4621</v>
      </c>
      <c r="AJ9" s="368" t="s">
        <v>73</v>
      </c>
      <c r="AK9" s="369" t="s">
        <v>201</v>
      </c>
      <c r="AL9" s="370" t="s">
        <v>84</v>
      </c>
      <c r="AM9" s="371" t="s">
        <v>60</v>
      </c>
      <c r="AN9" s="371" t="s">
        <v>539</v>
      </c>
      <c r="AO9" s="371" t="s">
        <v>703</v>
      </c>
    </row>
    <row r="10" ht="15.75" customHeight="1">
      <c r="A10" s="372">
        <v>45267.0</v>
      </c>
      <c r="B10" s="373">
        <f>sumifs('KIDS&amp;ADULTS'!$Z$3:$Z$1997,'KIDS&amp;ADULTS'!$V$3:$V$1997,A10,'KIDS&amp;ADULTS'!$M$3:$M$1997,$B$3)</f>
        <v>0</v>
      </c>
      <c r="C10" s="373">
        <f>sumifs('KIDS&amp;ADULTS'!$Z$3:$Z$1997,'KIDS&amp;ADULTS'!$V$3:$V$1997,A10,'KIDS&amp;ADULTS'!$M$3:$M$1997,"phương")</f>
        <v>0</v>
      </c>
      <c r="D10" s="373">
        <f>sumifs('KIDS&amp;ADULTS'!$Z$3:$Z$1997,'KIDS&amp;ADULTS'!$V$3:$V$1997,A10,'KIDS&amp;ADULTS'!$M$3:$M$1997,$D$3)</f>
        <v>0</v>
      </c>
      <c r="E10" s="373">
        <f>sumifs('KIDS&amp;ADULTS'!$Z$3:$Z$1997,'KIDS&amp;ADULTS'!$V$3:$V$1997,A10,'KIDS&amp;ADULTS'!$M$3:$M$1997,"Ánh")</f>
        <v>0</v>
      </c>
      <c r="F10" s="373">
        <f>sumifs('KIDS&amp;ADULTS'!$Z$3:$Z$1997,'KIDS&amp;ADULTS'!$V$3:$V$1997,A10,'KIDS&amp;ADULTS'!$M$3:$M$1997,"Loan")</f>
        <v>0</v>
      </c>
      <c r="G10" s="373">
        <f t="shared" si="1"/>
        <v>0</v>
      </c>
      <c r="J10" s="372">
        <v>45267.0</v>
      </c>
      <c r="K10" s="374"/>
      <c r="L10" s="374">
        <f>COUNTIFS('KIDS&amp;ADULTS'!$A$3:$A$12008,J10,'KIDS&amp;ADULTS'!$B$3:$B$12008,$L$3)</f>
        <v>0</v>
      </c>
      <c r="M10" s="374">
        <f>COUNTIFS('KIDS&amp;ADULTS'!$A$3:$A$12008,J10,'KIDS&amp;ADULTS'!$B$3:$B$12008,$M$3)</f>
        <v>0</v>
      </c>
      <c r="N10" s="374">
        <f>COUNTIFS('KIDS&amp;ADULTS'!$A$3:$A$12008,J10,'KIDS&amp;ADULTS'!$B$3:$B$12008,$N$3)</f>
        <v>0</v>
      </c>
      <c r="O10" s="375">
        <f>COUNTIFS('KIDS&amp;ADULTS'!$A$3:$A$12008,J10,'KIDS&amp;ADULTS'!$B$3:$B$12008,$O$3)</f>
        <v>3</v>
      </c>
      <c r="P10" s="375">
        <f>COUNTIFS('KIDS&amp;ADULTS'!$A$3:$A$12008,J10,'KIDS&amp;ADULTS'!$B$3:$B$12008,$P$3)</f>
        <v>0</v>
      </c>
      <c r="Q10" s="375">
        <f>COUNTIFS('KIDS&amp;ADULTS'!$A$3:$A$12008,J10,'KIDS&amp;ADULTS'!$B$3:$B$12008,$Q$3)</f>
        <v>0</v>
      </c>
      <c r="R10" s="375">
        <f>COUNTIFS('KIDS&amp;ADULTS'!$A$3:$A$1008,J10,'KIDS&amp;ADULTS'!$B$3:$B$1008,$R$3)</f>
        <v>0</v>
      </c>
      <c r="S10" s="374">
        <f>COUNTIFS('KIDS&amp;ADULTS'!$A$3:$A$12008,J10,'KIDS&amp;ADULTS'!$B$3:$B$12008,$S$3)</f>
        <v>0</v>
      </c>
      <c r="V10" s="372">
        <v>45267.0</v>
      </c>
      <c r="W10" s="376">
        <f>COUNTIFS('KIDS&amp;ADULTS'!$V$3:$V$12006,V10,'KIDS&amp;ADULTS'!$B$3:$B$12006,$L$3,'KIDS&amp;ADULTS'!$N$3:$N$12006,"Đã đóng học phí")</f>
        <v>0</v>
      </c>
      <c r="X10" s="376">
        <f>COUNTIFS('KIDS&amp;ADULTS'!$V$3:$V$12006,V10,'KIDS&amp;ADULTS'!$B$3:$B12012,$X$3,'KIDS&amp;ADULTS'!$N$3:$N$12006,"Đã đóng học phí")</f>
        <v>0</v>
      </c>
      <c r="Y10" s="376">
        <f>COUNTIFS('KIDS&amp;ADULTS'!$V$3:$V$12006,V10,'KIDS&amp;ADULTS'!$B$3:$B$12006,$Y$3,'KIDS&amp;ADULTS'!$N$3:$N$12006,"Đã đóng học phí")</f>
        <v>0</v>
      </c>
      <c r="Z10" s="376">
        <f>COUNTIFS('KIDS&amp;ADULTS'!$V$3:$V$12006,V10,'KIDS&amp;ADULTS'!$B$3:$B$12006,$Z$3,'KIDS&amp;ADULTS'!$N$3:$N$12006,"Đã đóng học phí")</f>
        <v>0</v>
      </c>
      <c r="AA10" s="376">
        <f>COUNTIFS('KIDS&amp;ADULTS'!$V$3:$V$12006,V10,'KIDS&amp;ADULTS'!$B$3:$B$12006,$AA$3,'KIDS&amp;ADULTS'!$N$3:$N$12006,"Đã đóng học phí")</f>
        <v>0</v>
      </c>
      <c r="AB10" s="376">
        <f>COUNTIFS('KIDS&amp;ADULTS'!$V$3:$V$12006,V10,'KIDS&amp;ADULTS'!$B$3:$B$12006,$AB$3,'KIDS&amp;ADULTS'!$N$3:$N$12006,"Đã đóng học phí")</f>
        <v>0</v>
      </c>
      <c r="AC10" s="376">
        <f>COUNTIFS('KIDS&amp;ADULTS'!$V$3:$V$12006,V10,'KIDS&amp;ADULTS'!$B$3:$B$12006,$AC$3,'KIDS&amp;ADULTS'!$N$3:$N$12006,"Đã đóng học phí")</f>
        <v>0</v>
      </c>
      <c r="AD10" s="376">
        <f>COUNTIFS('KIDS&amp;ADULTS'!$V$3:$V$12006,V10,'KIDS&amp;ADULTS'!$B$3:$B$12006,$AD$3,'KIDS&amp;ADULTS'!$N$3:$N$12006,"Đã đóng học phí")</f>
        <v>0</v>
      </c>
      <c r="AG10" s="381" t="s">
        <v>4622</v>
      </c>
      <c r="AH10" s="382">
        <f t="shared" ref="AH10:AO10" si="3">W72</f>
        <v>0</v>
      </c>
      <c r="AI10" s="382">
        <f t="shared" si="3"/>
        <v>0</v>
      </c>
      <c r="AJ10" s="382">
        <f t="shared" si="3"/>
        <v>0</v>
      </c>
      <c r="AK10" s="382">
        <f t="shared" si="3"/>
        <v>10717200</v>
      </c>
      <c r="AL10" s="382">
        <f t="shared" si="3"/>
        <v>1330000</v>
      </c>
      <c r="AM10" s="382">
        <f t="shared" si="3"/>
        <v>5524000</v>
      </c>
      <c r="AN10" s="382">
        <f t="shared" si="3"/>
        <v>0</v>
      </c>
      <c r="AO10" s="382">
        <f t="shared" si="3"/>
        <v>0</v>
      </c>
    </row>
    <row r="11" ht="15.75" customHeight="1">
      <c r="A11" s="372">
        <v>45268.0</v>
      </c>
      <c r="B11" s="373">
        <f>sumifs('KIDS&amp;ADULTS'!$Z$3:$Z$1997,'KIDS&amp;ADULTS'!$V$3:$V$1997,A11,'KIDS&amp;ADULTS'!$M$3:$M$1997,$B$3)</f>
        <v>0</v>
      </c>
      <c r="C11" s="373">
        <f>sumifs('KIDS&amp;ADULTS'!$Z$3:$Z$1997,'KIDS&amp;ADULTS'!$V$3:$V$1997,A11,'KIDS&amp;ADULTS'!$M$3:$M$1997,"phương")</f>
        <v>0</v>
      </c>
      <c r="D11" s="373">
        <f>sumifs('KIDS&amp;ADULTS'!$Z$3:$Z$1997,'KIDS&amp;ADULTS'!$V$3:$V$1997,A11,'KIDS&amp;ADULTS'!$M$3:$M$1997,$D$3)</f>
        <v>0</v>
      </c>
      <c r="E11" s="373">
        <f>sumifs('KIDS&amp;ADULTS'!$Z$3:$Z$1997,'KIDS&amp;ADULTS'!$V$3:$V$1997,A11,'KIDS&amp;ADULTS'!$M$3:$M$1997,"Ánh")</f>
        <v>11741200</v>
      </c>
      <c r="F11" s="373">
        <f>sumifs('KIDS&amp;ADULTS'!$Z$3:$Z$1997,'KIDS&amp;ADULTS'!$V$3:$V$1997,A11,'KIDS&amp;ADULTS'!$M$3:$M$1997,"Loan")</f>
        <v>0</v>
      </c>
      <c r="G11" s="373">
        <f t="shared" si="1"/>
        <v>11741200</v>
      </c>
      <c r="J11" s="372">
        <v>45268.0</v>
      </c>
      <c r="K11" s="374"/>
      <c r="L11" s="374">
        <f>COUNTIFS('KIDS&amp;ADULTS'!$A$3:$A$12008,J11,'KIDS&amp;ADULTS'!$B$3:$B$12008,$L$3)</f>
        <v>0</v>
      </c>
      <c r="M11" s="374">
        <f>COUNTIFS('KIDS&amp;ADULTS'!$A$3:$A$12008,J11,'KIDS&amp;ADULTS'!$B$3:$B$12008,$M$3)</f>
        <v>0</v>
      </c>
      <c r="N11" s="374">
        <f>COUNTIFS('KIDS&amp;ADULTS'!$A$3:$A$12008,J11,'KIDS&amp;ADULTS'!$B$3:$B$12008,$N$3)</f>
        <v>0</v>
      </c>
      <c r="O11" s="375">
        <f>COUNTIFS('KIDS&amp;ADULTS'!$A$3:$A$12008,J11,'KIDS&amp;ADULTS'!$B$3:$B$12008,$O$3)</f>
        <v>0</v>
      </c>
      <c r="P11" s="375">
        <f>COUNTIFS('KIDS&amp;ADULTS'!$A$3:$A$12008,J11,'KIDS&amp;ADULTS'!$B$3:$B$12008,$P$3)</f>
        <v>0</v>
      </c>
      <c r="Q11" s="375">
        <f>COUNTIFS('KIDS&amp;ADULTS'!$A$3:$A$12008,J11,'KIDS&amp;ADULTS'!$B$3:$B$12008,$Q$3)</f>
        <v>0</v>
      </c>
      <c r="R11" s="375">
        <f>COUNTIFS('KIDS&amp;ADULTS'!$A$3:$A$1008,J11,'KIDS&amp;ADULTS'!$B$3:$B$1008,$R$3)</f>
        <v>0</v>
      </c>
      <c r="S11" s="374">
        <f>COUNTIFS('KIDS&amp;ADULTS'!$A$3:$A$12008,J11,'KIDS&amp;ADULTS'!$B$3:$B$12008,$S$3)</f>
        <v>0</v>
      </c>
      <c r="V11" s="372">
        <v>45268.0</v>
      </c>
      <c r="W11" s="376">
        <f>COUNTIFS('KIDS&amp;ADULTS'!$V$3:$V$12006,V11,'KIDS&amp;ADULTS'!$B$3:$B$12006,$L$3,'KIDS&amp;ADULTS'!$N$3:$N$12006,"Đã đóng học phí")</f>
        <v>0</v>
      </c>
      <c r="X11" s="376">
        <f>COUNTIFS('KIDS&amp;ADULTS'!$V$3:$V$12006,V11,'KIDS&amp;ADULTS'!$B$3:$B12013,$X$3,'KIDS&amp;ADULTS'!$N$3:$N$12006,"Đã đóng học phí")</f>
        <v>0</v>
      </c>
      <c r="Y11" s="376">
        <f>COUNTIFS('KIDS&amp;ADULTS'!$V$3:$V$12006,V11,'KIDS&amp;ADULTS'!$B$3:$B$12006,$Y$3,'KIDS&amp;ADULTS'!$N$3:$N$12006,"Đã đóng học phí")</f>
        <v>0</v>
      </c>
      <c r="Z11" s="376">
        <f>COUNTIFS('KIDS&amp;ADULTS'!$V$3:$V$12006,V11,'KIDS&amp;ADULTS'!$B$3:$B$12006,$Z$3,'KIDS&amp;ADULTS'!$N$3:$N$12006,"Đã đóng học phí")</f>
        <v>1</v>
      </c>
      <c r="AA11" s="376">
        <f>COUNTIFS('KIDS&amp;ADULTS'!$V$3:$V$12006,V11,'KIDS&amp;ADULTS'!$B$3:$B$12006,$AA$3,'KIDS&amp;ADULTS'!$N$3:$N$12006,"Đã đóng học phí")</f>
        <v>1</v>
      </c>
      <c r="AB11" s="376">
        <f>COUNTIFS('KIDS&amp;ADULTS'!$V$3:$V$12006,V11,'KIDS&amp;ADULTS'!$B$3:$B$12006,$AB$3,'KIDS&amp;ADULTS'!$N$3:$N$12006,"Đã đóng học phí")</f>
        <v>0</v>
      </c>
      <c r="AC11" s="376">
        <f>COUNTIFS('KIDS&amp;ADULTS'!$V$3:$V$12006,V11,'KIDS&amp;ADULTS'!$B$3:$B$12006,$AC$3,'KIDS&amp;ADULTS'!$N$3:$N$12006,"Đã đóng học phí")</f>
        <v>0</v>
      </c>
      <c r="AD11" s="376">
        <f>COUNTIFS('KIDS&amp;ADULTS'!$V$3:$V$12006,V11,'KIDS&amp;ADULTS'!$B$3:$B$12006,$AD$3,'KIDS&amp;ADULTS'!$N$3:$N$12006,"Đã đóng học phí")</f>
        <v>0</v>
      </c>
    </row>
    <row r="12" ht="15.75" customHeight="1">
      <c r="A12" s="372">
        <v>45269.0</v>
      </c>
      <c r="B12" s="373">
        <f>sumifs('KIDS&amp;ADULTS'!$Z$3:$Z$1997,'KIDS&amp;ADULTS'!$V$3:$V$1997,A12,'KIDS&amp;ADULTS'!$M$3:$M$1997,$B$3)</f>
        <v>0</v>
      </c>
      <c r="C12" s="373">
        <f>sumifs('KIDS&amp;ADULTS'!$Z$3:$Z$1997,'KIDS&amp;ADULTS'!$V$3:$V$1997,A12,'KIDS&amp;ADULTS'!$M$3:$M$1997,"phương")</f>
        <v>0</v>
      </c>
      <c r="D12" s="373">
        <f>sumifs('KIDS&amp;ADULTS'!$Z$3:$Z$1997,'KIDS&amp;ADULTS'!$V$3:$V$1997,A12,'KIDS&amp;ADULTS'!$M$3:$M$1997,$D$3)</f>
        <v>0</v>
      </c>
      <c r="E12" s="373">
        <f>sumifs('KIDS&amp;ADULTS'!$Z$3:$Z$1997,'KIDS&amp;ADULTS'!$V$3:$V$1997,A12,'KIDS&amp;ADULTS'!$M$3:$M$1997,"Ánh")</f>
        <v>0</v>
      </c>
      <c r="F12" s="373">
        <f>sumifs('KIDS&amp;ADULTS'!$Z$3:$Z$1997,'KIDS&amp;ADULTS'!$V$3:$V$1997,A12,'KIDS&amp;ADULTS'!$M$3:$M$1997,"Loan")</f>
        <v>0</v>
      </c>
      <c r="G12" s="373">
        <f t="shared" si="1"/>
        <v>0</v>
      </c>
      <c r="J12" s="372">
        <v>45269.0</v>
      </c>
      <c r="K12" s="374"/>
      <c r="L12" s="374">
        <f>COUNTIFS('KIDS&amp;ADULTS'!$A$3:$A$12008,J12,'KIDS&amp;ADULTS'!$B$3:$B$12008,$L$3)</f>
        <v>0</v>
      </c>
      <c r="M12" s="374">
        <f>COUNTIFS('KIDS&amp;ADULTS'!$A$3:$A$12008,J12,'KIDS&amp;ADULTS'!$B$3:$B$12008,$M$3)</f>
        <v>0</v>
      </c>
      <c r="N12" s="374">
        <f>COUNTIFS('KIDS&amp;ADULTS'!$A$3:$A$12008,J12,'KIDS&amp;ADULTS'!$B$3:$B$12008,$N$3)</f>
        <v>0</v>
      </c>
      <c r="O12" s="375">
        <f>COUNTIFS('KIDS&amp;ADULTS'!$A$3:$A$12008,J12,'KIDS&amp;ADULTS'!$B$3:$B$12008,$O$3)</f>
        <v>0</v>
      </c>
      <c r="P12" s="375">
        <f>COUNTIFS('KIDS&amp;ADULTS'!$A$3:$A$12008,J12,'KIDS&amp;ADULTS'!$B$3:$B$12008,$P$3)</f>
        <v>0</v>
      </c>
      <c r="Q12" s="375">
        <f>COUNTIFS('KIDS&amp;ADULTS'!$A$3:$A$12008,J12,'KIDS&amp;ADULTS'!$B$3:$B$12008,$Q$3)</f>
        <v>0</v>
      </c>
      <c r="R12" s="375">
        <f>COUNTIFS('KIDS&amp;ADULTS'!$A$3:$A$1008,J12,'KIDS&amp;ADULTS'!$B$3:$B$1008,$R$3)</f>
        <v>0</v>
      </c>
      <c r="S12" s="374">
        <f>COUNTIFS('KIDS&amp;ADULTS'!$A$3:$A$12008,J12,'KIDS&amp;ADULTS'!$B$3:$B$12008,$S$3)</f>
        <v>0</v>
      </c>
      <c r="V12" s="372">
        <v>45269.0</v>
      </c>
      <c r="W12" s="376">
        <f>COUNTIFS('KIDS&amp;ADULTS'!$V$3:$V$12006,V12,'KIDS&amp;ADULTS'!$B$3:$B$12006,$L$3,'KIDS&amp;ADULTS'!$N$3:$N$12006,"Đã đóng học phí")</f>
        <v>0</v>
      </c>
      <c r="X12" s="376">
        <f>COUNTIFS('KIDS&amp;ADULTS'!$V$3:$V$12006,V12,'KIDS&amp;ADULTS'!$B$3:$B12014,$X$3,'KIDS&amp;ADULTS'!$N$3:$N$12006,"Đã đóng học phí")</f>
        <v>0</v>
      </c>
      <c r="Y12" s="376">
        <f>COUNTIFS('KIDS&amp;ADULTS'!$V$3:$V$12006,V12,'KIDS&amp;ADULTS'!$B$3:$B$12006,$Y$3,'KIDS&amp;ADULTS'!$N$3:$N$12006,"Đã đóng học phí")</f>
        <v>0</v>
      </c>
      <c r="Z12" s="376">
        <f>COUNTIFS('KIDS&amp;ADULTS'!$V$3:$V$12006,V12,'KIDS&amp;ADULTS'!$B$3:$B$12006,$Z$3,'KIDS&amp;ADULTS'!$N$3:$N$12006,"Đã đóng học phí")</f>
        <v>0</v>
      </c>
      <c r="AA12" s="376">
        <f>COUNTIFS('KIDS&amp;ADULTS'!$V$3:$V$12006,V12,'KIDS&amp;ADULTS'!$B$3:$B$12006,$AA$3,'KIDS&amp;ADULTS'!$N$3:$N$12006,"Đã đóng học phí")</f>
        <v>0</v>
      </c>
      <c r="AB12" s="376">
        <f>COUNTIFS('KIDS&amp;ADULTS'!$V$3:$V$12006,V12,'KIDS&amp;ADULTS'!$B$3:$B$12006,$AB$3,'KIDS&amp;ADULTS'!$N$3:$N$12006,"Đã đóng học phí")</f>
        <v>0</v>
      </c>
      <c r="AC12" s="376">
        <f>COUNTIFS('KIDS&amp;ADULTS'!$V$3:$V$12006,V12,'KIDS&amp;ADULTS'!$B$3:$B$12006,$AC$3,'KIDS&amp;ADULTS'!$N$3:$N$12006,"Đã đóng học phí")</f>
        <v>0</v>
      </c>
      <c r="AD12" s="376">
        <f>COUNTIFS('KIDS&amp;ADULTS'!$V$3:$V$12006,V12,'KIDS&amp;ADULTS'!$B$3:$B$12006,$AD$3,'KIDS&amp;ADULTS'!$N$3:$N$12006,"Đã đóng học phí")</f>
        <v>0</v>
      </c>
    </row>
    <row r="13" ht="15.75" customHeight="1">
      <c r="A13" s="372">
        <v>45270.0</v>
      </c>
      <c r="B13" s="373">
        <f>sumifs('KIDS&amp;ADULTS'!$Z$3:$Z$1997,'KIDS&amp;ADULTS'!$V$3:$V$1997,A13,'KIDS&amp;ADULTS'!$M$3:$M$1997,$B$3)</f>
        <v>0</v>
      </c>
      <c r="C13" s="373">
        <f>sumifs('KIDS&amp;ADULTS'!$Z$3:$Z$1997,'KIDS&amp;ADULTS'!$V$3:$V$1997,A13,'KIDS&amp;ADULTS'!$M$3:$M$1997,"phương")</f>
        <v>0</v>
      </c>
      <c r="D13" s="373">
        <f>sumifs('KIDS&amp;ADULTS'!$Z$3:$Z$1997,'KIDS&amp;ADULTS'!$V$3:$V$1997,A13,'KIDS&amp;ADULTS'!$M$3:$M$1997,$D$3)</f>
        <v>0</v>
      </c>
      <c r="E13" s="373">
        <f>sumifs('KIDS&amp;ADULTS'!$Z$3:$Z$1997,'KIDS&amp;ADULTS'!$V$3:$V$1997,A13,'KIDS&amp;ADULTS'!$M$3:$M$1997,"Ánh")</f>
        <v>0</v>
      </c>
      <c r="F13" s="373">
        <f>sumifs('KIDS&amp;ADULTS'!$Z$3:$Z$1997,'KIDS&amp;ADULTS'!$V$3:$V$1997,A13,'KIDS&amp;ADULTS'!$M$3:$M$1997,"Loan")</f>
        <v>0</v>
      </c>
      <c r="G13" s="373">
        <f t="shared" si="1"/>
        <v>0</v>
      </c>
      <c r="J13" s="372">
        <v>45270.0</v>
      </c>
      <c r="K13" s="374">
        <v>4.0</v>
      </c>
      <c r="L13" s="374">
        <f>COUNTIFS('KIDS&amp;ADULTS'!$A$3:$A$12008,J13,'KIDS&amp;ADULTS'!$B$3:$B$12008,$L$3)</f>
        <v>0</v>
      </c>
      <c r="M13" s="374">
        <f>COUNTIFS('KIDS&amp;ADULTS'!$A$3:$A$12008,J13,'KIDS&amp;ADULTS'!$B$3:$B$12008,$M$3)</f>
        <v>0</v>
      </c>
      <c r="N13" s="374">
        <f>COUNTIFS('KIDS&amp;ADULTS'!$A$3:$A$12008,J13,'KIDS&amp;ADULTS'!$B$3:$B$12008,$N$3)</f>
        <v>0</v>
      </c>
      <c r="O13" s="375">
        <f>COUNTIFS('KIDS&amp;ADULTS'!$A$3:$A$12008,J13,'KIDS&amp;ADULTS'!$B$3:$B$12008,$O$3)</f>
        <v>0</v>
      </c>
      <c r="P13" s="375">
        <f>COUNTIFS('KIDS&amp;ADULTS'!$A$3:$A$12008,J13,'KIDS&amp;ADULTS'!$B$3:$B$12008,$P$3)</f>
        <v>0</v>
      </c>
      <c r="Q13" s="375">
        <f>COUNTIFS('KIDS&amp;ADULTS'!$A$3:$A$12008,J13,'KIDS&amp;ADULTS'!$B$3:$B$12008,$Q$3)</f>
        <v>0</v>
      </c>
      <c r="R13" s="375">
        <f>COUNTIFS('KIDS&amp;ADULTS'!$A$3:$A$1008,J13,'KIDS&amp;ADULTS'!$B$3:$B$1008,$R$3)</f>
        <v>0</v>
      </c>
      <c r="S13" s="374">
        <f>COUNTIFS('KIDS&amp;ADULTS'!$A$3:$A$12008,J13,'KIDS&amp;ADULTS'!$B$3:$B$12008,$S$3)</f>
        <v>0</v>
      </c>
      <c r="V13" s="372">
        <v>45270.0</v>
      </c>
      <c r="W13" s="376">
        <f>COUNTIFS('KIDS&amp;ADULTS'!$V$3:$V$12006,V13,'KIDS&amp;ADULTS'!$B$3:$B$12006,$L$3,'KIDS&amp;ADULTS'!$N$3:$N$12006,"Đã đóng học phí")</f>
        <v>0</v>
      </c>
      <c r="X13" s="376">
        <f>COUNTIFS('KIDS&amp;ADULTS'!$V$3:$V$12006,V13,'KIDS&amp;ADULTS'!$B$3:$B12015,$X$3,'KIDS&amp;ADULTS'!$N$3:$N$12006,"Đã đóng học phí")</f>
        <v>0</v>
      </c>
      <c r="Y13" s="376">
        <f>COUNTIFS('KIDS&amp;ADULTS'!$V$3:$V$12006,V13,'KIDS&amp;ADULTS'!$B$3:$B$12006,$Y$3,'KIDS&amp;ADULTS'!$N$3:$N$12006,"Đã đóng học phí")</f>
        <v>0</v>
      </c>
      <c r="Z13" s="376">
        <f>COUNTIFS('KIDS&amp;ADULTS'!$V$3:$V$12006,V13,'KIDS&amp;ADULTS'!$B$3:$B$12006,$Z$3,'KIDS&amp;ADULTS'!$N$3:$N$12006,"Đã đóng học phí")</f>
        <v>0</v>
      </c>
      <c r="AA13" s="376">
        <f>COUNTIFS('KIDS&amp;ADULTS'!$V$3:$V$12006,V13,'KIDS&amp;ADULTS'!$B$3:$B$12006,$AA$3,'KIDS&amp;ADULTS'!$N$3:$N$12006,"Đã đóng học phí")</f>
        <v>0</v>
      </c>
      <c r="AB13" s="376">
        <f>COUNTIFS('KIDS&amp;ADULTS'!$V$3:$V$12006,V13,'KIDS&amp;ADULTS'!$B$3:$B$12006,$AB$3,'KIDS&amp;ADULTS'!$N$3:$N$12006,"Đã đóng học phí")</f>
        <v>0</v>
      </c>
      <c r="AC13" s="376">
        <f>COUNTIFS('KIDS&amp;ADULTS'!$V$3:$V$12006,V13,'KIDS&amp;ADULTS'!$B$3:$B$12006,$AC$3,'KIDS&amp;ADULTS'!$N$3:$N$12006,"Đã đóng học phí")</f>
        <v>0</v>
      </c>
      <c r="AD13" s="376">
        <f>COUNTIFS('KIDS&amp;ADULTS'!$V$3:$V$12006,V13,'KIDS&amp;ADULTS'!$B$3:$B$12006,$AD$3,'KIDS&amp;ADULTS'!$N$3:$N$12006,"Đã đóng học phí")</f>
        <v>0</v>
      </c>
    </row>
    <row r="14" ht="15.75" customHeight="1">
      <c r="A14" s="372">
        <v>45271.0</v>
      </c>
      <c r="B14" s="373">
        <f>sumifs('KIDS&amp;ADULTS'!$Z$3:$Z$1997,'KIDS&amp;ADULTS'!$V$3:$V$1997,A14,'KIDS&amp;ADULTS'!$M$3:$M$1997,$B$3)</f>
        <v>0</v>
      </c>
      <c r="C14" s="373">
        <f>sumifs('KIDS&amp;ADULTS'!$Z$3:$Z$1997,'KIDS&amp;ADULTS'!$V$3:$V$1997,A14,'KIDS&amp;ADULTS'!$M$3:$M$1997,"phương")</f>
        <v>0</v>
      </c>
      <c r="D14" s="373">
        <f>sumifs('KIDS&amp;ADULTS'!$Z$3:$Z$1997,'KIDS&amp;ADULTS'!$V$3:$V$1997,A14,'KIDS&amp;ADULTS'!$M$3:$M$1997,$D$3)</f>
        <v>0</v>
      </c>
      <c r="E14" s="373">
        <f>sumifs('KIDS&amp;ADULTS'!$Z$3:$Z$1997,'KIDS&amp;ADULTS'!$V$3:$V$1997,A14,'KIDS&amp;ADULTS'!$M$3:$M$1997,"Ánh")</f>
        <v>0</v>
      </c>
      <c r="F14" s="373">
        <f>sumifs('KIDS&amp;ADULTS'!$Z$3:$Z$1997,'KIDS&amp;ADULTS'!$V$3:$V$1997,A14,'KIDS&amp;ADULTS'!$M$3:$M$1997,"Loan")</f>
        <v>0</v>
      </c>
      <c r="G14" s="373">
        <f t="shared" si="1"/>
        <v>0</v>
      </c>
      <c r="J14" s="372">
        <v>45271.0</v>
      </c>
      <c r="K14" s="374">
        <v>1.0</v>
      </c>
      <c r="L14" s="374">
        <f>COUNTIFS('KIDS&amp;ADULTS'!$A$3:$A$12008,J14,'KIDS&amp;ADULTS'!$B$3:$B$12008,$L$3)</f>
        <v>0</v>
      </c>
      <c r="M14" s="374">
        <f>COUNTIFS('KIDS&amp;ADULTS'!$A$3:$A$12008,J14,'KIDS&amp;ADULTS'!$B$3:$B$12008,$M$3)</f>
        <v>0</v>
      </c>
      <c r="N14" s="374">
        <f>COUNTIFS('KIDS&amp;ADULTS'!$A$3:$A$12008,J14,'KIDS&amp;ADULTS'!$B$3:$B$12008,$N$3)</f>
        <v>0</v>
      </c>
      <c r="O14" s="375">
        <f>COUNTIFS('KIDS&amp;ADULTS'!$A$3:$A$12008,J14,'KIDS&amp;ADULTS'!$B$3:$B$12008,$O$3)</f>
        <v>0</v>
      </c>
      <c r="P14" s="375">
        <f>COUNTIFS('KIDS&amp;ADULTS'!$A$3:$A$12008,J14,'KIDS&amp;ADULTS'!$B$3:$B$12008,$P$3)</f>
        <v>0</v>
      </c>
      <c r="Q14" s="375">
        <f>COUNTIFS('KIDS&amp;ADULTS'!$A$3:$A$12008,J14,'KIDS&amp;ADULTS'!$B$3:$B$12008,$Q$3)</f>
        <v>0</v>
      </c>
      <c r="R14" s="375">
        <f>COUNTIFS('KIDS&amp;ADULTS'!$A$3:$A$1008,J14,'KIDS&amp;ADULTS'!$B$3:$B$1008,$R$3)</f>
        <v>0</v>
      </c>
      <c r="S14" s="374">
        <f>COUNTIFS('KIDS&amp;ADULTS'!$A$3:$A$12008,J14,'KIDS&amp;ADULTS'!$B$3:$B$12008,$S$3)</f>
        <v>0</v>
      </c>
      <c r="V14" s="372">
        <v>45271.0</v>
      </c>
      <c r="W14" s="376">
        <f>COUNTIFS('KIDS&amp;ADULTS'!$V$3:$V$12006,V14,'KIDS&amp;ADULTS'!$B$3:$B$12006,$L$3,'KIDS&amp;ADULTS'!$N$3:$N$12006,"Đã đóng học phí")</f>
        <v>0</v>
      </c>
      <c r="X14" s="376">
        <f>COUNTIFS('KIDS&amp;ADULTS'!$V$3:$V$12006,V14,'KIDS&amp;ADULTS'!$B$3:$B12016,$X$3,'KIDS&amp;ADULTS'!$N$3:$N$12006,"Đã đóng học phí")</f>
        <v>0</v>
      </c>
      <c r="Y14" s="376">
        <f>COUNTIFS('KIDS&amp;ADULTS'!$V$3:$V$12006,V14,'KIDS&amp;ADULTS'!$B$3:$B$12006,$Y$3,'KIDS&amp;ADULTS'!$N$3:$N$12006,"Đã đóng học phí")</f>
        <v>0</v>
      </c>
      <c r="Z14" s="376">
        <f>COUNTIFS('KIDS&amp;ADULTS'!$V$3:$V$12006,V14,'KIDS&amp;ADULTS'!$B$3:$B$12006,$Z$3,'KIDS&amp;ADULTS'!$N$3:$N$12006,"Đã đóng học phí")</f>
        <v>0</v>
      </c>
      <c r="AA14" s="376">
        <f>COUNTIFS('KIDS&amp;ADULTS'!$V$3:$V$12006,V14,'KIDS&amp;ADULTS'!$B$3:$B$12006,$AA$3,'KIDS&amp;ADULTS'!$N$3:$N$12006,"Đã đóng học phí")</f>
        <v>0</v>
      </c>
      <c r="AB14" s="376">
        <f>COUNTIFS('KIDS&amp;ADULTS'!$V$3:$V$12006,V14,'KIDS&amp;ADULTS'!$B$3:$B$12006,$AB$3,'KIDS&amp;ADULTS'!$N$3:$N$12006,"Đã đóng học phí")</f>
        <v>0</v>
      </c>
      <c r="AC14" s="376">
        <f>COUNTIFS('KIDS&amp;ADULTS'!$V$3:$V$12006,V14,'KIDS&amp;ADULTS'!$B$3:$B$12006,$AC$3,'KIDS&amp;ADULTS'!$N$3:$N$12006,"Đã đóng học phí")</f>
        <v>0</v>
      </c>
      <c r="AD14" s="376">
        <f>COUNTIFS('KIDS&amp;ADULTS'!$V$3:$V$12006,V14,'KIDS&amp;ADULTS'!$B$3:$B$12006,$AD$3,'KIDS&amp;ADULTS'!$N$3:$N$12006,"Đã đóng học phí")</f>
        <v>0</v>
      </c>
    </row>
    <row r="15" ht="15.75" customHeight="1">
      <c r="A15" s="372">
        <v>45272.0</v>
      </c>
      <c r="B15" s="373">
        <f>sumifs('KIDS&amp;ADULTS'!$Z$3:$Z$1997,'KIDS&amp;ADULTS'!$V$3:$V$1997,A15,'KIDS&amp;ADULTS'!$M$3:$M$1997,$B$3)</f>
        <v>0</v>
      </c>
      <c r="C15" s="373">
        <f>sumifs('KIDS&amp;ADULTS'!$Z$3:$Z$1997,'KIDS&amp;ADULTS'!$V$3:$V$1997,A15,'KIDS&amp;ADULTS'!$M$3:$M$1997,"phương")</f>
        <v>0</v>
      </c>
      <c r="D15" s="373">
        <f>sumifs('KIDS&amp;ADULTS'!$Z$3:$Z$1997,'KIDS&amp;ADULTS'!$V$3:$V$1997,A15,'KIDS&amp;ADULTS'!$M$3:$M$1997,$D$3)</f>
        <v>0</v>
      </c>
      <c r="E15" s="373">
        <f>sumifs('KIDS&amp;ADULTS'!$Z$3:$Z$1997,'KIDS&amp;ADULTS'!$V$3:$V$1997,A15,'KIDS&amp;ADULTS'!$M$3:$M$1997,"Ánh")</f>
        <v>0</v>
      </c>
      <c r="F15" s="373">
        <f>sumifs('KIDS&amp;ADULTS'!$Z$3:$Z$1997,'KIDS&amp;ADULTS'!$V$3:$V$1997,A15,'KIDS&amp;ADULTS'!$M$3:$M$1997,"Loan")</f>
        <v>0</v>
      </c>
      <c r="G15" s="373">
        <f t="shared" si="1"/>
        <v>0</v>
      </c>
      <c r="H15" s="383">
        <v>80.0</v>
      </c>
      <c r="J15" s="372">
        <v>45272.0</v>
      </c>
      <c r="K15" s="374">
        <v>1.0</v>
      </c>
      <c r="L15" s="374">
        <f>COUNTIFS('KIDS&amp;ADULTS'!$A$3:$A$12008,J15,'KIDS&amp;ADULTS'!$B$3:$B$12008,$L$3)</f>
        <v>0</v>
      </c>
      <c r="M15" s="374">
        <f>COUNTIFS('KIDS&amp;ADULTS'!$A$3:$A$12008,J15,'KIDS&amp;ADULTS'!$B$3:$B$12008,$M$3)</f>
        <v>0</v>
      </c>
      <c r="N15" s="374">
        <f>COUNTIFS('KIDS&amp;ADULTS'!$A$3:$A$12008,J15,'KIDS&amp;ADULTS'!$B$3:$B$12008,$N$3)</f>
        <v>0</v>
      </c>
      <c r="O15" s="375">
        <f>COUNTIFS('KIDS&amp;ADULTS'!$A$3:$A$12008,J15,'KIDS&amp;ADULTS'!$B$3:$B$12008,$O$3)</f>
        <v>0</v>
      </c>
      <c r="P15" s="375">
        <f>COUNTIFS('KIDS&amp;ADULTS'!$A$3:$A$12008,J15,'KIDS&amp;ADULTS'!$B$3:$B$12008,$P$3)</f>
        <v>0</v>
      </c>
      <c r="Q15" s="375">
        <f>COUNTIFS('KIDS&amp;ADULTS'!$A$3:$A$12008,J15,'KIDS&amp;ADULTS'!$B$3:$B$12008,$Q$3)</f>
        <v>0</v>
      </c>
      <c r="R15" s="375">
        <f>COUNTIFS('KIDS&amp;ADULTS'!$A$3:$A$1008,J15,'KIDS&amp;ADULTS'!$B$3:$B$1008,$R$3)</f>
        <v>0</v>
      </c>
      <c r="S15" s="374">
        <f>COUNTIFS('KIDS&amp;ADULTS'!$A$3:$A$12008,J15,'KIDS&amp;ADULTS'!$B$3:$B$12008,$S$3)</f>
        <v>0</v>
      </c>
      <c r="V15" s="372">
        <v>45272.0</v>
      </c>
      <c r="W15" s="376">
        <f>COUNTIFS('KIDS&amp;ADULTS'!$V$3:$V$12006,V15,'KIDS&amp;ADULTS'!$B$3:$B$12006,$L$3,'KIDS&amp;ADULTS'!$N$3:$N$12006,"Đã đóng học phí")</f>
        <v>0</v>
      </c>
      <c r="X15" s="376">
        <f>COUNTIFS('KIDS&amp;ADULTS'!$V$3:$V$12006,V15,'KIDS&amp;ADULTS'!$B$3:$B12017,$X$3,'KIDS&amp;ADULTS'!$N$3:$N$12006,"Đã đóng học phí")</f>
        <v>0</v>
      </c>
      <c r="Y15" s="376">
        <f>COUNTIFS('KIDS&amp;ADULTS'!$V$3:$V$12006,V15,'KIDS&amp;ADULTS'!$B$3:$B$12006,$Y$3,'KIDS&amp;ADULTS'!$N$3:$N$12006,"Đã đóng học phí")</f>
        <v>0</v>
      </c>
      <c r="Z15" s="376">
        <f>COUNTIFS('KIDS&amp;ADULTS'!$V$3:$V$12006,V15,'KIDS&amp;ADULTS'!$B$3:$B$12006,$Z$3,'KIDS&amp;ADULTS'!$N$3:$N$12006,"Đã đóng học phí")</f>
        <v>0</v>
      </c>
      <c r="AA15" s="376">
        <f>COUNTIFS('KIDS&amp;ADULTS'!$V$3:$V$12006,V15,'KIDS&amp;ADULTS'!$B$3:$B$12006,$AA$3,'KIDS&amp;ADULTS'!$N$3:$N$12006,"Đã đóng học phí")</f>
        <v>0</v>
      </c>
      <c r="AB15" s="376">
        <f>COUNTIFS('KIDS&amp;ADULTS'!$V$3:$V$12006,V15,'KIDS&amp;ADULTS'!$B$3:$B$12006,$AB$3,'KIDS&amp;ADULTS'!$N$3:$N$12006,"Đã đóng học phí")</f>
        <v>0</v>
      </c>
      <c r="AC15" s="376">
        <f>COUNTIFS('KIDS&amp;ADULTS'!$V$3:$V$12006,V15,'KIDS&amp;ADULTS'!$B$3:$B$12006,$AC$3,'KIDS&amp;ADULTS'!$N$3:$N$12006,"Đã đóng học phí")</f>
        <v>0</v>
      </c>
      <c r="AD15" s="376">
        <f>COUNTIFS('KIDS&amp;ADULTS'!$V$3:$V$12006,V15,'KIDS&amp;ADULTS'!$B$3:$B$12006,$AD$3,'KIDS&amp;ADULTS'!$N$3:$N$12006,"Đã đóng học phí")</f>
        <v>0</v>
      </c>
    </row>
    <row r="16" ht="15.75" customHeight="1">
      <c r="A16" s="372">
        <v>45273.0</v>
      </c>
      <c r="B16" s="373">
        <f>sumifs('KIDS&amp;ADULTS'!$Z$3:$Z$1997,'KIDS&amp;ADULTS'!$V$3:$V$1997,A16,'KIDS&amp;ADULTS'!$M$3:$M$1997,$B$3)</f>
        <v>0</v>
      </c>
      <c r="C16" s="373">
        <f>sumifs('KIDS&amp;ADULTS'!$Z$3:$Z$1997,'KIDS&amp;ADULTS'!$V$3:$V$1997,A16,'KIDS&amp;ADULTS'!$M$3:$M$1997,"phương")</f>
        <v>0</v>
      </c>
      <c r="D16" s="373">
        <f>sumifs('KIDS&amp;ADULTS'!$Z$3:$Z$1997,'KIDS&amp;ADULTS'!$V$3:$V$1997,A16,'KIDS&amp;ADULTS'!$M$3:$M$1997,$D$3)</f>
        <v>0</v>
      </c>
      <c r="E16" s="373">
        <f>sumifs('KIDS&amp;ADULTS'!$Z$3:$Z$1997,'KIDS&amp;ADULTS'!$V$3:$V$1997,A16,'KIDS&amp;ADULTS'!$M$3:$M$1997,"Ánh")</f>
        <v>5511600</v>
      </c>
      <c r="F16" s="373">
        <f>sumifs('KIDS&amp;ADULTS'!$Z$3:$Z$1997,'KIDS&amp;ADULTS'!$V$3:$V$1997,A16,'KIDS&amp;ADULTS'!$M$3:$M$1997,"Loan")</f>
        <v>0</v>
      </c>
      <c r="G16" s="373">
        <f t="shared" si="1"/>
        <v>5511600</v>
      </c>
      <c r="H16" s="383">
        <v>60.0</v>
      </c>
      <c r="J16" s="372">
        <v>45273.0</v>
      </c>
      <c r="K16" s="374">
        <v>1.0</v>
      </c>
      <c r="L16" s="374">
        <f>COUNTIFS('KIDS&amp;ADULTS'!$A$3:$A$12008,J16,'KIDS&amp;ADULTS'!$B$3:$B$12008,$L$3)</f>
        <v>0</v>
      </c>
      <c r="M16" s="374">
        <f>COUNTIFS('KIDS&amp;ADULTS'!$A$3:$A$12008,J16,'KIDS&amp;ADULTS'!$B$3:$B$12008,$M$3)</f>
        <v>0</v>
      </c>
      <c r="N16" s="374">
        <f>COUNTIFS('KIDS&amp;ADULTS'!$A$3:$A$12008,J16,'KIDS&amp;ADULTS'!$B$3:$B$12008,$N$3)</f>
        <v>0</v>
      </c>
      <c r="O16" s="375">
        <f>COUNTIFS('KIDS&amp;ADULTS'!$A$3:$A$12008,J16,'KIDS&amp;ADULTS'!$B$3:$B$12008,$O$3)</f>
        <v>0</v>
      </c>
      <c r="P16" s="375">
        <f>COUNTIFS('KIDS&amp;ADULTS'!$A$3:$A$12008,J16,'KIDS&amp;ADULTS'!$B$3:$B$12008,$P$3)</f>
        <v>0</v>
      </c>
      <c r="Q16" s="375">
        <f>COUNTIFS('KIDS&amp;ADULTS'!$A$3:$A$12008,J16,'KIDS&amp;ADULTS'!$B$3:$B$12008,$Q$3)</f>
        <v>0</v>
      </c>
      <c r="R16" s="375">
        <f>COUNTIFS('KIDS&amp;ADULTS'!$A$3:$A$1008,J16,'KIDS&amp;ADULTS'!$B$3:$B$1008,$R$3)</f>
        <v>0</v>
      </c>
      <c r="S16" s="374">
        <f>COUNTIFS('KIDS&amp;ADULTS'!$A$3:$A$12008,J16,'KIDS&amp;ADULTS'!$B$3:$B$12008,$S$3)</f>
        <v>0</v>
      </c>
      <c r="V16" s="372">
        <v>45273.0</v>
      </c>
      <c r="W16" s="376">
        <f>COUNTIFS('KIDS&amp;ADULTS'!$V$3:$V$12006,V16,'KIDS&amp;ADULTS'!$B$3:$B$12006,$L$3,'KIDS&amp;ADULTS'!$N$3:$N$12006,"Đã đóng học phí")</f>
        <v>0</v>
      </c>
      <c r="X16" s="376">
        <f>COUNTIFS('KIDS&amp;ADULTS'!$V$3:$V$12006,V16,'KIDS&amp;ADULTS'!$B$3:$B12018,$X$3,'KIDS&amp;ADULTS'!$N$3:$N$12006,"Đã đóng học phí")</f>
        <v>0</v>
      </c>
      <c r="Y16" s="376">
        <f>COUNTIFS('KIDS&amp;ADULTS'!$V$3:$V$12006,V16,'KIDS&amp;ADULTS'!$B$3:$B$12006,$Y$3,'KIDS&amp;ADULTS'!$N$3:$N$12006,"Đã đóng học phí")</f>
        <v>0</v>
      </c>
      <c r="Z16" s="376">
        <f>COUNTIFS('KIDS&amp;ADULTS'!$V$3:$V$12006,V16,'KIDS&amp;ADULTS'!$B$3:$B$12006,$Z$3,'KIDS&amp;ADULTS'!$N$3:$N$12006,"Đã đóng học phí")</f>
        <v>0</v>
      </c>
      <c r="AA16" s="376">
        <f>COUNTIFS('KIDS&amp;ADULTS'!$V$3:$V$12006,V16,'KIDS&amp;ADULTS'!$B$3:$B$12006,$AA$3,'KIDS&amp;ADULTS'!$N$3:$N$12006,"Đã đóng học phí")</f>
        <v>0</v>
      </c>
      <c r="AB16" s="376">
        <f>COUNTIFS('KIDS&amp;ADULTS'!$V$3:$V$12006,V16,'KIDS&amp;ADULTS'!$B$3:$B$12006,$AB$3,'KIDS&amp;ADULTS'!$N$3:$N$12006,"Đã đóng học phí")</f>
        <v>0</v>
      </c>
      <c r="AC16" s="376">
        <f>COUNTIFS('KIDS&amp;ADULTS'!$V$3:$V$12006,V16,'KIDS&amp;ADULTS'!$B$3:$B$12006,$AC$3,'KIDS&amp;ADULTS'!$N$3:$N$12006,"Đã đóng học phí")</f>
        <v>0</v>
      </c>
      <c r="AD16" s="376">
        <f>COUNTIFS('KIDS&amp;ADULTS'!$V$3:$V$12006,V16,'KIDS&amp;ADULTS'!$B$3:$B$12006,$AD$3,'KIDS&amp;ADULTS'!$N$3:$N$12006,"Đã đóng học phí")</f>
        <v>0</v>
      </c>
    </row>
    <row r="17" ht="15.75" customHeight="1">
      <c r="A17" s="372">
        <v>45274.0</v>
      </c>
      <c r="B17" s="373">
        <f>sumifs('KIDS&amp;ADULTS'!$Z$3:$Z$1997,'KIDS&amp;ADULTS'!$V$3:$V$1997,A17,'KIDS&amp;ADULTS'!$M$3:$M$1997,$B$3)</f>
        <v>0</v>
      </c>
      <c r="C17" s="373">
        <f>sumifs('KIDS&amp;ADULTS'!$Z$3:$Z$1997,'KIDS&amp;ADULTS'!$V$3:$V$1997,A17,'KIDS&amp;ADULTS'!$M$3:$M$1997,"phương")</f>
        <v>0</v>
      </c>
      <c r="D17" s="373">
        <f>sumifs('KIDS&amp;ADULTS'!$Z$3:$Z$1997,'KIDS&amp;ADULTS'!$V$3:$V$1997,A17,'KIDS&amp;ADULTS'!$M$3:$M$1997,$D$3)</f>
        <v>0</v>
      </c>
      <c r="E17" s="373">
        <f>sumifs('KIDS&amp;ADULTS'!$Z$3:$Z$1997,'KIDS&amp;ADULTS'!$V$3:$V$1997,A17,'KIDS&amp;ADULTS'!$M$3:$M$1997,"Ánh")</f>
        <v>0</v>
      </c>
      <c r="F17" s="373">
        <f>sumifs('KIDS&amp;ADULTS'!$Z$3:$Z$1997,'KIDS&amp;ADULTS'!$V$3:$V$1997,A17,'KIDS&amp;ADULTS'!$M$3:$M$1997,"Loan")</f>
        <v>0</v>
      </c>
      <c r="G17" s="373">
        <f t="shared" si="1"/>
        <v>0</v>
      </c>
      <c r="H17" s="383">
        <f>300/0.6/0.8</f>
        <v>625</v>
      </c>
      <c r="J17" s="372">
        <v>45274.0</v>
      </c>
      <c r="K17" s="374">
        <v>2.0</v>
      </c>
      <c r="L17" s="374">
        <f>COUNTIFS('KIDS&amp;ADULTS'!$A$3:$A$12008,J17,'KIDS&amp;ADULTS'!$B$3:$B$12008,$L$3)</f>
        <v>0</v>
      </c>
      <c r="M17" s="374">
        <f>COUNTIFS('KIDS&amp;ADULTS'!$A$3:$A$12008,J17,'KIDS&amp;ADULTS'!$B$3:$B$12008,$M$3)</f>
        <v>0</v>
      </c>
      <c r="N17" s="374">
        <f>COUNTIFS('KIDS&amp;ADULTS'!$A$3:$A$12008,J17,'KIDS&amp;ADULTS'!$B$3:$B$12008,$N$3)</f>
        <v>0</v>
      </c>
      <c r="O17" s="375">
        <f>COUNTIFS('KIDS&amp;ADULTS'!$A$3:$A$12008,J17,'KIDS&amp;ADULTS'!$B$3:$B$12008,$O$3)</f>
        <v>0</v>
      </c>
      <c r="P17" s="375">
        <f>COUNTIFS('KIDS&amp;ADULTS'!$A$3:$A$12008,J17,'KIDS&amp;ADULTS'!$B$3:$B$12008,$P$3)</f>
        <v>0</v>
      </c>
      <c r="Q17" s="375">
        <f>COUNTIFS('KIDS&amp;ADULTS'!$A$3:$A$12008,J17,'KIDS&amp;ADULTS'!$B$3:$B$12008,$Q$3)</f>
        <v>0</v>
      </c>
      <c r="R17" s="375">
        <f>COUNTIFS('KIDS&amp;ADULTS'!$A$3:$A$1008,J17,'KIDS&amp;ADULTS'!$B$3:$B$1008,$R$3)</f>
        <v>0</v>
      </c>
      <c r="S17" s="374">
        <f>COUNTIFS('KIDS&amp;ADULTS'!$A$3:$A$12008,J17,'KIDS&amp;ADULTS'!$B$3:$B$12008,$S$3)</f>
        <v>0</v>
      </c>
      <c r="V17" s="372">
        <v>45274.0</v>
      </c>
      <c r="W17" s="376">
        <f>COUNTIFS('KIDS&amp;ADULTS'!$V$3:$V$12006,V17,'KIDS&amp;ADULTS'!$B$3:$B$12006,$L$3,'KIDS&amp;ADULTS'!$N$3:$N$12006,"Đã đóng học phí")</f>
        <v>0</v>
      </c>
      <c r="X17" s="376">
        <f>COUNTIFS('KIDS&amp;ADULTS'!$V$3:$V$12006,V17,'KIDS&amp;ADULTS'!$B$3:$B12019,$X$3,'KIDS&amp;ADULTS'!$N$3:$N$12006,"Đã đóng học phí")</f>
        <v>0</v>
      </c>
      <c r="Y17" s="376">
        <f>COUNTIFS('KIDS&amp;ADULTS'!$V$3:$V$12006,V17,'KIDS&amp;ADULTS'!$B$3:$B$12006,$Y$3,'KIDS&amp;ADULTS'!$N$3:$N$12006,"Đã đóng học phí")</f>
        <v>0</v>
      </c>
      <c r="Z17" s="376">
        <f>COUNTIFS('KIDS&amp;ADULTS'!$V$3:$V$12006,V17,'KIDS&amp;ADULTS'!$B$3:$B$12006,$Z$3,'KIDS&amp;ADULTS'!$N$3:$N$12006,"Đã đóng học phí")</f>
        <v>0</v>
      </c>
      <c r="AA17" s="376">
        <f>COUNTIFS('KIDS&amp;ADULTS'!$V$3:$V$12006,V17,'KIDS&amp;ADULTS'!$B$3:$B$12006,$AA$3,'KIDS&amp;ADULTS'!$N$3:$N$12006,"Đã đóng học phí")</f>
        <v>0</v>
      </c>
      <c r="AB17" s="376">
        <f>COUNTIFS('KIDS&amp;ADULTS'!$V$3:$V$12006,V17,'KIDS&amp;ADULTS'!$B$3:$B$12006,$AB$3,'KIDS&amp;ADULTS'!$N$3:$N$12006,"Đã đóng học phí")</f>
        <v>0</v>
      </c>
      <c r="AC17" s="376">
        <f>COUNTIFS('KIDS&amp;ADULTS'!$V$3:$V$12006,V17,'KIDS&amp;ADULTS'!$B$3:$B$12006,$AC$3,'KIDS&amp;ADULTS'!$N$3:$N$12006,"Đã đóng học phí")</f>
        <v>0</v>
      </c>
      <c r="AD17" s="376">
        <f>COUNTIFS('KIDS&amp;ADULTS'!$V$3:$V$12006,V17,'KIDS&amp;ADULTS'!$B$3:$B$12006,$AD$3,'KIDS&amp;ADULTS'!$N$3:$N$12006,"Đã đóng học phí")</f>
        <v>0</v>
      </c>
    </row>
    <row r="18" ht="15.75" customHeight="1">
      <c r="A18" s="372">
        <v>45275.0</v>
      </c>
      <c r="B18" s="373">
        <f>sumifs('KIDS&amp;ADULTS'!$Z$3:$Z$1997,'KIDS&amp;ADULTS'!$V$3:$V$1997,A18,'KIDS&amp;ADULTS'!$M$3:$M$1997,$B$3)</f>
        <v>0</v>
      </c>
      <c r="C18" s="373">
        <f>sumifs('KIDS&amp;ADULTS'!$Z$3:$Z$1997,'KIDS&amp;ADULTS'!$V$3:$V$1997,A18,'KIDS&amp;ADULTS'!$M$3:$M$1997,"phương")</f>
        <v>0</v>
      </c>
      <c r="D18" s="373">
        <f>sumifs('KIDS&amp;ADULTS'!$Z$3:$Z$1997,'KIDS&amp;ADULTS'!$V$3:$V$1997,A18,'KIDS&amp;ADULTS'!$M$3:$M$1997,$D$3)</f>
        <v>0</v>
      </c>
      <c r="E18" s="373">
        <f>sumifs('KIDS&amp;ADULTS'!$Z$3:$Z$1997,'KIDS&amp;ADULTS'!$V$3:$V$1997,A18,'KIDS&amp;ADULTS'!$M$3:$M$1997,"Ánh")</f>
        <v>5524000</v>
      </c>
      <c r="F18" s="373">
        <f>sumifs('KIDS&amp;ADULTS'!$Z$3:$Z$1997,'KIDS&amp;ADULTS'!$V$3:$V$1997,A18,'KIDS&amp;ADULTS'!$M$3:$M$1997,"Loan")</f>
        <v>0</v>
      </c>
      <c r="G18" s="373">
        <f t="shared" si="1"/>
        <v>5524000</v>
      </c>
      <c r="J18" s="372">
        <v>45275.0</v>
      </c>
      <c r="K18" s="374">
        <v>2.0</v>
      </c>
      <c r="L18" s="374">
        <f>COUNTIFS('KIDS&amp;ADULTS'!$A$3:$A$12008,J18,'KIDS&amp;ADULTS'!$B$3:$B$12008,$L$3)</f>
        <v>0</v>
      </c>
      <c r="M18" s="374">
        <f>COUNTIFS('KIDS&amp;ADULTS'!$A$3:$A$12008,J18,'KIDS&amp;ADULTS'!$B$3:$B$12008,$M$3)</f>
        <v>0</v>
      </c>
      <c r="N18" s="374">
        <f>COUNTIFS('KIDS&amp;ADULTS'!$A$3:$A$12008,J18,'KIDS&amp;ADULTS'!$B$3:$B$12008,$N$3)</f>
        <v>0</v>
      </c>
      <c r="O18" s="375">
        <f>COUNTIFS('KIDS&amp;ADULTS'!$A$3:$A$12008,J18,'KIDS&amp;ADULTS'!$B$3:$B$12008,$O$3)</f>
        <v>0</v>
      </c>
      <c r="P18" s="375">
        <f>COUNTIFS('KIDS&amp;ADULTS'!$A$3:$A$12008,J18,'KIDS&amp;ADULTS'!$B$3:$B$12008,$P$3)</f>
        <v>0</v>
      </c>
      <c r="Q18" s="375">
        <f>COUNTIFS('KIDS&amp;ADULTS'!$A$3:$A$12008,J18,'KIDS&amp;ADULTS'!$B$3:$B$12008,$Q$3)</f>
        <v>0</v>
      </c>
      <c r="R18" s="375">
        <f>COUNTIFS('KIDS&amp;ADULTS'!$A$3:$A$1008,J18,'KIDS&amp;ADULTS'!$B$3:$B$1008,$R$3)</f>
        <v>0</v>
      </c>
      <c r="S18" s="374">
        <f>COUNTIFS('KIDS&amp;ADULTS'!$A$3:$A$12008,J18,'KIDS&amp;ADULTS'!$B$3:$B$12008,$S$3)</f>
        <v>0</v>
      </c>
      <c r="V18" s="372">
        <v>45275.0</v>
      </c>
      <c r="W18" s="376">
        <f>COUNTIFS('KIDS&amp;ADULTS'!$V$3:$V$12006,V18,'KIDS&amp;ADULTS'!$B$3:$B$12006,$L$3,'KIDS&amp;ADULTS'!$N$3:$N$12006,"Đã đóng học phí")</f>
        <v>0</v>
      </c>
      <c r="X18" s="376">
        <f>COUNTIFS('KIDS&amp;ADULTS'!$V$3:$V$12006,V18,'KIDS&amp;ADULTS'!$B$3:$B12020,$X$3,'KIDS&amp;ADULTS'!$N$3:$N$12006,"Đã đóng học phí")</f>
        <v>0</v>
      </c>
      <c r="Y18" s="376">
        <f>COUNTIFS('KIDS&amp;ADULTS'!$V$3:$V$12006,V18,'KIDS&amp;ADULTS'!$B$3:$B$12006,$Y$3,'KIDS&amp;ADULTS'!$N$3:$N$12006,"Đã đóng học phí")</f>
        <v>0</v>
      </c>
      <c r="Z18" s="376">
        <f>COUNTIFS('KIDS&amp;ADULTS'!$V$3:$V$12006,V18,'KIDS&amp;ADULTS'!$B$3:$B$12006,$Z$3,'KIDS&amp;ADULTS'!$N$3:$N$12006,"Đã đóng học phí")</f>
        <v>0</v>
      </c>
      <c r="AA18" s="376">
        <f>COUNTIFS('KIDS&amp;ADULTS'!$V$3:$V$12006,V18,'KIDS&amp;ADULTS'!$B$3:$B$12006,$AA$3,'KIDS&amp;ADULTS'!$N$3:$N$12006,"Đã đóng học phí")</f>
        <v>0</v>
      </c>
      <c r="AB18" s="376">
        <f>COUNTIFS('KIDS&amp;ADULTS'!$V$3:$V$12006,V18,'KIDS&amp;ADULTS'!$B$3:$B$12006,$AB$3,'KIDS&amp;ADULTS'!$N$3:$N$12006,"Đã đóng học phí")</f>
        <v>0</v>
      </c>
      <c r="AC18" s="376">
        <f>COUNTIFS('KIDS&amp;ADULTS'!$V$3:$V$12006,V18,'KIDS&amp;ADULTS'!$B$3:$B$12006,$AC$3,'KIDS&amp;ADULTS'!$N$3:$N$12006,"Đã đóng học phí")</f>
        <v>0</v>
      </c>
      <c r="AD18" s="376">
        <f>COUNTIFS('KIDS&amp;ADULTS'!$V$3:$V$12006,V18,'KIDS&amp;ADULTS'!$B$3:$B$12006,$AD$3,'KIDS&amp;ADULTS'!$N$3:$N$12006,"Đã đóng học phí")</f>
        <v>0</v>
      </c>
    </row>
    <row r="19" ht="15.75" customHeight="1">
      <c r="A19" s="372">
        <v>45276.0</v>
      </c>
      <c r="B19" s="373">
        <f>sumifs('KIDS&amp;ADULTS'!$Z$3:$Z$1997,'KIDS&amp;ADULTS'!$V$3:$V$1997,A19,'KIDS&amp;ADULTS'!$M$3:$M$1997,$B$3)</f>
        <v>0</v>
      </c>
      <c r="C19" s="373">
        <f>sumifs('KIDS&amp;ADULTS'!$Z$3:$Z$1997,'KIDS&amp;ADULTS'!$V$3:$V$1997,A19,'KIDS&amp;ADULTS'!$M$3:$M$1997,"phương")</f>
        <v>0</v>
      </c>
      <c r="D19" s="373">
        <f>sumifs('KIDS&amp;ADULTS'!$Z$3:$Z$1997,'KIDS&amp;ADULTS'!$V$3:$V$1997,A19,'KIDS&amp;ADULTS'!$M$3:$M$1997,$D$3)</f>
        <v>0</v>
      </c>
      <c r="E19" s="373">
        <f>sumifs('KIDS&amp;ADULTS'!$Z$3:$Z$1997,'KIDS&amp;ADULTS'!$V$3:$V$1997,A19,'KIDS&amp;ADULTS'!$M$3:$M$1997,"Ánh")</f>
        <v>0</v>
      </c>
      <c r="F19" s="373">
        <f>sumifs('KIDS&amp;ADULTS'!$Z$3:$Z$1997,'KIDS&amp;ADULTS'!$V$3:$V$1997,A19,'KIDS&amp;ADULTS'!$M$3:$M$1997,"Loan")</f>
        <v>0</v>
      </c>
      <c r="G19" s="373">
        <f t="shared" si="1"/>
        <v>0</v>
      </c>
      <c r="J19" s="372">
        <v>45276.0</v>
      </c>
      <c r="K19" s="374">
        <v>9.0</v>
      </c>
      <c r="L19" s="374">
        <f>COUNTIFS('KIDS&amp;ADULTS'!$A$3:$A$12008,J19,'KIDS&amp;ADULTS'!$B$3:$B$12008,$L$3)</f>
        <v>0</v>
      </c>
      <c r="M19" s="374">
        <f>COUNTIFS('KIDS&amp;ADULTS'!$A$3:$A$12008,J19,'KIDS&amp;ADULTS'!$B$3:$B$12008,$M$3)</f>
        <v>0</v>
      </c>
      <c r="N19" s="374">
        <f>COUNTIFS('KIDS&amp;ADULTS'!$A$3:$A$12008,J19,'KIDS&amp;ADULTS'!$B$3:$B$12008,$N$3)</f>
        <v>0</v>
      </c>
      <c r="O19" s="375">
        <f>COUNTIFS('KIDS&amp;ADULTS'!$A$3:$A$12008,J19,'KIDS&amp;ADULTS'!$B$3:$B$12008,$O$3)</f>
        <v>0</v>
      </c>
      <c r="P19" s="375">
        <f>COUNTIFS('KIDS&amp;ADULTS'!$A$3:$A$12008,J19,'KIDS&amp;ADULTS'!$B$3:$B$12008,$P$3)</f>
        <v>0</v>
      </c>
      <c r="Q19" s="375">
        <f>COUNTIFS('KIDS&amp;ADULTS'!$A$3:$A$12008,J19,'KIDS&amp;ADULTS'!$B$3:$B$12008,$Q$3)</f>
        <v>0</v>
      </c>
      <c r="R19" s="375">
        <f>COUNTIFS('KIDS&amp;ADULTS'!$A$3:$A$1008,J19,'KIDS&amp;ADULTS'!$B$3:$B$1008,$R$3)</f>
        <v>0</v>
      </c>
      <c r="S19" s="374">
        <f>COUNTIFS('KIDS&amp;ADULTS'!$A$3:$A$12008,J19,'KIDS&amp;ADULTS'!$B$3:$B$12008,$S$3)</f>
        <v>0</v>
      </c>
      <c r="V19" s="372">
        <v>45276.0</v>
      </c>
      <c r="W19" s="376">
        <f>COUNTIFS('KIDS&amp;ADULTS'!$V$3:$V$12006,V19,'KIDS&amp;ADULTS'!$B$3:$B$12006,$L$3,'KIDS&amp;ADULTS'!$N$3:$N$12006,"Đã đóng học phí")</f>
        <v>0</v>
      </c>
      <c r="X19" s="376">
        <f>COUNTIFS('KIDS&amp;ADULTS'!$V$3:$V$12006,V19,'KIDS&amp;ADULTS'!$B$3:$B12021,$X$3,'KIDS&amp;ADULTS'!$N$3:$N$12006,"Đã đóng học phí")</f>
        <v>0</v>
      </c>
      <c r="Y19" s="376">
        <f>COUNTIFS('KIDS&amp;ADULTS'!$V$3:$V$12006,V19,'KIDS&amp;ADULTS'!$B$3:$B$12006,$Y$3,'KIDS&amp;ADULTS'!$N$3:$N$12006,"Đã đóng học phí")</f>
        <v>0</v>
      </c>
      <c r="Z19" s="376">
        <f>COUNTIFS('KIDS&amp;ADULTS'!$V$3:$V$12006,V19,'KIDS&amp;ADULTS'!$B$3:$B$12006,$Z$3,'KIDS&amp;ADULTS'!$N$3:$N$12006,"Đã đóng học phí")</f>
        <v>0</v>
      </c>
      <c r="AA19" s="376">
        <f>COUNTIFS('KIDS&amp;ADULTS'!$V$3:$V$12006,V19,'KIDS&amp;ADULTS'!$B$3:$B$12006,$AA$3,'KIDS&amp;ADULTS'!$N$3:$N$12006,"Đã đóng học phí")</f>
        <v>0</v>
      </c>
      <c r="AB19" s="376">
        <f>COUNTIFS('KIDS&amp;ADULTS'!$V$3:$V$12006,V19,'KIDS&amp;ADULTS'!$B$3:$B$12006,$AB$3,'KIDS&amp;ADULTS'!$N$3:$N$12006,"Đã đóng học phí")</f>
        <v>0</v>
      </c>
      <c r="AC19" s="376">
        <f>COUNTIFS('KIDS&amp;ADULTS'!$V$3:$V$12006,V19,'KIDS&amp;ADULTS'!$B$3:$B$12006,$AC$3,'KIDS&amp;ADULTS'!$N$3:$N$12006,"Đã đóng học phí")</f>
        <v>0</v>
      </c>
      <c r="AD19" s="376">
        <f>COUNTIFS('KIDS&amp;ADULTS'!$V$3:$V$12006,V19,'KIDS&amp;ADULTS'!$B$3:$B$12006,$AD$3,'KIDS&amp;ADULTS'!$N$3:$N$12006,"Đã đóng học phí")</f>
        <v>0</v>
      </c>
    </row>
    <row r="20" ht="15.75" customHeight="1">
      <c r="A20" s="372">
        <v>45277.0</v>
      </c>
      <c r="B20" s="373">
        <f>sumifs('KIDS&amp;ADULTS'!$Z$3:$Z$1997,'KIDS&amp;ADULTS'!$V$3:$V$1997,A20,'KIDS&amp;ADULTS'!$M$3:$M$1997,$B$3)</f>
        <v>0</v>
      </c>
      <c r="C20" s="373">
        <f>sumifs('KIDS&amp;ADULTS'!$Z$3:$Z$1997,'KIDS&amp;ADULTS'!$V$3:$V$1997,A20,'KIDS&amp;ADULTS'!$M$3:$M$1997,"phương")</f>
        <v>0</v>
      </c>
      <c r="D20" s="373">
        <f>sumifs('KIDS&amp;ADULTS'!$Z$3:$Z$1997,'KIDS&amp;ADULTS'!$V$3:$V$1997,A20,'KIDS&amp;ADULTS'!$M$3:$M$1997,$D$3)</f>
        <v>0</v>
      </c>
      <c r="E20" s="373">
        <f>sumifs('KIDS&amp;ADULTS'!$Z$3:$Z$1997,'KIDS&amp;ADULTS'!$V$3:$V$1997,A20,'KIDS&amp;ADULTS'!$M$3:$M$1997,"Ánh")</f>
        <v>0</v>
      </c>
      <c r="F20" s="373">
        <f>sumifs('KIDS&amp;ADULTS'!$Z$3:$Z$1997,'KIDS&amp;ADULTS'!$V$3:$V$1997,A20,'KIDS&amp;ADULTS'!$M$3:$M$1997,"Loan")</f>
        <v>0</v>
      </c>
      <c r="G20" s="373">
        <f t="shared" si="1"/>
        <v>0</v>
      </c>
      <c r="J20" s="372">
        <v>45277.0</v>
      </c>
      <c r="K20" s="374">
        <v>14.0</v>
      </c>
      <c r="L20" s="374">
        <f>COUNTIFS('KIDS&amp;ADULTS'!$A$3:$A$12008,J20,'KIDS&amp;ADULTS'!$B$3:$B$12008,$L$3)</f>
        <v>0</v>
      </c>
      <c r="M20" s="374">
        <f>COUNTIFS('KIDS&amp;ADULTS'!$A$3:$A$12008,J20,'KIDS&amp;ADULTS'!$B$3:$B$12008,$M$3)</f>
        <v>0</v>
      </c>
      <c r="N20" s="374">
        <f>COUNTIFS('KIDS&amp;ADULTS'!$A$3:$A$12008,J20,'KIDS&amp;ADULTS'!$B$3:$B$12008,$N$3)</f>
        <v>0</v>
      </c>
      <c r="O20" s="375">
        <f>COUNTIFS('KIDS&amp;ADULTS'!$A$3:$A$12008,J20,'KIDS&amp;ADULTS'!$B$3:$B$12008,$O$3)</f>
        <v>0</v>
      </c>
      <c r="P20" s="375">
        <f>COUNTIFS('KIDS&amp;ADULTS'!$A$3:$A$12008,J20,'KIDS&amp;ADULTS'!$B$3:$B$12008,$P$3)</f>
        <v>0</v>
      </c>
      <c r="Q20" s="375">
        <f>COUNTIFS('KIDS&amp;ADULTS'!$A$3:$A$12008,J20,'KIDS&amp;ADULTS'!$B$3:$B$12008,$Q$3)</f>
        <v>0</v>
      </c>
      <c r="R20" s="375">
        <f>COUNTIFS('KIDS&amp;ADULTS'!$A$3:$A$1008,J20,'KIDS&amp;ADULTS'!$B$3:$B$1008,$R$3)</f>
        <v>0</v>
      </c>
      <c r="S20" s="374">
        <f>COUNTIFS('KIDS&amp;ADULTS'!$A$3:$A$12008,J20,'KIDS&amp;ADULTS'!$B$3:$B$12008,$S$3)</f>
        <v>0</v>
      </c>
      <c r="V20" s="372">
        <v>45277.0</v>
      </c>
      <c r="W20" s="376">
        <f>COUNTIFS('KIDS&amp;ADULTS'!$V$3:$V$12006,V20,'KIDS&amp;ADULTS'!$B$3:$B$12006,$L$3,'KIDS&amp;ADULTS'!$N$3:$N$12006,"Đã đóng học phí")</f>
        <v>0</v>
      </c>
      <c r="X20" s="376">
        <f>COUNTIFS('KIDS&amp;ADULTS'!$V$3:$V$12006,V20,'KIDS&amp;ADULTS'!$B$3:$B12022,$X$3,'KIDS&amp;ADULTS'!$N$3:$N$12006,"Đã đóng học phí")</f>
        <v>0</v>
      </c>
      <c r="Y20" s="376">
        <f>COUNTIFS('KIDS&amp;ADULTS'!$V$3:$V$12006,V20,'KIDS&amp;ADULTS'!$B$3:$B$12006,$Y$3,'KIDS&amp;ADULTS'!$N$3:$N$12006,"Đã đóng học phí")</f>
        <v>0</v>
      </c>
      <c r="Z20" s="376">
        <f>COUNTIFS('KIDS&amp;ADULTS'!$V$3:$V$12006,V20,'KIDS&amp;ADULTS'!$B$3:$B$12006,$Z$3,'KIDS&amp;ADULTS'!$N$3:$N$12006,"Đã đóng học phí")</f>
        <v>0</v>
      </c>
      <c r="AA20" s="376">
        <f>COUNTIFS('KIDS&amp;ADULTS'!$V$3:$V$12006,V20,'KIDS&amp;ADULTS'!$B$3:$B$12006,$AA$3,'KIDS&amp;ADULTS'!$N$3:$N$12006,"Đã đóng học phí")</f>
        <v>0</v>
      </c>
      <c r="AB20" s="376">
        <f>COUNTIFS('KIDS&amp;ADULTS'!$V$3:$V$12006,V20,'KIDS&amp;ADULTS'!$B$3:$B$12006,$AB$3,'KIDS&amp;ADULTS'!$N$3:$N$12006,"Đã đóng học phí")</f>
        <v>0</v>
      </c>
      <c r="AC20" s="376">
        <f>COUNTIFS('KIDS&amp;ADULTS'!$V$3:$V$12006,V20,'KIDS&amp;ADULTS'!$B$3:$B$12006,$AC$3,'KIDS&amp;ADULTS'!$N$3:$N$12006,"Đã đóng học phí")</f>
        <v>0</v>
      </c>
      <c r="AD20" s="376">
        <f>COUNTIFS('KIDS&amp;ADULTS'!$V$3:$V$12006,V20,'KIDS&amp;ADULTS'!$B$3:$B$12006,$AD$3,'KIDS&amp;ADULTS'!$N$3:$N$12006,"Đã đóng học phí")</f>
        <v>0</v>
      </c>
    </row>
    <row r="21" ht="15.75" customHeight="1">
      <c r="A21" s="372">
        <v>45278.0</v>
      </c>
      <c r="B21" s="373">
        <f>sumifs('KIDS&amp;ADULTS'!$Z$3:$Z$1997,'KIDS&amp;ADULTS'!$V$3:$V$1997,A21,'KIDS&amp;ADULTS'!$M$3:$M$1997,$B$3)</f>
        <v>0</v>
      </c>
      <c r="C21" s="373">
        <f>sumifs('KIDS&amp;ADULTS'!$Z$3:$Z$1997,'KIDS&amp;ADULTS'!$V$3:$V$1997,A21,'KIDS&amp;ADULTS'!$M$3:$M$1997,"phương")</f>
        <v>0</v>
      </c>
      <c r="D21" s="373">
        <f>sumifs('KIDS&amp;ADULTS'!$Z$3:$Z$1997,'KIDS&amp;ADULTS'!$V$3:$V$1997,A21,'KIDS&amp;ADULTS'!$M$3:$M$1997,$D$3)</f>
        <v>0</v>
      </c>
      <c r="E21" s="373">
        <f>sumifs('KIDS&amp;ADULTS'!$Z$3:$Z$1997,'KIDS&amp;ADULTS'!$V$3:$V$1997,A21,'KIDS&amp;ADULTS'!$M$3:$M$1997,"Ánh")</f>
        <v>5511600</v>
      </c>
      <c r="F21" s="373">
        <f>sumifs('KIDS&amp;ADULTS'!$Z$3:$Z$1997,'KIDS&amp;ADULTS'!$V$3:$V$1997,A21,'KIDS&amp;ADULTS'!$M$3:$M$1997,"Loan")</f>
        <v>0</v>
      </c>
      <c r="G21" s="373">
        <f t="shared" si="1"/>
        <v>5511600</v>
      </c>
      <c r="J21" s="372">
        <v>45278.0</v>
      </c>
      <c r="K21" s="374">
        <v>4.0</v>
      </c>
      <c r="L21" s="374">
        <f>COUNTIFS('KIDS&amp;ADULTS'!$A$3:$A$12008,J21,'KIDS&amp;ADULTS'!$B$3:$B$12008,$L$3)</f>
        <v>0</v>
      </c>
      <c r="M21" s="374">
        <f>COUNTIFS('KIDS&amp;ADULTS'!$A$3:$A$12008,J21,'KIDS&amp;ADULTS'!$B$3:$B$12008,$M$3)</f>
        <v>0</v>
      </c>
      <c r="N21" s="374">
        <f>COUNTIFS('KIDS&amp;ADULTS'!$A$3:$A$12008,J21,'KIDS&amp;ADULTS'!$B$3:$B$12008,$N$3)</f>
        <v>0</v>
      </c>
      <c r="O21" s="375">
        <f>COUNTIFS('KIDS&amp;ADULTS'!$A$3:$A$12008,J21,'KIDS&amp;ADULTS'!$B$3:$B$12008,$O$3)</f>
        <v>0</v>
      </c>
      <c r="P21" s="375">
        <f>COUNTIFS('KIDS&amp;ADULTS'!$A$3:$A$12008,J21,'KIDS&amp;ADULTS'!$B$3:$B$12008,$P$3)</f>
        <v>0</v>
      </c>
      <c r="Q21" s="375">
        <f>COUNTIFS('KIDS&amp;ADULTS'!$A$3:$A$12008,J21,'KIDS&amp;ADULTS'!$B$3:$B$12008,$Q$3)</f>
        <v>0</v>
      </c>
      <c r="R21" s="375">
        <f>COUNTIFS('KIDS&amp;ADULTS'!$A$3:$A$1008,J21,'KIDS&amp;ADULTS'!$B$3:$B$1008,$R$3)</f>
        <v>0</v>
      </c>
      <c r="S21" s="374">
        <f>COUNTIFS('KIDS&amp;ADULTS'!$A$3:$A$12008,J21,'KIDS&amp;ADULTS'!$B$3:$B$12008,$S$3)</f>
        <v>0</v>
      </c>
      <c r="V21" s="372">
        <v>45278.0</v>
      </c>
      <c r="W21" s="376">
        <f>COUNTIFS('KIDS&amp;ADULTS'!$V$3:$V$12006,V21,'KIDS&amp;ADULTS'!$B$3:$B$12006,$L$3,'KIDS&amp;ADULTS'!$N$3:$N$12006,"Đã đóng học phí")</f>
        <v>0</v>
      </c>
      <c r="X21" s="376">
        <f>COUNTIFS('KIDS&amp;ADULTS'!$V$3:$V$12006,V21,'KIDS&amp;ADULTS'!$B$3:$B12023,$X$3,'KIDS&amp;ADULTS'!$N$3:$N$12006,"Đã đóng học phí")</f>
        <v>0</v>
      </c>
      <c r="Y21" s="376">
        <f>COUNTIFS('KIDS&amp;ADULTS'!$V$3:$V$12006,V21,'KIDS&amp;ADULTS'!$B$3:$B$12006,$Y$3,'KIDS&amp;ADULTS'!$N$3:$N$12006,"Đã đóng học phí")</f>
        <v>0</v>
      </c>
      <c r="Z21" s="376">
        <f>COUNTIFS('KIDS&amp;ADULTS'!$V$3:$V$12006,V21,'KIDS&amp;ADULTS'!$B$3:$B$12006,$Z$3,'KIDS&amp;ADULTS'!$N$3:$N$12006,"Đã đóng học phí")</f>
        <v>1</v>
      </c>
      <c r="AA21" s="376">
        <f>COUNTIFS('KIDS&amp;ADULTS'!$V$3:$V$12006,V21,'KIDS&amp;ADULTS'!$B$3:$B$12006,$AA$3,'KIDS&amp;ADULTS'!$N$3:$N$12006,"Đã đóng học phí")</f>
        <v>0</v>
      </c>
      <c r="AB21" s="376">
        <f>COUNTIFS('KIDS&amp;ADULTS'!$V$3:$V$12006,V21,'KIDS&amp;ADULTS'!$B$3:$B$12006,$AB$3,'KIDS&amp;ADULTS'!$N$3:$N$12006,"Đã đóng học phí")</f>
        <v>0</v>
      </c>
      <c r="AC21" s="376">
        <f>COUNTIFS('KIDS&amp;ADULTS'!$V$3:$V$12006,V21,'KIDS&amp;ADULTS'!$B$3:$B$12006,$AC$3,'KIDS&amp;ADULTS'!$N$3:$N$12006,"Đã đóng học phí")</f>
        <v>0</v>
      </c>
      <c r="AD21" s="376">
        <f>COUNTIFS('KIDS&amp;ADULTS'!$V$3:$V$12006,V21,'KIDS&amp;ADULTS'!$B$3:$B$12006,$AD$3,'KIDS&amp;ADULTS'!$N$3:$N$12006,"Đã đóng học phí")</f>
        <v>0</v>
      </c>
    </row>
    <row r="22" ht="15.75" customHeight="1">
      <c r="A22" s="372">
        <v>45279.0</v>
      </c>
      <c r="B22" s="373">
        <f>sumifs('KIDS&amp;ADULTS'!$Z$3:$Z$1997,'KIDS&amp;ADULTS'!$V$3:$V$1997,A22,'KIDS&amp;ADULTS'!$M$3:$M$1997,$B$3)</f>
        <v>0</v>
      </c>
      <c r="C22" s="373">
        <f>sumifs('KIDS&amp;ADULTS'!$Z$3:$Z$1997,'KIDS&amp;ADULTS'!$V$3:$V$1997,A22,'KIDS&amp;ADULTS'!$M$3:$M$1997,"phương")</f>
        <v>0</v>
      </c>
      <c r="D22" s="373">
        <f>sumifs('KIDS&amp;ADULTS'!$Z$3:$Z$1997,'KIDS&amp;ADULTS'!$V$3:$V$1997,A22,'KIDS&amp;ADULTS'!$M$3:$M$1997,$D$3)</f>
        <v>0</v>
      </c>
      <c r="E22" s="373">
        <f>sumifs('KIDS&amp;ADULTS'!$Z$3:$Z$1997,'KIDS&amp;ADULTS'!$V$3:$V$1997,A22,'KIDS&amp;ADULTS'!$M$3:$M$1997,"Ánh")</f>
        <v>0</v>
      </c>
      <c r="F22" s="373">
        <f>sumifs('KIDS&amp;ADULTS'!$Z$3:$Z$1997,'KIDS&amp;ADULTS'!$V$3:$V$1997,A22,'KIDS&amp;ADULTS'!$M$3:$M$1997,"Loan")</f>
        <v>0</v>
      </c>
      <c r="G22" s="373">
        <f t="shared" si="1"/>
        <v>0</v>
      </c>
      <c r="J22" s="372">
        <v>45279.0</v>
      </c>
      <c r="K22" s="374">
        <v>6.0</v>
      </c>
      <c r="L22" s="374">
        <f>COUNTIFS('KIDS&amp;ADULTS'!$A$3:$A$12008,J22,'KIDS&amp;ADULTS'!$B$3:$B$12008,$L$3)</f>
        <v>0</v>
      </c>
      <c r="M22" s="374">
        <f>COUNTIFS('KIDS&amp;ADULTS'!$A$3:$A$12008,J22,'KIDS&amp;ADULTS'!$B$3:$B$12008,$M$3)</f>
        <v>0</v>
      </c>
      <c r="N22" s="374">
        <f>COUNTIFS('KIDS&amp;ADULTS'!$A$3:$A$12008,J22,'KIDS&amp;ADULTS'!$B$3:$B$12008,$N$3)</f>
        <v>0</v>
      </c>
      <c r="O22" s="375">
        <f>COUNTIFS('KIDS&amp;ADULTS'!$A$3:$A$12008,J22,'KIDS&amp;ADULTS'!$B$3:$B$12008,$O$3)</f>
        <v>0</v>
      </c>
      <c r="P22" s="375">
        <f>COUNTIFS('KIDS&amp;ADULTS'!$A$3:$A$12008,J22,'KIDS&amp;ADULTS'!$B$3:$B$12008,$P$3)</f>
        <v>0</v>
      </c>
      <c r="Q22" s="375">
        <f>COUNTIFS('KIDS&amp;ADULTS'!$A$3:$A$12008,J22,'KIDS&amp;ADULTS'!$B$3:$B$12008,$Q$3)</f>
        <v>0</v>
      </c>
      <c r="R22" s="375">
        <f>COUNTIFS('KIDS&amp;ADULTS'!$A$3:$A$1008,J22,'KIDS&amp;ADULTS'!$B$3:$B$1008,$R$3)</f>
        <v>0</v>
      </c>
      <c r="S22" s="374">
        <f>COUNTIFS('KIDS&amp;ADULTS'!$A$3:$A$12008,J22,'KIDS&amp;ADULTS'!$B$3:$B$12008,$S$3)</f>
        <v>0</v>
      </c>
      <c r="V22" s="372">
        <v>45279.0</v>
      </c>
      <c r="W22" s="376">
        <f>COUNTIFS('KIDS&amp;ADULTS'!$V$3:$V$12006,V22,'KIDS&amp;ADULTS'!$B$3:$B$12006,$L$3,'KIDS&amp;ADULTS'!$N$3:$N$12006,"Đã đóng học phí")</f>
        <v>0</v>
      </c>
      <c r="X22" s="376">
        <f>COUNTIFS('KIDS&amp;ADULTS'!$V$3:$V$12006,V22,'KIDS&amp;ADULTS'!$B$3:$B12024,$X$3,'KIDS&amp;ADULTS'!$N$3:$N$12006,"Đã đóng học phí")</f>
        <v>0</v>
      </c>
      <c r="Y22" s="376">
        <f>COUNTIFS('KIDS&amp;ADULTS'!$V$3:$V$12006,V22,'KIDS&amp;ADULTS'!$B$3:$B$12006,$Y$3,'KIDS&amp;ADULTS'!$N$3:$N$12006,"Đã đóng học phí")</f>
        <v>0</v>
      </c>
      <c r="Z22" s="376">
        <f>COUNTIFS('KIDS&amp;ADULTS'!$V$3:$V$12006,V22,'KIDS&amp;ADULTS'!$B$3:$B$12006,$Z$3,'KIDS&amp;ADULTS'!$N$3:$N$12006,"Đã đóng học phí")</f>
        <v>0</v>
      </c>
      <c r="AA22" s="376">
        <f>COUNTIFS('KIDS&amp;ADULTS'!$V$3:$V$12006,V22,'KIDS&amp;ADULTS'!$B$3:$B$12006,$AA$3,'KIDS&amp;ADULTS'!$N$3:$N$12006,"Đã đóng học phí")</f>
        <v>0</v>
      </c>
      <c r="AB22" s="376">
        <f>COUNTIFS('KIDS&amp;ADULTS'!$V$3:$V$12006,V22,'KIDS&amp;ADULTS'!$B$3:$B$12006,$AB$3,'KIDS&amp;ADULTS'!$N$3:$N$12006,"Đã đóng học phí")</f>
        <v>0</v>
      </c>
      <c r="AC22" s="376">
        <f>COUNTIFS('KIDS&amp;ADULTS'!$V$3:$V$12006,V22,'KIDS&amp;ADULTS'!$B$3:$B$12006,$AC$3,'KIDS&amp;ADULTS'!$N$3:$N$12006,"Đã đóng học phí")</f>
        <v>0</v>
      </c>
      <c r="AD22" s="376">
        <f>COUNTIFS('KIDS&amp;ADULTS'!$V$3:$V$12006,V22,'KIDS&amp;ADULTS'!$B$3:$B$12006,$AD$3,'KIDS&amp;ADULTS'!$N$3:$N$12006,"Đã đóng học phí")</f>
        <v>0</v>
      </c>
    </row>
    <row r="23" ht="15.75" customHeight="1">
      <c r="A23" s="372">
        <v>45280.0</v>
      </c>
      <c r="B23" s="373">
        <f>sumifs('KIDS&amp;ADULTS'!$Z$3:$Z$1997,'KIDS&amp;ADULTS'!$V$3:$V$1997,A23,'KIDS&amp;ADULTS'!$M$3:$M$1997,$B$3)</f>
        <v>0</v>
      </c>
      <c r="C23" s="373">
        <f>sumifs('KIDS&amp;ADULTS'!$Z$3:$Z$1997,'KIDS&amp;ADULTS'!$V$3:$V$1997,A23,'KIDS&amp;ADULTS'!$M$3:$M$1997,"phương")</f>
        <v>0</v>
      </c>
      <c r="D23" s="373">
        <f>sumifs('KIDS&amp;ADULTS'!$Z$3:$Z$1997,'KIDS&amp;ADULTS'!$V$3:$V$1997,A23,'KIDS&amp;ADULTS'!$M$3:$M$1997,$D$3)</f>
        <v>0</v>
      </c>
      <c r="E23" s="373">
        <f>sumifs('KIDS&amp;ADULTS'!$Z$3:$Z$1997,'KIDS&amp;ADULTS'!$V$3:$V$1997,A23,'KIDS&amp;ADULTS'!$M$3:$M$1997,"Ánh")</f>
        <v>0</v>
      </c>
      <c r="F23" s="373">
        <f>sumifs('KIDS&amp;ADULTS'!$Z$3:$Z$1997,'KIDS&amp;ADULTS'!$V$3:$V$1997,A23,'KIDS&amp;ADULTS'!$M$3:$M$1997,"Loan")</f>
        <v>0</v>
      </c>
      <c r="G23" s="373">
        <f t="shared" si="1"/>
        <v>0</v>
      </c>
      <c r="J23" s="372">
        <v>45280.0</v>
      </c>
      <c r="K23" s="374">
        <v>8.0</v>
      </c>
      <c r="L23" s="374">
        <f>COUNTIFS('KIDS&amp;ADULTS'!$A$3:$A$12008,J23,'KIDS&amp;ADULTS'!$B$3:$B$12008,$L$3)</f>
        <v>0</v>
      </c>
      <c r="M23" s="374">
        <f>COUNTIFS('KIDS&amp;ADULTS'!$A$3:$A$12008,J23,'KIDS&amp;ADULTS'!$B$3:$B$12008,$M$3)</f>
        <v>0</v>
      </c>
      <c r="N23" s="374">
        <f>COUNTIFS('KIDS&amp;ADULTS'!$A$3:$A$12008,J23,'KIDS&amp;ADULTS'!$B$3:$B$12008,$N$3)</f>
        <v>1</v>
      </c>
      <c r="O23" s="375">
        <f>COUNTIFS('KIDS&amp;ADULTS'!$A$3:$A$12008,J23,'KIDS&amp;ADULTS'!$B$3:$B$12008,$O$3)</f>
        <v>0</v>
      </c>
      <c r="P23" s="375">
        <f>COUNTIFS('KIDS&amp;ADULTS'!$A$3:$A$12008,J23,'KIDS&amp;ADULTS'!$B$3:$B$12008,$P$3)</f>
        <v>0</v>
      </c>
      <c r="Q23" s="375">
        <f>COUNTIFS('KIDS&amp;ADULTS'!$A$3:$A$12008,J23,'KIDS&amp;ADULTS'!$B$3:$B$12008,$Q$3)</f>
        <v>0</v>
      </c>
      <c r="R23" s="375">
        <f>COUNTIFS('KIDS&amp;ADULTS'!$A$3:$A$1008,J23,'KIDS&amp;ADULTS'!$B$3:$B$1008,$R$3)</f>
        <v>0</v>
      </c>
      <c r="S23" s="374">
        <f>COUNTIFS('KIDS&amp;ADULTS'!$A$3:$A$12008,J23,'KIDS&amp;ADULTS'!$B$3:$B$12008,$S$3)</f>
        <v>0</v>
      </c>
      <c r="V23" s="372">
        <v>45280.0</v>
      </c>
      <c r="W23" s="376">
        <f>COUNTIFS('KIDS&amp;ADULTS'!$V$3:$V$12006,V23,'KIDS&amp;ADULTS'!$B$3:$B$12006,$L$3,'KIDS&amp;ADULTS'!$N$3:$N$12006,"Đã đóng học phí")</f>
        <v>0</v>
      </c>
      <c r="X23" s="376">
        <f>COUNTIFS('KIDS&amp;ADULTS'!$V$3:$V$12006,V23,'KIDS&amp;ADULTS'!$B$3:$B12025,$X$3,'KIDS&amp;ADULTS'!$N$3:$N$12006,"Đã đóng học phí")</f>
        <v>0</v>
      </c>
      <c r="Y23" s="376">
        <f>COUNTIFS('KIDS&amp;ADULTS'!$V$3:$V$12006,V23,'KIDS&amp;ADULTS'!$B$3:$B$12006,$Y$3,'KIDS&amp;ADULTS'!$N$3:$N$12006,"Đã đóng học phí")</f>
        <v>0</v>
      </c>
      <c r="Z23" s="376">
        <f>COUNTIFS('KIDS&amp;ADULTS'!$V$3:$V$12006,V23,'KIDS&amp;ADULTS'!$B$3:$B$12006,$Z$3,'KIDS&amp;ADULTS'!$N$3:$N$12006,"Đã đóng học phí")</f>
        <v>0</v>
      </c>
      <c r="AA23" s="376">
        <f>COUNTIFS('KIDS&amp;ADULTS'!$V$3:$V$12006,V23,'KIDS&amp;ADULTS'!$B$3:$B$12006,$AA$3,'KIDS&amp;ADULTS'!$N$3:$N$12006,"Đã đóng học phí")</f>
        <v>0</v>
      </c>
      <c r="AB23" s="376">
        <f>COUNTIFS('KIDS&amp;ADULTS'!$V$3:$V$12006,V23,'KIDS&amp;ADULTS'!$B$3:$B$12006,$AB$3,'KIDS&amp;ADULTS'!$N$3:$N$12006,"Đã đóng học phí")</f>
        <v>0</v>
      </c>
      <c r="AC23" s="376">
        <f>COUNTIFS('KIDS&amp;ADULTS'!$V$3:$V$12006,V23,'KIDS&amp;ADULTS'!$B$3:$B$12006,$AC$3,'KIDS&amp;ADULTS'!$N$3:$N$12006,"Đã đóng học phí")</f>
        <v>0</v>
      </c>
      <c r="AD23" s="376">
        <f>COUNTIFS('KIDS&amp;ADULTS'!$V$3:$V$12006,V23,'KIDS&amp;ADULTS'!$B$3:$B$12006,$AD$3,'KIDS&amp;ADULTS'!$N$3:$N$12006,"Đã đóng học phí")</f>
        <v>0</v>
      </c>
    </row>
    <row r="24" ht="15.75" customHeight="1">
      <c r="A24" s="372">
        <v>45281.0</v>
      </c>
      <c r="B24" s="373">
        <f>sumifs('KIDS&amp;ADULTS'!$Z$3:$Z$1997,'KIDS&amp;ADULTS'!$V$3:$V$1997,A24,'KIDS&amp;ADULTS'!$M$3:$M$1997,$B$3)</f>
        <v>0</v>
      </c>
      <c r="C24" s="373">
        <f>sumifs('KIDS&amp;ADULTS'!$Z$3:$Z$1997,'KIDS&amp;ADULTS'!$V$3:$V$1997,A24,'KIDS&amp;ADULTS'!$M$3:$M$1997,"phương")</f>
        <v>0</v>
      </c>
      <c r="D24" s="373">
        <f>sumifs('KIDS&amp;ADULTS'!$Z$3:$Z$1997,'KIDS&amp;ADULTS'!$V$3:$V$1997,A24,'KIDS&amp;ADULTS'!$M$3:$M$1997,$D$3)</f>
        <v>0</v>
      </c>
      <c r="E24" s="373">
        <f>sumifs('KIDS&amp;ADULTS'!$Z$3:$Z$1997,'KIDS&amp;ADULTS'!$V$3:$V$1997,A24,'KIDS&amp;ADULTS'!$M$3:$M$1997,"Ánh")</f>
        <v>0</v>
      </c>
      <c r="F24" s="373">
        <f>sumifs('KIDS&amp;ADULTS'!$Z$3:$Z$1997,'KIDS&amp;ADULTS'!$V$3:$V$1997,A24,'KIDS&amp;ADULTS'!$M$3:$M$1997,"Loan")</f>
        <v>0</v>
      </c>
      <c r="G24" s="373">
        <f t="shared" si="1"/>
        <v>0</v>
      </c>
      <c r="J24" s="372">
        <v>45281.0</v>
      </c>
      <c r="K24" s="374">
        <v>1.0</v>
      </c>
      <c r="L24" s="374">
        <f>COUNTIFS('KIDS&amp;ADULTS'!$A$3:$A$12008,J24,'KIDS&amp;ADULTS'!$B$3:$B$12008,$L$3)</f>
        <v>0</v>
      </c>
      <c r="M24" s="374">
        <f>COUNTIFS('KIDS&amp;ADULTS'!$A$3:$A$12008,J24,'KIDS&amp;ADULTS'!$B$3:$B$12008,$M$3)</f>
        <v>0</v>
      </c>
      <c r="N24" s="374">
        <f>COUNTIFS('KIDS&amp;ADULTS'!$A$3:$A$12008,J24,'KIDS&amp;ADULTS'!$B$3:$B$12008,$N$3)</f>
        <v>0</v>
      </c>
      <c r="O24" s="375">
        <f>COUNTIFS('KIDS&amp;ADULTS'!$A$3:$A$12008,J24,'KIDS&amp;ADULTS'!$B$3:$B$12008,$O$3)</f>
        <v>0</v>
      </c>
      <c r="P24" s="375">
        <f>COUNTIFS('KIDS&amp;ADULTS'!$A$3:$A$12008,J24,'KIDS&amp;ADULTS'!$B$3:$B$12008,$P$3)</f>
        <v>0</v>
      </c>
      <c r="Q24" s="375">
        <f>COUNTIFS('KIDS&amp;ADULTS'!$A$3:$A$12008,J24,'KIDS&amp;ADULTS'!$B$3:$B$12008,$Q$3)</f>
        <v>0</v>
      </c>
      <c r="R24" s="375">
        <f>COUNTIFS('KIDS&amp;ADULTS'!$A$3:$A$1008,J24,'KIDS&amp;ADULTS'!$B$3:$B$1008,$R$3)</f>
        <v>0</v>
      </c>
      <c r="S24" s="374">
        <f>COUNTIFS('KIDS&amp;ADULTS'!$A$3:$A$12008,J24,'KIDS&amp;ADULTS'!$B$3:$B$12008,$S$3)</f>
        <v>0</v>
      </c>
      <c r="V24" s="372">
        <v>45281.0</v>
      </c>
      <c r="W24" s="376">
        <f>COUNTIFS('KIDS&amp;ADULTS'!$V$3:$V$12006,V24,'KIDS&amp;ADULTS'!$B$3:$B$12006,$L$3,'KIDS&amp;ADULTS'!$N$3:$N$12006,"Đã đóng học phí")</f>
        <v>0</v>
      </c>
      <c r="X24" s="376">
        <f>COUNTIFS('KIDS&amp;ADULTS'!$V$3:$V$12006,V24,'KIDS&amp;ADULTS'!$B$3:$B12026,$X$3,'KIDS&amp;ADULTS'!$N$3:$N$12006,"Đã đóng học phí")</f>
        <v>0</v>
      </c>
      <c r="Y24" s="376">
        <f>COUNTIFS('KIDS&amp;ADULTS'!$V$3:$V$12006,V24,'KIDS&amp;ADULTS'!$B$3:$B$12006,$Y$3,'KIDS&amp;ADULTS'!$N$3:$N$12006,"Đã đóng học phí")</f>
        <v>0</v>
      </c>
      <c r="Z24" s="376">
        <f>COUNTIFS('KIDS&amp;ADULTS'!$V$3:$V$12006,V24,'KIDS&amp;ADULTS'!$B$3:$B$12006,$Z$3,'KIDS&amp;ADULTS'!$N$3:$N$12006,"Đã đóng học phí")</f>
        <v>0</v>
      </c>
      <c r="AA24" s="376">
        <f>COUNTIFS('KIDS&amp;ADULTS'!$V$3:$V$12006,V24,'KIDS&amp;ADULTS'!$B$3:$B$12006,$AA$3,'KIDS&amp;ADULTS'!$N$3:$N$12006,"Đã đóng học phí")</f>
        <v>0</v>
      </c>
      <c r="AB24" s="376">
        <f>COUNTIFS('KIDS&amp;ADULTS'!$V$3:$V$12006,V24,'KIDS&amp;ADULTS'!$B$3:$B$12006,$AB$3,'KIDS&amp;ADULTS'!$N$3:$N$12006,"Đã đóng học phí")</f>
        <v>0</v>
      </c>
      <c r="AC24" s="376">
        <f>COUNTIFS('KIDS&amp;ADULTS'!$V$3:$V$12006,V24,'KIDS&amp;ADULTS'!$B$3:$B$12006,$AC$3,'KIDS&amp;ADULTS'!$N$3:$N$12006,"Đã đóng học phí")</f>
        <v>0</v>
      </c>
      <c r="AD24" s="376">
        <f>COUNTIFS('KIDS&amp;ADULTS'!$V$3:$V$12006,V24,'KIDS&amp;ADULTS'!$B$3:$B$12006,$AD$3,'KIDS&amp;ADULTS'!$N$3:$N$12006,"Đã đóng học phí")</f>
        <v>0</v>
      </c>
    </row>
    <row r="25" ht="15.75" customHeight="1">
      <c r="A25" s="372">
        <v>45282.0</v>
      </c>
      <c r="B25" s="373">
        <f>sumifs('KIDS&amp;ADULTS'!$Z$3:$Z$1997,'KIDS&amp;ADULTS'!$V$3:$V$1997,A25,'KIDS&amp;ADULTS'!$M$3:$M$1997,$B$3)</f>
        <v>0</v>
      </c>
      <c r="C25" s="373">
        <f>sumifs('KIDS&amp;ADULTS'!$Z$3:$Z$1997,'KIDS&amp;ADULTS'!$V$3:$V$1997,A25,'KIDS&amp;ADULTS'!$M$3:$M$1997,"phương")</f>
        <v>0</v>
      </c>
      <c r="D25" s="373">
        <f>sumifs('KIDS&amp;ADULTS'!$Z$3:$Z$1997,'KIDS&amp;ADULTS'!$V$3:$V$1997,A25,'KIDS&amp;ADULTS'!$M$3:$M$1997,$D$3)</f>
        <v>0</v>
      </c>
      <c r="E25" s="373">
        <f>sumifs('KIDS&amp;ADULTS'!$Z$3:$Z$1997,'KIDS&amp;ADULTS'!$V$3:$V$1997,A25,'KIDS&amp;ADULTS'!$M$3:$M$1997,"Ánh")</f>
        <v>5524000</v>
      </c>
      <c r="F25" s="373">
        <f>sumifs('KIDS&amp;ADULTS'!$Z$3:$Z$1997,'KIDS&amp;ADULTS'!$V$3:$V$1997,A25,'KIDS&amp;ADULTS'!$M$3:$M$1997,"Loan")</f>
        <v>0</v>
      </c>
      <c r="G25" s="373">
        <f t="shared" si="1"/>
        <v>5524000</v>
      </c>
      <c r="J25" s="372">
        <v>45282.0</v>
      </c>
      <c r="K25" s="374"/>
      <c r="L25" s="374">
        <f>COUNTIFS('KIDS&amp;ADULTS'!$A$3:$A$12008,J25,'KIDS&amp;ADULTS'!$B$3:$B$12008,$L$3)</f>
        <v>0</v>
      </c>
      <c r="M25" s="374">
        <f>COUNTIFS('KIDS&amp;ADULTS'!$A$3:$A$12008,J25,'KIDS&amp;ADULTS'!$B$3:$B$12008,$M$3)</f>
        <v>0</v>
      </c>
      <c r="N25" s="374">
        <f>COUNTIFS('KIDS&amp;ADULTS'!$A$3:$A$12008,J25,'KIDS&amp;ADULTS'!$B$3:$B$12008,$N$3)</f>
        <v>0</v>
      </c>
      <c r="O25" s="375">
        <f>COUNTIFS('KIDS&amp;ADULTS'!$A$3:$A$12008,J25,'KIDS&amp;ADULTS'!$B$3:$B$12008,$O$3)</f>
        <v>0</v>
      </c>
      <c r="P25" s="375">
        <f>COUNTIFS('KIDS&amp;ADULTS'!$A$3:$A$12008,J25,'KIDS&amp;ADULTS'!$B$3:$B$12008,$P$3)</f>
        <v>0</v>
      </c>
      <c r="Q25" s="375">
        <f>COUNTIFS('KIDS&amp;ADULTS'!$A$3:$A$12008,J25,'KIDS&amp;ADULTS'!$B$3:$B$12008,$Q$3)</f>
        <v>0</v>
      </c>
      <c r="R25" s="375">
        <f>COUNTIFS('KIDS&amp;ADULTS'!$A$3:$A$1008,J25,'KIDS&amp;ADULTS'!$B$3:$B$1008,$R$3)</f>
        <v>0</v>
      </c>
      <c r="S25" s="374">
        <f>COUNTIFS('KIDS&amp;ADULTS'!$A$3:$A$12008,J25,'KIDS&amp;ADULTS'!$B$3:$B$12008,$S$3)</f>
        <v>0</v>
      </c>
      <c r="V25" s="372">
        <v>45282.0</v>
      </c>
      <c r="W25" s="376">
        <f>COUNTIFS('KIDS&amp;ADULTS'!$V$3:$V$12006,V25,'KIDS&amp;ADULTS'!$B$3:$B$12006,$L$3,'KIDS&amp;ADULTS'!$N$3:$N$12006,"Đã đóng học phí")</f>
        <v>0</v>
      </c>
      <c r="X25" s="376">
        <f>COUNTIFS('KIDS&amp;ADULTS'!$V$3:$V$12006,V25,'KIDS&amp;ADULTS'!$B$3:$B12027,$X$3,'KIDS&amp;ADULTS'!$N$3:$N$12006,"Đã đóng học phí")</f>
        <v>0</v>
      </c>
      <c r="Y25" s="376">
        <f>COUNTIFS('KIDS&amp;ADULTS'!$V$3:$V$12006,V25,'KIDS&amp;ADULTS'!$B$3:$B$12006,$Y$3,'KIDS&amp;ADULTS'!$N$3:$N$12006,"Đã đóng học phí")</f>
        <v>0</v>
      </c>
      <c r="Z25" s="376">
        <f>COUNTIFS('KIDS&amp;ADULTS'!$V$3:$V$12006,V25,'KIDS&amp;ADULTS'!$B$3:$B$12006,$Z$3,'KIDS&amp;ADULTS'!$N$3:$N$12006,"Đã đóng học phí")</f>
        <v>0</v>
      </c>
      <c r="AA25" s="376">
        <f>COUNTIFS('KIDS&amp;ADULTS'!$V$3:$V$12006,V25,'KIDS&amp;ADULTS'!$B$3:$B$12006,$AA$3,'KIDS&amp;ADULTS'!$N$3:$N$12006,"Đã đóng học phí")</f>
        <v>0</v>
      </c>
      <c r="AB25" s="376">
        <f>COUNTIFS('KIDS&amp;ADULTS'!$V$3:$V$12006,V25,'KIDS&amp;ADULTS'!$B$3:$B$12006,$AB$3,'KIDS&amp;ADULTS'!$N$3:$N$12006,"Đã đóng học phí")</f>
        <v>1</v>
      </c>
      <c r="AC25" s="376">
        <f>COUNTIFS('KIDS&amp;ADULTS'!$V$3:$V$12006,V25,'KIDS&amp;ADULTS'!$B$3:$B$12006,$AC$3,'KIDS&amp;ADULTS'!$N$3:$N$12006,"Đã đóng học phí")</f>
        <v>0</v>
      </c>
      <c r="AD25" s="376">
        <f>COUNTIFS('KIDS&amp;ADULTS'!$V$3:$V$12006,V25,'KIDS&amp;ADULTS'!$B$3:$B$12006,$AD$3,'KIDS&amp;ADULTS'!$N$3:$N$12006,"Đã đóng học phí")</f>
        <v>0</v>
      </c>
    </row>
    <row r="26" ht="15.75" customHeight="1">
      <c r="A26" s="372">
        <v>45283.0</v>
      </c>
      <c r="B26" s="373">
        <f>sumifs('KIDS&amp;ADULTS'!$Z$3:$Z$1997,'KIDS&amp;ADULTS'!$V$3:$V$1997,A26,'KIDS&amp;ADULTS'!$M$3:$M$1997,$B$3)</f>
        <v>0</v>
      </c>
      <c r="C26" s="373">
        <f>sumifs('KIDS&amp;ADULTS'!$Z$3:$Z$1997,'KIDS&amp;ADULTS'!$V$3:$V$1997,A26,'KIDS&amp;ADULTS'!$M$3:$M$1997,"phương")</f>
        <v>0</v>
      </c>
      <c r="D26" s="373">
        <f>sumifs('KIDS&amp;ADULTS'!$Z$3:$Z$1997,'KIDS&amp;ADULTS'!$V$3:$V$1997,A26,'KIDS&amp;ADULTS'!$M$3:$M$1997,$D$3)</f>
        <v>0</v>
      </c>
      <c r="E26" s="373">
        <f>sumifs('KIDS&amp;ADULTS'!$Z$3:$Z$1997,'KIDS&amp;ADULTS'!$V$3:$V$1997,A26,'KIDS&amp;ADULTS'!$M$3:$M$1997,"Ánh")</f>
        <v>0</v>
      </c>
      <c r="F26" s="373">
        <f>sumifs('KIDS&amp;ADULTS'!$Z$3:$Z$1997,'KIDS&amp;ADULTS'!$V$3:$V$1997,A26,'KIDS&amp;ADULTS'!$M$3:$M$1997,"Loan")</f>
        <v>0</v>
      </c>
      <c r="G26" s="373">
        <f t="shared" si="1"/>
        <v>0</v>
      </c>
      <c r="J26" s="372">
        <v>45283.0</v>
      </c>
      <c r="K26" s="374">
        <v>1.0</v>
      </c>
      <c r="L26" s="374">
        <f>COUNTIFS('KIDS&amp;ADULTS'!$A$3:$A$12008,J26,'KIDS&amp;ADULTS'!$B$3:$B$12008,$L$3)</f>
        <v>0</v>
      </c>
      <c r="M26" s="374">
        <f>COUNTIFS('KIDS&amp;ADULTS'!$A$3:$A$12008,J26,'KIDS&amp;ADULTS'!$B$3:$B$12008,$M$3)</f>
        <v>0</v>
      </c>
      <c r="N26" s="374">
        <f>COUNTIFS('KIDS&amp;ADULTS'!$A$3:$A$12008,J26,'KIDS&amp;ADULTS'!$B$3:$B$12008,$N$3)</f>
        <v>0</v>
      </c>
      <c r="O26" s="375">
        <f>COUNTIFS('KIDS&amp;ADULTS'!$A$3:$A$12008,J26,'KIDS&amp;ADULTS'!$B$3:$B$12008,$O$3)</f>
        <v>0</v>
      </c>
      <c r="P26" s="375">
        <f>COUNTIFS('KIDS&amp;ADULTS'!$A$3:$A$12008,J26,'KIDS&amp;ADULTS'!$B$3:$B$12008,$P$3)</f>
        <v>0</v>
      </c>
      <c r="Q26" s="375">
        <f>COUNTIFS('KIDS&amp;ADULTS'!$A$3:$A$12008,J26,'KIDS&amp;ADULTS'!$B$3:$B$12008,$Q$3)</f>
        <v>0</v>
      </c>
      <c r="R26" s="375">
        <f>COUNTIFS('KIDS&amp;ADULTS'!$A$3:$A$1008,J26,'KIDS&amp;ADULTS'!$B$3:$B$1008,$R$3)</f>
        <v>0</v>
      </c>
      <c r="S26" s="374">
        <f>COUNTIFS('KIDS&amp;ADULTS'!$A$3:$A$12008,J26,'KIDS&amp;ADULTS'!$B$3:$B$12008,$S$3)</f>
        <v>0</v>
      </c>
      <c r="V26" s="372">
        <v>45283.0</v>
      </c>
      <c r="W26" s="376">
        <f>COUNTIFS('KIDS&amp;ADULTS'!$V$3:$V$12006,V26,'KIDS&amp;ADULTS'!$B$3:$B$12006,$L$3,'KIDS&amp;ADULTS'!$N$3:$N$12006,"Đã đóng học phí")</f>
        <v>0</v>
      </c>
      <c r="X26" s="376">
        <f>COUNTIFS('KIDS&amp;ADULTS'!$V$3:$V$12006,V26,'KIDS&amp;ADULTS'!$B$3:$B12028,$X$3,'KIDS&amp;ADULTS'!$N$3:$N$12006,"Đã đóng học phí")</f>
        <v>0</v>
      </c>
      <c r="Y26" s="376">
        <f>COUNTIFS('KIDS&amp;ADULTS'!$V$3:$V$12006,V26,'KIDS&amp;ADULTS'!$B$3:$B$12006,$Y$3,'KIDS&amp;ADULTS'!$N$3:$N$12006,"Đã đóng học phí")</f>
        <v>0</v>
      </c>
      <c r="Z26" s="376">
        <f>COUNTIFS('KIDS&amp;ADULTS'!$V$3:$V$12006,V26,'KIDS&amp;ADULTS'!$B$3:$B$12006,$Z$3,'KIDS&amp;ADULTS'!$N$3:$N$12006,"Đã đóng học phí")</f>
        <v>0</v>
      </c>
      <c r="AA26" s="376">
        <f>COUNTIFS('KIDS&amp;ADULTS'!$V$3:$V$12006,V26,'KIDS&amp;ADULTS'!$B$3:$B$12006,$AA$3,'KIDS&amp;ADULTS'!$N$3:$N$12006,"Đã đóng học phí")</f>
        <v>0</v>
      </c>
      <c r="AB26" s="376">
        <f>COUNTIFS('KIDS&amp;ADULTS'!$V$3:$V$12006,V26,'KIDS&amp;ADULTS'!$B$3:$B$12006,$AB$3,'KIDS&amp;ADULTS'!$N$3:$N$12006,"Đã đóng học phí")</f>
        <v>0</v>
      </c>
      <c r="AC26" s="376">
        <f>COUNTIFS('KIDS&amp;ADULTS'!$V$3:$V$12006,V26,'KIDS&amp;ADULTS'!$B$3:$B$12006,$AC$3,'KIDS&amp;ADULTS'!$N$3:$N$12006,"Đã đóng học phí")</f>
        <v>0</v>
      </c>
      <c r="AD26" s="376">
        <f>COUNTIFS('KIDS&amp;ADULTS'!$V$3:$V$12006,V26,'KIDS&amp;ADULTS'!$B$3:$B$12006,$AD$3,'KIDS&amp;ADULTS'!$N$3:$N$12006,"Đã đóng học phí")</f>
        <v>0</v>
      </c>
    </row>
    <row r="27" ht="15.75" customHeight="1">
      <c r="A27" s="372">
        <v>45284.0</v>
      </c>
      <c r="B27" s="373">
        <f>sumifs('KIDS&amp;ADULTS'!$Z$3:$Z$1997,'KIDS&amp;ADULTS'!$V$3:$V$1997,A27,'KIDS&amp;ADULTS'!$M$3:$M$1997,$B$3)</f>
        <v>0</v>
      </c>
      <c r="C27" s="373">
        <f>sumifs('KIDS&amp;ADULTS'!$Z$3:$Z$1997,'KIDS&amp;ADULTS'!$V$3:$V$1997,A27,'KIDS&amp;ADULTS'!$M$3:$M$1997,"phương")</f>
        <v>0</v>
      </c>
      <c r="D27" s="373">
        <f>sumifs('KIDS&amp;ADULTS'!$Z$3:$Z$1997,'KIDS&amp;ADULTS'!$V$3:$V$1997,A27,'KIDS&amp;ADULTS'!$M$3:$M$1997,$D$3)</f>
        <v>0</v>
      </c>
      <c r="E27" s="373">
        <f>sumifs('KIDS&amp;ADULTS'!$Z$3:$Z$1997,'KIDS&amp;ADULTS'!$V$3:$V$1997,A27,'KIDS&amp;ADULTS'!$M$3:$M$1997,"Ánh")</f>
        <v>0</v>
      </c>
      <c r="F27" s="373">
        <f>sumifs('KIDS&amp;ADULTS'!$Z$3:$Z$1997,'KIDS&amp;ADULTS'!$V$3:$V$1997,A27,'KIDS&amp;ADULTS'!$M$3:$M$1997,"Loan")</f>
        <v>0</v>
      </c>
      <c r="G27" s="373">
        <f t="shared" si="1"/>
        <v>0</v>
      </c>
      <c r="J27" s="372">
        <v>45284.0</v>
      </c>
      <c r="K27" s="374"/>
      <c r="L27" s="374">
        <f>COUNTIFS('KIDS&amp;ADULTS'!$A$3:$A$12008,J27,'KIDS&amp;ADULTS'!$B$3:$B$12008,$L$3)</f>
        <v>0</v>
      </c>
      <c r="M27" s="374">
        <f>COUNTIFS('KIDS&amp;ADULTS'!$A$3:$A$12008,J27,'KIDS&amp;ADULTS'!$B$3:$B$12008,$M$3)</f>
        <v>0</v>
      </c>
      <c r="N27" s="374">
        <f>COUNTIFS('KIDS&amp;ADULTS'!$A$3:$A$12008,J27,'KIDS&amp;ADULTS'!$B$3:$B$12008,$N$3)</f>
        <v>0</v>
      </c>
      <c r="O27" s="375">
        <f>COUNTIFS('KIDS&amp;ADULTS'!$A$3:$A$12008,J27,'KIDS&amp;ADULTS'!$B$3:$B$12008,$O$3)</f>
        <v>0</v>
      </c>
      <c r="P27" s="375">
        <f>COUNTIFS('KIDS&amp;ADULTS'!$A$3:$A$12008,J27,'KIDS&amp;ADULTS'!$B$3:$B$12008,$P$3)</f>
        <v>0</v>
      </c>
      <c r="Q27" s="375">
        <f>COUNTIFS('KIDS&amp;ADULTS'!$A$3:$A$12008,J27,'KIDS&amp;ADULTS'!$B$3:$B$12008,$Q$3)</f>
        <v>0</v>
      </c>
      <c r="R27" s="375">
        <f>COUNTIFS('KIDS&amp;ADULTS'!$A$3:$A$1008,J27,'KIDS&amp;ADULTS'!$B$3:$B$1008,$R$3)</f>
        <v>0</v>
      </c>
      <c r="S27" s="374">
        <f>COUNTIFS('KIDS&amp;ADULTS'!$A$3:$A$12008,J27,'KIDS&amp;ADULTS'!$B$3:$B$12008,$S$3)</f>
        <v>0</v>
      </c>
      <c r="V27" s="372">
        <v>45284.0</v>
      </c>
      <c r="W27" s="376">
        <f>COUNTIFS('KIDS&amp;ADULTS'!$V$3:$V$12006,V27,'KIDS&amp;ADULTS'!$B$3:$B$12006,$L$3,'KIDS&amp;ADULTS'!$N$3:$N$12006,"Đã đóng học phí")</f>
        <v>0</v>
      </c>
      <c r="X27" s="376">
        <f>COUNTIFS('KIDS&amp;ADULTS'!$V$3:$V$12006,V27,'KIDS&amp;ADULTS'!$B$3:$B12029,$X$3,'KIDS&amp;ADULTS'!$N$3:$N$12006,"Đã đóng học phí")</f>
        <v>0</v>
      </c>
      <c r="Y27" s="376">
        <f>COUNTIFS('KIDS&amp;ADULTS'!$V$3:$V$12006,V27,'KIDS&amp;ADULTS'!$B$3:$B$12006,$Y$3,'KIDS&amp;ADULTS'!$N$3:$N$12006,"Đã đóng học phí")</f>
        <v>0</v>
      </c>
      <c r="Z27" s="376">
        <f>COUNTIFS('KIDS&amp;ADULTS'!$V$3:$V$12006,V27,'KIDS&amp;ADULTS'!$B$3:$B$12006,$Z$3,'KIDS&amp;ADULTS'!$N$3:$N$12006,"Đã đóng học phí")</f>
        <v>0</v>
      </c>
      <c r="AA27" s="376">
        <f>COUNTIFS('KIDS&amp;ADULTS'!$V$3:$V$12006,V27,'KIDS&amp;ADULTS'!$B$3:$B$12006,$AA$3,'KIDS&amp;ADULTS'!$N$3:$N$12006,"Đã đóng học phí")</f>
        <v>0</v>
      </c>
      <c r="AB27" s="376">
        <f>COUNTIFS('KIDS&amp;ADULTS'!$V$3:$V$12006,V27,'KIDS&amp;ADULTS'!$B$3:$B$12006,$AB$3,'KIDS&amp;ADULTS'!$N$3:$N$12006,"Đã đóng học phí")</f>
        <v>0</v>
      </c>
      <c r="AC27" s="376">
        <f>COUNTIFS('KIDS&amp;ADULTS'!$V$3:$V$12006,V27,'KIDS&amp;ADULTS'!$B$3:$B$12006,$AC$3,'KIDS&amp;ADULTS'!$N$3:$N$12006,"Đã đóng học phí")</f>
        <v>0</v>
      </c>
      <c r="AD27" s="376">
        <f>COUNTIFS('KIDS&amp;ADULTS'!$V$3:$V$12006,V27,'KIDS&amp;ADULTS'!$B$3:$B$12006,$AD$3,'KIDS&amp;ADULTS'!$N$3:$N$12006,"Đã đóng học phí")</f>
        <v>0</v>
      </c>
    </row>
    <row r="28" ht="15.75" customHeight="1">
      <c r="A28" s="372">
        <v>45285.0</v>
      </c>
      <c r="B28" s="373">
        <f>sumifs('KIDS&amp;ADULTS'!$Z$3:$Z$1997,'KIDS&amp;ADULTS'!$V$3:$V$1997,A28,'KIDS&amp;ADULTS'!$M$3:$M$1997,$B$3)</f>
        <v>0</v>
      </c>
      <c r="C28" s="373">
        <f>sumifs('KIDS&amp;ADULTS'!$Z$3:$Z$1997,'KIDS&amp;ADULTS'!$V$3:$V$1997,A28,'KIDS&amp;ADULTS'!$M$3:$M$1997,"phương")</f>
        <v>0</v>
      </c>
      <c r="D28" s="373">
        <f>sumifs('KIDS&amp;ADULTS'!$Z$3:$Z$1997,'KIDS&amp;ADULTS'!$V$3:$V$1997,A28,'KIDS&amp;ADULTS'!$M$3:$M$1997,$D$3)</f>
        <v>0</v>
      </c>
      <c r="E28" s="373">
        <f>sumifs('KIDS&amp;ADULTS'!$Z$3:$Z$1997,'KIDS&amp;ADULTS'!$V$3:$V$1997,A28,'KIDS&amp;ADULTS'!$M$3:$M$1997,"Ánh")</f>
        <v>0</v>
      </c>
      <c r="F28" s="373">
        <f>sumifs('KIDS&amp;ADULTS'!$Z$3:$Z$1997,'KIDS&amp;ADULTS'!$V$3:$V$1997,A28,'KIDS&amp;ADULTS'!$M$3:$M$1997,"Loan")</f>
        <v>0</v>
      </c>
      <c r="G28" s="373">
        <f t="shared" si="1"/>
        <v>0</v>
      </c>
      <c r="J28" s="372">
        <v>45285.0</v>
      </c>
      <c r="K28" s="384">
        <v>3.0</v>
      </c>
      <c r="L28" s="374">
        <f>COUNTIFS('KIDS&amp;ADULTS'!$A$3:$A$12008,J28,'KIDS&amp;ADULTS'!$B$3:$B$12008,$L$3)</f>
        <v>0</v>
      </c>
      <c r="M28" s="374">
        <f>COUNTIFS('KIDS&amp;ADULTS'!$A$3:$A$12008,J28,'KIDS&amp;ADULTS'!$B$3:$B$12008,$M$3)</f>
        <v>0</v>
      </c>
      <c r="N28" s="374">
        <f>COUNTIFS('KIDS&amp;ADULTS'!$A$3:$A$12008,J28,'KIDS&amp;ADULTS'!$B$3:$B$12008,$N$3)</f>
        <v>0</v>
      </c>
      <c r="O28" s="375">
        <f>COUNTIFS('KIDS&amp;ADULTS'!$A$3:$A$12008,J28,'KIDS&amp;ADULTS'!$B$3:$B$12008,$O$3)</f>
        <v>0</v>
      </c>
      <c r="P28" s="375">
        <f>COUNTIFS('KIDS&amp;ADULTS'!$A$3:$A$12008,J28,'KIDS&amp;ADULTS'!$B$3:$B$12008,$P$3)</f>
        <v>0</v>
      </c>
      <c r="Q28" s="375">
        <f>COUNTIFS('KIDS&amp;ADULTS'!$A$3:$A$12008,J28,'KIDS&amp;ADULTS'!$B$3:$B$12008,$Q$3)</f>
        <v>0</v>
      </c>
      <c r="R28" s="375">
        <f>COUNTIFS('KIDS&amp;ADULTS'!$A$3:$A$1008,J28,'KIDS&amp;ADULTS'!$B$3:$B$1008,$R$3)</f>
        <v>0</v>
      </c>
      <c r="S28" s="374">
        <f>COUNTIFS('KIDS&amp;ADULTS'!$A$3:$A$12008,J28,'KIDS&amp;ADULTS'!$B$3:$B$12008,$S$3)</f>
        <v>0</v>
      </c>
      <c r="V28" s="372">
        <v>45285.0</v>
      </c>
      <c r="W28" s="376">
        <f>COUNTIFS('KIDS&amp;ADULTS'!$V$3:$V$12006,V28,'KIDS&amp;ADULTS'!$B$3:$B$12006,$L$3,'KIDS&amp;ADULTS'!$N$3:$N$12006,"Đã đóng học phí")</f>
        <v>0</v>
      </c>
      <c r="X28" s="376">
        <f>COUNTIFS('KIDS&amp;ADULTS'!$V$3:$V$12006,V28,'KIDS&amp;ADULTS'!$B$3:$B12030,$X$3,'KIDS&amp;ADULTS'!$N$3:$N$12006,"Đã đóng học phí")</f>
        <v>0</v>
      </c>
      <c r="Y28" s="376">
        <f>COUNTIFS('KIDS&amp;ADULTS'!$V$3:$V$12006,V28,'KIDS&amp;ADULTS'!$B$3:$B$12006,$Y$3,'KIDS&amp;ADULTS'!$N$3:$N$12006,"Đã đóng học phí")</f>
        <v>0</v>
      </c>
      <c r="Z28" s="376">
        <f>COUNTIFS('KIDS&amp;ADULTS'!$V$3:$V$12006,V28,'KIDS&amp;ADULTS'!$B$3:$B$12006,$Z$3,'KIDS&amp;ADULTS'!$N$3:$N$12006,"Đã đóng học phí")</f>
        <v>0</v>
      </c>
      <c r="AA28" s="376">
        <f>COUNTIFS('KIDS&amp;ADULTS'!$V$3:$V$12006,V28,'KIDS&amp;ADULTS'!$B$3:$B$12006,$AA$3,'KIDS&amp;ADULTS'!$N$3:$N$12006,"Đã đóng học phí")</f>
        <v>0</v>
      </c>
      <c r="AB28" s="376">
        <f>COUNTIFS('KIDS&amp;ADULTS'!$V$3:$V$12006,V28,'KIDS&amp;ADULTS'!$B$3:$B$12006,$AB$3,'KIDS&amp;ADULTS'!$N$3:$N$12006,"Đã đóng học phí")</f>
        <v>0</v>
      </c>
      <c r="AC28" s="376">
        <f>COUNTIFS('KIDS&amp;ADULTS'!$V$3:$V$12006,V28,'KIDS&amp;ADULTS'!$B$3:$B$12006,$AC$3,'KIDS&amp;ADULTS'!$N$3:$N$12006,"Đã đóng học phí")</f>
        <v>0</v>
      </c>
      <c r="AD28" s="376">
        <f>COUNTIFS('KIDS&amp;ADULTS'!$V$3:$V$12006,V28,'KIDS&amp;ADULTS'!$B$3:$B$12006,$AD$3,'KIDS&amp;ADULTS'!$N$3:$N$12006,"Đã đóng học phí")</f>
        <v>0</v>
      </c>
    </row>
    <row r="29" ht="15.75" customHeight="1">
      <c r="A29" s="372">
        <v>45286.0</v>
      </c>
      <c r="B29" s="373">
        <f>sumifs('KIDS&amp;ADULTS'!$Z$3:$Z$1997,'KIDS&amp;ADULTS'!$V$3:$V$1997,A29,'KIDS&amp;ADULTS'!$M$3:$M$1997,$B$3)</f>
        <v>0</v>
      </c>
      <c r="C29" s="373">
        <f>sumifs('KIDS&amp;ADULTS'!$Z$3:$Z$1997,'KIDS&amp;ADULTS'!$V$3:$V$1997,A29,'KIDS&amp;ADULTS'!$M$3:$M$1997,"phương")</f>
        <v>0</v>
      </c>
      <c r="D29" s="373">
        <f>sumifs('KIDS&amp;ADULTS'!$Z$3:$Z$1997,'KIDS&amp;ADULTS'!$V$3:$V$1997,A29,'KIDS&amp;ADULTS'!$M$3:$M$1997,$D$3)</f>
        <v>0</v>
      </c>
      <c r="E29" s="373">
        <f>sumifs('KIDS&amp;ADULTS'!$Z$3:$Z$1997,'KIDS&amp;ADULTS'!$V$3:$V$1997,A29,'KIDS&amp;ADULTS'!$M$3:$M$1997,"Ánh")</f>
        <v>0</v>
      </c>
      <c r="F29" s="373">
        <f>sumifs('KIDS&amp;ADULTS'!$Z$3:$Z$1997,'KIDS&amp;ADULTS'!$V$3:$V$1997,A29,'KIDS&amp;ADULTS'!$M$3:$M$1997,"Loan")</f>
        <v>0</v>
      </c>
      <c r="G29" s="373">
        <f t="shared" si="1"/>
        <v>0</v>
      </c>
      <c r="J29" s="372">
        <v>45286.0</v>
      </c>
      <c r="K29" s="385"/>
      <c r="L29" s="374">
        <f>COUNTIFS('KIDS&amp;ADULTS'!$A$3:$A$12008,J29,'KIDS&amp;ADULTS'!$B$3:$B$12008,$L$3)</f>
        <v>0</v>
      </c>
      <c r="M29" s="374">
        <f>COUNTIFS('KIDS&amp;ADULTS'!$A$3:$A$12008,J29,'KIDS&amp;ADULTS'!$B$3:$B$12008,$M$3)</f>
        <v>0</v>
      </c>
      <c r="N29" s="374">
        <f>COUNTIFS('KIDS&amp;ADULTS'!$A$3:$A$12008,J29,'KIDS&amp;ADULTS'!$B$3:$B$12008,$N$3)</f>
        <v>0</v>
      </c>
      <c r="O29" s="375">
        <f>COUNTIFS('KIDS&amp;ADULTS'!$A$3:$A$12008,J29,'KIDS&amp;ADULTS'!$B$3:$B$12008,$O$3)</f>
        <v>0</v>
      </c>
      <c r="P29" s="375">
        <f>COUNTIFS('KIDS&amp;ADULTS'!$A$3:$A$12008,J29,'KIDS&amp;ADULTS'!$B$3:$B$12008,$P$3)</f>
        <v>0</v>
      </c>
      <c r="Q29" s="375">
        <f>COUNTIFS('KIDS&amp;ADULTS'!$A$3:$A$12008,J29,'KIDS&amp;ADULTS'!$B$3:$B$12008,$Q$3)</f>
        <v>0</v>
      </c>
      <c r="R29" s="375">
        <f>COUNTIFS('KIDS&amp;ADULTS'!$A$3:$A$1008,J29,'KIDS&amp;ADULTS'!$B$3:$B$1008,$R$3)</f>
        <v>0</v>
      </c>
      <c r="S29" s="374">
        <f>COUNTIFS('KIDS&amp;ADULTS'!$A$3:$A$12008,J29,'KIDS&amp;ADULTS'!$B$3:$B$12008,$S$3)</f>
        <v>0</v>
      </c>
      <c r="V29" s="372">
        <v>45286.0</v>
      </c>
      <c r="W29" s="376">
        <f>COUNTIFS('KIDS&amp;ADULTS'!$V$3:$V$12006,V29,'KIDS&amp;ADULTS'!$B$3:$B$12006,$L$3,'KIDS&amp;ADULTS'!$N$3:$N$12006,"Đã đóng học phí")</f>
        <v>0</v>
      </c>
      <c r="X29" s="376">
        <f>COUNTIFS('KIDS&amp;ADULTS'!$V$3:$V$12006,V29,'KIDS&amp;ADULTS'!$B$3:$B12031,$X$3,'KIDS&amp;ADULTS'!$N$3:$N$12006,"Đã đóng học phí")</f>
        <v>0</v>
      </c>
      <c r="Y29" s="376">
        <f>COUNTIFS('KIDS&amp;ADULTS'!$V$3:$V$12006,V29,'KIDS&amp;ADULTS'!$B$3:$B$12006,$Y$3,'KIDS&amp;ADULTS'!$N$3:$N$12006,"Đã đóng học phí")</f>
        <v>0</v>
      </c>
      <c r="Z29" s="376">
        <f>COUNTIFS('KIDS&amp;ADULTS'!$V$3:$V$12006,V29,'KIDS&amp;ADULTS'!$B$3:$B$12006,$Z$3,'KIDS&amp;ADULTS'!$N$3:$N$12006,"Đã đóng học phí")</f>
        <v>0</v>
      </c>
      <c r="AA29" s="376">
        <f>COUNTIFS('KIDS&amp;ADULTS'!$V$3:$V$12006,V29,'KIDS&amp;ADULTS'!$B$3:$B$12006,$AA$3,'KIDS&amp;ADULTS'!$N$3:$N$12006,"Đã đóng học phí")</f>
        <v>0</v>
      </c>
      <c r="AB29" s="376">
        <f>COUNTIFS('KIDS&amp;ADULTS'!$V$3:$V$12006,V29,'KIDS&amp;ADULTS'!$B$3:$B$12006,$AB$3,'KIDS&amp;ADULTS'!$N$3:$N$12006,"Đã đóng học phí")</f>
        <v>0</v>
      </c>
      <c r="AC29" s="376">
        <f>COUNTIFS('KIDS&amp;ADULTS'!$V$3:$V$12006,V29,'KIDS&amp;ADULTS'!$B$3:$B$12006,$AC$3,'KIDS&amp;ADULTS'!$N$3:$N$12006,"Đã đóng học phí")</f>
        <v>0</v>
      </c>
      <c r="AD29" s="376">
        <f>COUNTIFS('KIDS&amp;ADULTS'!$V$3:$V$12006,V29,'KIDS&amp;ADULTS'!$B$3:$B$12006,$AD$3,'KIDS&amp;ADULTS'!$N$3:$N$12006,"Đã đóng học phí")</f>
        <v>0</v>
      </c>
    </row>
    <row r="30" ht="15.75" customHeight="1">
      <c r="A30" s="372">
        <v>45287.0</v>
      </c>
      <c r="B30" s="373">
        <f>sumifs('KIDS&amp;ADULTS'!$Z$3:$Z$1997,'KIDS&amp;ADULTS'!$V$3:$V$1997,A30,'KIDS&amp;ADULTS'!$M$3:$M$1997,$B$3)</f>
        <v>0</v>
      </c>
      <c r="C30" s="373">
        <f>sumifs('KIDS&amp;ADULTS'!$Z$3:$Z$1997,'KIDS&amp;ADULTS'!$V$3:$V$1997,A30,'KIDS&amp;ADULTS'!$M$3:$M$1997,"phương")</f>
        <v>0</v>
      </c>
      <c r="D30" s="373">
        <f>sumifs('KIDS&amp;ADULTS'!$Z$3:$Z$1997,'KIDS&amp;ADULTS'!$V$3:$V$1997,A30,'KIDS&amp;ADULTS'!$M$3:$M$1997,$D$3)</f>
        <v>0</v>
      </c>
      <c r="E30" s="373">
        <f>sumifs('KIDS&amp;ADULTS'!$Z$3:$Z$1997,'KIDS&amp;ADULTS'!$V$3:$V$1997,A30,'KIDS&amp;ADULTS'!$M$3:$M$1997,"Ánh")</f>
        <v>0</v>
      </c>
      <c r="F30" s="373">
        <f>sumifs('KIDS&amp;ADULTS'!$Z$3:$Z$1997,'KIDS&amp;ADULTS'!$V$3:$V$1997,A30,'KIDS&amp;ADULTS'!$M$3:$M$1997,"Loan")</f>
        <v>0</v>
      </c>
      <c r="G30" s="373">
        <f t="shared" si="1"/>
        <v>0</v>
      </c>
      <c r="J30" s="372">
        <v>45287.0</v>
      </c>
      <c r="K30" s="384">
        <v>5.0</v>
      </c>
      <c r="L30" s="374">
        <f>COUNTIFS('KIDS&amp;ADULTS'!$A$3:$A$12008,J30,'KIDS&amp;ADULTS'!$B$3:$B$12008,$L$3)</f>
        <v>0</v>
      </c>
      <c r="M30" s="374">
        <f>COUNTIFS('KIDS&amp;ADULTS'!$A$3:$A$12008,J30,'KIDS&amp;ADULTS'!$B$3:$B$12008,$M$3)</f>
        <v>0</v>
      </c>
      <c r="N30" s="374">
        <f>COUNTIFS('KIDS&amp;ADULTS'!$A$3:$A$12008,J30,'KIDS&amp;ADULTS'!$B$3:$B$12008,$N$3)</f>
        <v>0</v>
      </c>
      <c r="O30" s="375">
        <f>COUNTIFS('KIDS&amp;ADULTS'!$A$3:$A$12008,J30,'KIDS&amp;ADULTS'!$B$3:$B$12008,$O$3)</f>
        <v>0</v>
      </c>
      <c r="P30" s="375">
        <f>COUNTIFS('KIDS&amp;ADULTS'!$A$3:$A$12008,J30,'KIDS&amp;ADULTS'!$B$3:$B$12008,$P$3)</f>
        <v>0</v>
      </c>
      <c r="Q30" s="375">
        <f>COUNTIFS('KIDS&amp;ADULTS'!$A$3:$A$12008,J30,'KIDS&amp;ADULTS'!$B$3:$B$12008,$Q$3)</f>
        <v>0</v>
      </c>
      <c r="R30" s="375">
        <f>COUNTIFS('KIDS&amp;ADULTS'!$A$3:$A$1008,J30,'KIDS&amp;ADULTS'!$B$3:$B$1008,$R$3)</f>
        <v>0</v>
      </c>
      <c r="S30" s="374">
        <f>COUNTIFS('KIDS&amp;ADULTS'!$A$3:$A$12008,J30,'KIDS&amp;ADULTS'!$B$3:$B$12008,$S$3)</f>
        <v>0</v>
      </c>
      <c r="V30" s="372">
        <v>45287.0</v>
      </c>
      <c r="W30" s="376">
        <f>COUNTIFS('KIDS&amp;ADULTS'!$V$3:$V$12006,V30,'KIDS&amp;ADULTS'!$B$3:$B$12006,$L$3,'KIDS&amp;ADULTS'!$N$3:$N$12006,"Đã đóng học phí")</f>
        <v>0</v>
      </c>
      <c r="X30" s="376">
        <f>COUNTIFS('KIDS&amp;ADULTS'!$V$3:$V$12006,V30,'KIDS&amp;ADULTS'!$B$3:$B12032,$X$3,'KIDS&amp;ADULTS'!$N$3:$N$12006,"Đã đóng học phí")</f>
        <v>0</v>
      </c>
      <c r="Y30" s="376">
        <f>COUNTIFS('KIDS&amp;ADULTS'!$V$3:$V$12006,V30,'KIDS&amp;ADULTS'!$B$3:$B$12006,$Y$3,'KIDS&amp;ADULTS'!$N$3:$N$12006,"Đã đóng học phí")</f>
        <v>0</v>
      </c>
      <c r="Z30" s="376">
        <f>COUNTIFS('KIDS&amp;ADULTS'!$V$3:$V$12006,V30,'KIDS&amp;ADULTS'!$B$3:$B$12006,$Z$3,'KIDS&amp;ADULTS'!$N$3:$N$12006,"Đã đóng học phí")</f>
        <v>0</v>
      </c>
      <c r="AA30" s="376">
        <f>COUNTIFS('KIDS&amp;ADULTS'!$V$3:$V$12006,V30,'KIDS&amp;ADULTS'!$B$3:$B$12006,$AA$3,'KIDS&amp;ADULTS'!$N$3:$N$12006,"Đã đóng học phí")</f>
        <v>0</v>
      </c>
      <c r="AB30" s="376">
        <f>COUNTIFS('KIDS&amp;ADULTS'!$V$3:$V$12006,V30,'KIDS&amp;ADULTS'!$B$3:$B$12006,$AB$3,'KIDS&amp;ADULTS'!$N$3:$N$12006,"Đã đóng học phí")</f>
        <v>0</v>
      </c>
      <c r="AC30" s="376">
        <f>COUNTIFS('KIDS&amp;ADULTS'!$V$3:$V$12006,V30,'KIDS&amp;ADULTS'!$B$3:$B$12006,$AC$3,'KIDS&amp;ADULTS'!$N$3:$N$12006,"Đã đóng học phí")</f>
        <v>0</v>
      </c>
      <c r="AD30" s="376">
        <f>COUNTIFS('KIDS&amp;ADULTS'!$V$3:$V$12006,V30,'KIDS&amp;ADULTS'!$B$3:$B$12006,$AD$3,'KIDS&amp;ADULTS'!$N$3:$N$12006,"Đã đóng học phí")</f>
        <v>0</v>
      </c>
    </row>
    <row r="31" ht="15.75" customHeight="1">
      <c r="A31" s="372">
        <v>45288.0</v>
      </c>
      <c r="B31" s="373">
        <f>sumifs('KIDS&amp;ADULTS'!$Z$3:$Z$1997,'KIDS&amp;ADULTS'!$V$3:$V$1997,A31,'KIDS&amp;ADULTS'!$M$3:$M$1997,$B$3)</f>
        <v>0</v>
      </c>
      <c r="C31" s="373">
        <f>sumifs('KIDS&amp;ADULTS'!$Z$3:$Z$1997,'KIDS&amp;ADULTS'!$V$3:$V$1997,A31,'KIDS&amp;ADULTS'!$M$3:$M$1997,"phương")</f>
        <v>0</v>
      </c>
      <c r="D31" s="373">
        <f>sumifs('KIDS&amp;ADULTS'!$Z$3:$Z$1997,'KIDS&amp;ADULTS'!$V$3:$V$1997,A31,'KIDS&amp;ADULTS'!$M$3:$M$1997,$D$3)</f>
        <v>0</v>
      </c>
      <c r="E31" s="373">
        <f>sumifs('KIDS&amp;ADULTS'!$Z$3:$Z$1997,'KIDS&amp;ADULTS'!$V$3:$V$1997,A31,'KIDS&amp;ADULTS'!$M$3:$M$1997,"Ánh")</f>
        <v>0</v>
      </c>
      <c r="F31" s="373">
        <f>sumifs('KIDS&amp;ADULTS'!$Z$3:$Z$1997,'KIDS&amp;ADULTS'!$V$3:$V$1997,A31,'KIDS&amp;ADULTS'!$M$3:$M$1997,"Loan")</f>
        <v>0</v>
      </c>
      <c r="G31" s="373">
        <f t="shared" si="1"/>
        <v>0</v>
      </c>
      <c r="J31" s="372">
        <v>45288.0</v>
      </c>
      <c r="K31" s="384">
        <v>7.0</v>
      </c>
      <c r="L31" s="374">
        <f>COUNTIFS('KIDS&amp;ADULTS'!$A$3:$A$12008,J31,'KIDS&amp;ADULTS'!$B$3:$B$12008,$L$3)</f>
        <v>0</v>
      </c>
      <c r="M31" s="374">
        <f>COUNTIFS('KIDS&amp;ADULTS'!$A$3:$A$12008,J31,'KIDS&amp;ADULTS'!$B$3:$B$12008,$M$3)</f>
        <v>0</v>
      </c>
      <c r="N31" s="374">
        <f>COUNTIFS('KIDS&amp;ADULTS'!$A$3:$A$12008,J31,'KIDS&amp;ADULTS'!$B$3:$B$12008,$N$3)</f>
        <v>0</v>
      </c>
      <c r="O31" s="375">
        <f>COUNTIFS('KIDS&amp;ADULTS'!$A$3:$A$12008,J31,'KIDS&amp;ADULTS'!$B$3:$B$12008,$O$3)</f>
        <v>0</v>
      </c>
      <c r="P31" s="375">
        <f>COUNTIFS('KIDS&amp;ADULTS'!$A$3:$A$12008,J31,'KIDS&amp;ADULTS'!$B$3:$B$12008,$P$3)</f>
        <v>0</v>
      </c>
      <c r="Q31" s="375">
        <f>COUNTIFS('KIDS&amp;ADULTS'!$A$3:$A$12008,J31,'KIDS&amp;ADULTS'!$B$3:$B$12008,$Q$3)</f>
        <v>0</v>
      </c>
      <c r="R31" s="375">
        <f>COUNTIFS('KIDS&amp;ADULTS'!$A$3:$A$1008,J31,'KIDS&amp;ADULTS'!$B$3:$B$1008,$R$3)</f>
        <v>0</v>
      </c>
      <c r="S31" s="374">
        <f>COUNTIFS('KIDS&amp;ADULTS'!$A$3:$A$12008,J31,'KIDS&amp;ADULTS'!$B$3:$B$12008,$S$3)</f>
        <v>0</v>
      </c>
      <c r="V31" s="372">
        <v>45288.0</v>
      </c>
      <c r="W31" s="376">
        <f>COUNTIFS('KIDS&amp;ADULTS'!$V$3:$V$12006,V31,'KIDS&amp;ADULTS'!$B$3:$B$12006,$L$3,'KIDS&amp;ADULTS'!$N$3:$N$12006,"Đã đóng học phí")</f>
        <v>0</v>
      </c>
      <c r="X31" s="376">
        <f>COUNTIFS('KIDS&amp;ADULTS'!$V$3:$V$12006,V31,'KIDS&amp;ADULTS'!$B$3:$B12033,$X$3,'KIDS&amp;ADULTS'!$N$3:$N$12006,"Đã đóng học phí")</f>
        <v>0</v>
      </c>
      <c r="Y31" s="376">
        <f>COUNTIFS('KIDS&amp;ADULTS'!$V$3:$V$12006,V31,'KIDS&amp;ADULTS'!$B$3:$B$12006,$Y$3,'KIDS&amp;ADULTS'!$N$3:$N$12006,"Đã đóng học phí")</f>
        <v>0</v>
      </c>
      <c r="Z31" s="376">
        <f>COUNTIFS('KIDS&amp;ADULTS'!$V$3:$V$12006,V31,'KIDS&amp;ADULTS'!$B$3:$B$12006,$Z$3,'KIDS&amp;ADULTS'!$N$3:$N$12006,"Đã đóng học phí")</f>
        <v>0</v>
      </c>
      <c r="AA31" s="376">
        <f>COUNTIFS('KIDS&amp;ADULTS'!$V$3:$V$12006,V31,'KIDS&amp;ADULTS'!$B$3:$B$12006,$AA$3,'KIDS&amp;ADULTS'!$N$3:$N$12006,"Đã đóng học phí")</f>
        <v>0</v>
      </c>
      <c r="AB31" s="376">
        <f>COUNTIFS('KIDS&amp;ADULTS'!$V$3:$V$12006,V31,'KIDS&amp;ADULTS'!$B$3:$B$12006,$AB$3,'KIDS&amp;ADULTS'!$N$3:$N$12006,"Đã đóng học phí")</f>
        <v>0</v>
      </c>
      <c r="AC31" s="376">
        <f>COUNTIFS('KIDS&amp;ADULTS'!$V$3:$V$12006,V31,'KIDS&amp;ADULTS'!$B$3:$B$12006,$AC$3,'KIDS&amp;ADULTS'!$N$3:$N$12006,"Đã đóng học phí")</f>
        <v>0</v>
      </c>
      <c r="AD31" s="376">
        <f>COUNTIFS('KIDS&amp;ADULTS'!$V$3:$V$12006,V31,'KIDS&amp;ADULTS'!$B$3:$B$12006,$AD$3,'KIDS&amp;ADULTS'!$N$3:$N$12006,"Đã đóng học phí")</f>
        <v>0</v>
      </c>
    </row>
    <row r="32" ht="15.75" customHeight="1">
      <c r="A32" s="372">
        <v>45289.0</v>
      </c>
      <c r="B32" s="373">
        <f>sumifs('KIDS&amp;ADULTS'!$Z$3:$Z$1997,'KIDS&amp;ADULTS'!$V$3:$V$1997,A32,'KIDS&amp;ADULTS'!$M$3:$M$1997,$B$3)</f>
        <v>0</v>
      </c>
      <c r="C32" s="373">
        <f>sumifs('KIDS&amp;ADULTS'!$Z$3:$Z$1997,'KIDS&amp;ADULTS'!$V$3:$V$1997,A32,'KIDS&amp;ADULTS'!$M$3:$M$1997,"phương")</f>
        <v>0</v>
      </c>
      <c r="D32" s="373">
        <f>sumifs('KIDS&amp;ADULTS'!$Z$3:$Z$1997,'KIDS&amp;ADULTS'!$V$3:$V$1997,A32,'KIDS&amp;ADULTS'!$M$3:$M$1997,$D$3)</f>
        <v>0</v>
      </c>
      <c r="E32" s="373">
        <f>sumifs('KIDS&amp;ADULTS'!$Z$3:$Z$1997,'KIDS&amp;ADULTS'!$V$3:$V$1997,A32,'KIDS&amp;ADULTS'!$M$3:$M$1997,"Ánh")</f>
        <v>0</v>
      </c>
      <c r="F32" s="373">
        <f>sumifs('KIDS&amp;ADULTS'!$Z$3:$Z$1997,'KIDS&amp;ADULTS'!$V$3:$V$1997,A32,'KIDS&amp;ADULTS'!$M$3:$M$1997,"Loan")</f>
        <v>0</v>
      </c>
      <c r="G32" s="373">
        <f t="shared" si="1"/>
        <v>0</v>
      </c>
      <c r="J32" s="372">
        <v>45289.0</v>
      </c>
      <c r="K32" s="384">
        <v>3.0</v>
      </c>
      <c r="L32" s="374">
        <f>COUNTIFS('KIDS&amp;ADULTS'!$A$3:$A$12008,J32,'KIDS&amp;ADULTS'!$B$3:$B$12008,$L$3)</f>
        <v>0</v>
      </c>
      <c r="M32" s="374">
        <f>COUNTIFS('KIDS&amp;ADULTS'!$A$3:$A$12008,J32,'KIDS&amp;ADULTS'!$B$3:$B$12008,$M$3)</f>
        <v>0</v>
      </c>
      <c r="N32" s="374">
        <f>COUNTIFS('KIDS&amp;ADULTS'!$A$3:$A$12008,J32,'KIDS&amp;ADULTS'!$B$3:$B$12008,$N$3)</f>
        <v>0</v>
      </c>
      <c r="O32" s="375">
        <f>COUNTIFS('KIDS&amp;ADULTS'!$A$3:$A$12008,J32,'KIDS&amp;ADULTS'!$B$3:$B$12008,$O$3)</f>
        <v>0</v>
      </c>
      <c r="P32" s="375">
        <f>COUNTIFS('KIDS&amp;ADULTS'!$A$3:$A$12008,J32,'KIDS&amp;ADULTS'!$B$3:$B$12008,$P$3)</f>
        <v>0</v>
      </c>
      <c r="Q32" s="375">
        <f>COUNTIFS('KIDS&amp;ADULTS'!$A$3:$A$12008,J32,'KIDS&amp;ADULTS'!$B$3:$B$12008,$Q$3)</f>
        <v>0</v>
      </c>
      <c r="R32" s="375">
        <f>COUNTIFS('KIDS&amp;ADULTS'!$A$3:$A$1008,J32,'KIDS&amp;ADULTS'!$B$3:$B$1008,$R$3)</f>
        <v>0</v>
      </c>
      <c r="S32" s="374">
        <f>COUNTIFS('KIDS&amp;ADULTS'!$A$3:$A$12008,J32,'KIDS&amp;ADULTS'!$B$3:$B$12008,$S$3)</f>
        <v>0</v>
      </c>
      <c r="V32" s="372">
        <v>45289.0</v>
      </c>
      <c r="W32" s="376">
        <f>COUNTIFS('KIDS&amp;ADULTS'!$V$3:$V$12006,V32,'KIDS&amp;ADULTS'!$B$3:$B$12006,$L$3,'KIDS&amp;ADULTS'!$N$3:$N$12006,"Đã đóng học phí")</f>
        <v>0</v>
      </c>
      <c r="X32" s="376">
        <f>COUNTIFS('KIDS&amp;ADULTS'!$V$3:$V$12006,V32,'KIDS&amp;ADULTS'!$B$3:$B12034,$X$3,'KIDS&amp;ADULTS'!$N$3:$N$12006,"Đã đóng học phí")</f>
        <v>0</v>
      </c>
      <c r="Y32" s="376">
        <f>COUNTIFS('KIDS&amp;ADULTS'!$V$3:$V$12006,V32,'KIDS&amp;ADULTS'!$B$3:$B$12006,$Y$3,'KIDS&amp;ADULTS'!$N$3:$N$12006,"Đã đóng học phí")</f>
        <v>0</v>
      </c>
      <c r="Z32" s="376">
        <f>COUNTIFS('KIDS&amp;ADULTS'!$V$3:$V$12006,V32,'KIDS&amp;ADULTS'!$B$3:$B$12006,$Z$3,'KIDS&amp;ADULTS'!$N$3:$N$12006,"Đã đóng học phí")</f>
        <v>0</v>
      </c>
      <c r="AA32" s="376">
        <f>COUNTIFS('KIDS&amp;ADULTS'!$V$3:$V$12006,V32,'KIDS&amp;ADULTS'!$B$3:$B$12006,$AA$3,'KIDS&amp;ADULTS'!$N$3:$N$12006,"Đã đóng học phí")</f>
        <v>0</v>
      </c>
      <c r="AB32" s="376">
        <f>COUNTIFS('KIDS&amp;ADULTS'!$V$3:$V$12006,V32,'KIDS&amp;ADULTS'!$B$3:$B$12006,$AB$3,'KIDS&amp;ADULTS'!$N$3:$N$12006,"Đã đóng học phí")</f>
        <v>0</v>
      </c>
      <c r="AC32" s="376">
        <f>COUNTIFS('KIDS&amp;ADULTS'!$V$3:$V$12006,V32,'KIDS&amp;ADULTS'!$B$3:$B$12006,$AC$3,'KIDS&amp;ADULTS'!$N$3:$N$12006,"Đã đóng học phí")</f>
        <v>0</v>
      </c>
      <c r="AD32" s="376">
        <f>COUNTIFS('KIDS&amp;ADULTS'!$V$3:$V$12006,V32,'KIDS&amp;ADULTS'!$B$3:$B$12006,$AD$3,'KIDS&amp;ADULTS'!$N$3:$N$12006,"Đã đóng học phí")</f>
        <v>0</v>
      </c>
    </row>
    <row r="33" ht="15.75" customHeight="1">
      <c r="A33" s="372">
        <v>45290.0</v>
      </c>
      <c r="B33" s="373">
        <f>sumifs('KIDS&amp;ADULTS'!$Z$3:$Z$1997,'KIDS&amp;ADULTS'!$V$3:$V$1997,A33,'KIDS&amp;ADULTS'!$M$3:$M$1997,$B$3)</f>
        <v>0</v>
      </c>
      <c r="C33" s="373">
        <f>sumifs('KIDS&amp;ADULTS'!$Z$3:$Z$1997,'KIDS&amp;ADULTS'!$V$3:$V$1997,A33,'KIDS&amp;ADULTS'!$M$3:$M$1997,"phương")</f>
        <v>0</v>
      </c>
      <c r="D33" s="373">
        <f>sumifs('KIDS&amp;ADULTS'!$Z$3:$Z$1997,'KIDS&amp;ADULTS'!$V$3:$V$1997,A33,'KIDS&amp;ADULTS'!$M$3:$M$1997,$D$3)</f>
        <v>0</v>
      </c>
      <c r="E33" s="373">
        <f>sumifs('KIDS&amp;ADULTS'!$Z$3:$Z$1997,'KIDS&amp;ADULTS'!$V$3:$V$1997,A33,'KIDS&amp;ADULTS'!$M$3:$M$1997,"Ánh")</f>
        <v>0</v>
      </c>
      <c r="F33" s="373">
        <f>sumifs('KIDS&amp;ADULTS'!$Z$3:$Z$1997,'KIDS&amp;ADULTS'!$V$3:$V$1997,A33,'KIDS&amp;ADULTS'!$M$3:$M$1997,"Loan")</f>
        <v>0</v>
      </c>
      <c r="G33" s="373">
        <f t="shared" si="1"/>
        <v>0</v>
      </c>
      <c r="J33" s="372">
        <v>45290.0</v>
      </c>
      <c r="K33" s="374"/>
      <c r="L33" s="374">
        <f>COUNTIFS('KIDS&amp;ADULTS'!$A$3:$A$12008,J33,'KIDS&amp;ADULTS'!$B$3:$B$12008,$L$3)</f>
        <v>0</v>
      </c>
      <c r="M33" s="374">
        <f>COUNTIFS('KIDS&amp;ADULTS'!$A$3:$A$12008,J33,'KIDS&amp;ADULTS'!$B$3:$B$12008,$M$3)</f>
        <v>0</v>
      </c>
      <c r="N33" s="374">
        <f>COUNTIFS('KIDS&amp;ADULTS'!$A$3:$A$12008,J33,'KIDS&amp;ADULTS'!$B$3:$B$12008,$N$3)</f>
        <v>0</v>
      </c>
      <c r="O33" s="375">
        <f>COUNTIFS('KIDS&amp;ADULTS'!$A$3:$A$12008,J33,'KIDS&amp;ADULTS'!$B$3:$B$12008,$O$3)</f>
        <v>0</v>
      </c>
      <c r="P33" s="375">
        <f>COUNTIFS('KIDS&amp;ADULTS'!$A$3:$A$12008,J33,'KIDS&amp;ADULTS'!$B$3:$B$12008,$P$3)</f>
        <v>0</v>
      </c>
      <c r="Q33" s="375">
        <f>COUNTIFS('KIDS&amp;ADULTS'!$A$3:$A$12008,J33,'KIDS&amp;ADULTS'!$B$3:$B$12008,$Q$3)</f>
        <v>0</v>
      </c>
      <c r="R33" s="375">
        <f>COUNTIFS('KIDS&amp;ADULTS'!$A$3:$A$1008,J33,'KIDS&amp;ADULTS'!$B$3:$B$1008,$R$3)</f>
        <v>0</v>
      </c>
      <c r="S33" s="374">
        <f>COUNTIFS('KIDS&amp;ADULTS'!$A$3:$A$12008,J33,'KIDS&amp;ADULTS'!$B$3:$B$12008,$S$3)</f>
        <v>0</v>
      </c>
      <c r="V33" s="372">
        <v>45290.0</v>
      </c>
      <c r="W33" s="376">
        <f>COUNTIFS('KIDS&amp;ADULTS'!$V$3:$V$12006,V33,'KIDS&amp;ADULTS'!$B$3:$B$12006,$L$3,'KIDS&amp;ADULTS'!$N$3:$N$12006,"Đã đóng học phí")</f>
        <v>0</v>
      </c>
      <c r="X33" s="376">
        <f>COUNTIFS('KIDS&amp;ADULTS'!$V$3:$V$12006,V33,'KIDS&amp;ADULTS'!$B$3:$B12035,$X$3,'KIDS&amp;ADULTS'!$N$3:$N$12006,"Đã đóng học phí")</f>
        <v>0</v>
      </c>
      <c r="Y33" s="376">
        <f>COUNTIFS('KIDS&amp;ADULTS'!$V$3:$V$12006,V33,'KIDS&amp;ADULTS'!$B$3:$B$12006,$Y$3,'KIDS&amp;ADULTS'!$N$3:$N$12006,"Đã đóng học phí")</f>
        <v>0</v>
      </c>
      <c r="Z33" s="376">
        <f>COUNTIFS('KIDS&amp;ADULTS'!$V$3:$V$12006,V33,'KIDS&amp;ADULTS'!$B$3:$B$12006,$Z$3,'KIDS&amp;ADULTS'!$N$3:$N$12006,"Đã đóng học phí")</f>
        <v>0</v>
      </c>
      <c r="AA33" s="376">
        <f>COUNTIFS('KIDS&amp;ADULTS'!$V$3:$V$12006,V33,'KIDS&amp;ADULTS'!$B$3:$B$12006,$AA$3,'KIDS&amp;ADULTS'!$N$3:$N$12006,"Đã đóng học phí")</f>
        <v>0</v>
      </c>
      <c r="AB33" s="376">
        <f>COUNTIFS('KIDS&amp;ADULTS'!$V$3:$V$12006,V33,'KIDS&amp;ADULTS'!$B$3:$B$12006,$AB$3,'KIDS&amp;ADULTS'!$N$3:$N$12006,"Đã đóng học phí")</f>
        <v>0</v>
      </c>
      <c r="AC33" s="376">
        <f>COUNTIFS('KIDS&amp;ADULTS'!$V$3:$V$12006,V33,'KIDS&amp;ADULTS'!$B$3:$B$12006,$AC$3,'KIDS&amp;ADULTS'!$N$3:$N$12006,"Đã đóng học phí")</f>
        <v>0</v>
      </c>
      <c r="AD33" s="376">
        <f>COUNTIFS('KIDS&amp;ADULTS'!$V$3:$V$12006,V33,'KIDS&amp;ADULTS'!$B$3:$B$12006,$AD$3,'KIDS&amp;ADULTS'!$N$3:$N$12006,"Đã đóng học phí")</f>
        <v>0</v>
      </c>
    </row>
    <row r="34" ht="15.75" customHeight="1">
      <c r="A34" s="372">
        <v>45291.0</v>
      </c>
      <c r="B34" s="373">
        <f>sumifs('KIDS&amp;ADULTS'!$Z$3:$Z$1997,'KIDS&amp;ADULTS'!$V$3:$V$1997,A34,'KIDS&amp;ADULTS'!$M$3:$M$1997,$B$3)</f>
        <v>0</v>
      </c>
      <c r="C34" s="373">
        <f>sumifs('KIDS&amp;ADULTS'!$Z$3:$Z$1997,'KIDS&amp;ADULTS'!$V$3:$V$1997,A34,'KIDS&amp;ADULTS'!$M$3:$M$1997,"phương")</f>
        <v>0</v>
      </c>
      <c r="D34" s="373">
        <f>sumifs('KIDS&amp;ADULTS'!$Z$3:$Z$1997,'KIDS&amp;ADULTS'!$V$3:$V$1997,A34,'KIDS&amp;ADULTS'!$M$3:$M$1997,$D$3)</f>
        <v>0</v>
      </c>
      <c r="E34" s="373">
        <f>sumifs('KIDS&amp;ADULTS'!$Z$3:$Z$1997,'KIDS&amp;ADULTS'!$V$3:$V$1997,A34,'KIDS&amp;ADULTS'!$M$3:$M$1997,"Ánh")</f>
        <v>0</v>
      </c>
      <c r="F34" s="373">
        <f>sumifs('KIDS&amp;ADULTS'!$Z$3:$Z$1997,'KIDS&amp;ADULTS'!$V$3:$V$1997,A34,'KIDS&amp;ADULTS'!$M$3:$M$1997,"Loan")</f>
        <v>0</v>
      </c>
      <c r="G34" s="373">
        <f t="shared" si="1"/>
        <v>0</v>
      </c>
      <c r="J34" s="372">
        <v>45291.0</v>
      </c>
      <c r="K34" s="374"/>
      <c r="L34" s="374">
        <f>COUNTIFS('KIDS&amp;ADULTS'!$A$3:$A$12008,J34,'KIDS&amp;ADULTS'!$B$3:$B$12008,$L$3)</f>
        <v>0</v>
      </c>
      <c r="M34" s="374">
        <f>COUNTIFS('KIDS&amp;ADULTS'!$A$3:$A$12008,J34,'KIDS&amp;ADULTS'!$B$3:$B$12008,$M$3)</f>
        <v>0</v>
      </c>
      <c r="N34" s="374">
        <f>COUNTIFS('KIDS&amp;ADULTS'!$A$3:$A$12008,J34,'KIDS&amp;ADULTS'!$B$3:$B$12008,$N$3)</f>
        <v>0</v>
      </c>
      <c r="O34" s="375">
        <f>COUNTIFS('KIDS&amp;ADULTS'!$A$3:$A$12008,J34,'KIDS&amp;ADULTS'!$B$3:$B$12008,$O$3)</f>
        <v>0</v>
      </c>
      <c r="P34" s="375">
        <f>COUNTIFS('KIDS&amp;ADULTS'!$A$3:$A$12008,J34,'KIDS&amp;ADULTS'!$B$3:$B$12008,$P$3)</f>
        <v>0</v>
      </c>
      <c r="Q34" s="375">
        <f>COUNTIFS('KIDS&amp;ADULTS'!$A$3:$A$12008,J34,'KIDS&amp;ADULTS'!$B$3:$B$12008,$Q$3)</f>
        <v>0</v>
      </c>
      <c r="R34" s="375">
        <f>COUNTIFS('KIDS&amp;ADULTS'!$A$3:$A$1008,J34,'KIDS&amp;ADULTS'!$B$3:$B$1008,$R$3)</f>
        <v>0</v>
      </c>
      <c r="S34" s="374">
        <f>COUNTIFS('KIDS&amp;ADULTS'!$A$3:$A$12008,J34,'KIDS&amp;ADULTS'!$B$3:$B$12008,$S$3)</f>
        <v>0</v>
      </c>
      <c r="V34" s="372">
        <v>45291.0</v>
      </c>
      <c r="W34" s="376">
        <f>COUNTIFS('KIDS&amp;ADULTS'!$V$3:$V$12006,V34,'KIDS&amp;ADULTS'!$B$3:$B$12006,$L$3,'KIDS&amp;ADULTS'!$N$3:$N$12006,"Đã đóng học phí")</f>
        <v>0</v>
      </c>
      <c r="X34" s="376">
        <f>COUNTIFS('KIDS&amp;ADULTS'!$V$3:$V$12006,V34,'KIDS&amp;ADULTS'!$B$3:$B12035,$X$3,'KIDS&amp;ADULTS'!$N$3:$N$12006,"Đã đóng học phí")</f>
        <v>0</v>
      </c>
      <c r="Y34" s="376">
        <f>COUNTIFS('KIDS&amp;ADULTS'!$V$3:$V$12006,V34,'KIDS&amp;ADULTS'!$B$3:$B$12006,$Y$3,'KIDS&amp;ADULTS'!$N$3:$N$12006,"Đã đóng học phí")</f>
        <v>0</v>
      </c>
      <c r="Z34" s="376">
        <f>COUNTIFS('KIDS&amp;ADULTS'!$V$3:$V$12006,V34,'KIDS&amp;ADULTS'!$B$3:$B$12006,$Z$3,'KIDS&amp;ADULTS'!$N$3:$N$12006,"Đã đóng học phí")</f>
        <v>0</v>
      </c>
      <c r="AA34" s="376">
        <f>COUNTIFS('KIDS&amp;ADULTS'!$V$3:$V$12006,V34,'KIDS&amp;ADULTS'!$B$3:$B$12006,$AA$3,'KIDS&amp;ADULTS'!$N$3:$N$12006,"Đã đóng học phí")</f>
        <v>0</v>
      </c>
      <c r="AB34" s="376">
        <f>COUNTIFS('KIDS&amp;ADULTS'!$V$3:$V$12006,V34,'KIDS&amp;ADULTS'!$B$3:$B$12006,$AB$3,'KIDS&amp;ADULTS'!$N$3:$N$12006,"Đã đóng học phí")</f>
        <v>0</v>
      </c>
      <c r="AC34" s="376">
        <f>COUNTIFS('KIDS&amp;ADULTS'!$V$3:$V$12006,V34,'KIDS&amp;ADULTS'!$B$3:$B$12006,$AC$3,'KIDS&amp;ADULTS'!$N$3:$N$12006,"Đã đóng học phí")</f>
        <v>0</v>
      </c>
      <c r="AD34" s="376">
        <f>COUNTIFS('KIDS&amp;ADULTS'!$V$3:$V$12006,V34,'KIDS&amp;ADULTS'!$B$3:$B$12006,$AD$3,'KIDS&amp;ADULTS'!$N$3:$N$12006,"Đã đóng học phí")</f>
        <v>0</v>
      </c>
    </row>
    <row r="35" ht="15.75" customHeight="1">
      <c r="B35" s="386">
        <f t="shared" ref="B35:F35" si="4">sum(B4:B34)</f>
        <v>0</v>
      </c>
      <c r="C35" s="386">
        <f t="shared" si="4"/>
        <v>0</v>
      </c>
      <c r="D35" s="386">
        <f t="shared" si="4"/>
        <v>0</v>
      </c>
      <c r="E35" s="386">
        <f t="shared" si="4"/>
        <v>39580200</v>
      </c>
      <c r="F35" s="386">
        <f t="shared" si="4"/>
        <v>0</v>
      </c>
      <c r="H35" s="387">
        <f>sum(G4:G34)</f>
        <v>39580200</v>
      </c>
      <c r="J35" s="388" t="s">
        <v>4622</v>
      </c>
      <c r="K35" s="389">
        <f t="shared" ref="K35:S35" si="5">SUM(K4:K34)</f>
        <v>79</v>
      </c>
      <c r="L35" s="389">
        <f t="shared" si="5"/>
        <v>0</v>
      </c>
      <c r="M35" s="389">
        <f t="shared" si="5"/>
        <v>0</v>
      </c>
      <c r="N35" s="389">
        <f t="shared" si="5"/>
        <v>1</v>
      </c>
      <c r="O35" s="380">
        <f t="shared" si="5"/>
        <v>4</v>
      </c>
      <c r="P35" s="380">
        <f t="shared" si="5"/>
        <v>1</v>
      </c>
      <c r="Q35" s="380">
        <f t="shared" si="5"/>
        <v>0</v>
      </c>
      <c r="R35" s="380">
        <f t="shared" si="5"/>
        <v>0</v>
      </c>
      <c r="S35" s="389">
        <f t="shared" si="5"/>
        <v>0</v>
      </c>
      <c r="T35" s="390">
        <f>SUM(L35:S36)</f>
        <v>6</v>
      </c>
      <c r="V35" s="388" t="s">
        <v>4622</v>
      </c>
      <c r="W35" s="366">
        <f t="shared" ref="W35:AA35" si="6">SUM(W4:W34)</f>
        <v>0</v>
      </c>
      <c r="X35" s="367">
        <f t="shared" si="6"/>
        <v>0</v>
      </c>
      <c r="Y35" s="377">
        <f t="shared" si="6"/>
        <v>0</v>
      </c>
      <c r="Z35" s="377">
        <f t="shared" si="6"/>
        <v>2</v>
      </c>
      <c r="AA35" s="379">
        <f t="shared" si="6"/>
        <v>1</v>
      </c>
      <c r="AB35" s="380">
        <f t="shared" ref="AB35:AC35" si="7">SUM(AB2:AB34)</f>
        <v>1</v>
      </c>
      <c r="AC35" s="380">
        <f t="shared" si="7"/>
        <v>0</v>
      </c>
      <c r="AD35" s="380">
        <f>SUM(AD4:AD34)</f>
        <v>0</v>
      </c>
      <c r="AE35" s="391">
        <f>SUM(W35:AD35)</f>
        <v>4</v>
      </c>
    </row>
    <row r="36" ht="15.75" customHeight="1">
      <c r="F36" s="392"/>
      <c r="G36" s="393"/>
      <c r="K36" s="394" t="s">
        <v>4624</v>
      </c>
      <c r="L36" s="395">
        <f>L35/K35</f>
        <v>0</v>
      </c>
    </row>
    <row r="37" ht="15.75" customHeight="1">
      <c r="H37" s="383"/>
    </row>
    <row r="38" ht="15.75" customHeight="1">
      <c r="I38" s="383" t="s">
        <v>3683</v>
      </c>
      <c r="J38" s="396" t="s">
        <v>4625</v>
      </c>
      <c r="K38" s="397"/>
      <c r="L38" s="397">
        <f>COUNTIFS('KIDS&amp;ADULTS'!V:V,"&gt;"&amp;"30-11-2023",'KIDS&amp;ADULTS'!V:V,"&lt;"&amp;"1-1-2024")</f>
        <v>8</v>
      </c>
      <c r="N38" s="393">
        <f>L38/T35</f>
        <v>1.333333333</v>
      </c>
      <c r="V38" s="358" t="s">
        <v>4626</v>
      </c>
    </row>
    <row r="39" ht="15.75" customHeight="1">
      <c r="G39" s="386"/>
      <c r="V39" s="361" t="s">
        <v>4613</v>
      </c>
      <c r="W39" s="363" t="s">
        <v>4616</v>
      </c>
      <c r="X39" s="235"/>
      <c r="Y39" s="235"/>
      <c r="Z39" s="235"/>
      <c r="AA39" s="235"/>
      <c r="AB39" s="235"/>
      <c r="AC39" s="235"/>
      <c r="AD39" s="236"/>
    </row>
    <row r="40" ht="15.75" customHeight="1">
      <c r="G40" s="386"/>
      <c r="V40" s="11"/>
      <c r="W40" s="366" t="s">
        <v>4620</v>
      </c>
      <c r="X40" s="367" t="s">
        <v>4621</v>
      </c>
      <c r="Y40" s="368" t="s">
        <v>73</v>
      </c>
      <c r="Z40" s="369" t="s">
        <v>201</v>
      </c>
      <c r="AA40" s="370" t="s">
        <v>84</v>
      </c>
      <c r="AB40" s="371" t="s">
        <v>60</v>
      </c>
      <c r="AC40" s="371" t="s">
        <v>539</v>
      </c>
      <c r="AD40" s="371" t="s">
        <v>703</v>
      </c>
    </row>
    <row r="41" ht="15.75" customHeight="1">
      <c r="H41" s="123"/>
      <c r="V41" s="372">
        <v>45261.0</v>
      </c>
      <c r="W41" s="398">
        <f>SUMIFS('KIDS&amp;ADULTS'!$Z$3:$Z$12006,'KIDS&amp;ADULTS'!V$3:V$12006,V41,'KIDS&amp;ADULTS'!$B$3:$B$12006,$L$3,'KIDS&amp;ADULTS'!$N$3:$N$12006,"Đã đóng học phí")</f>
        <v>0</v>
      </c>
      <c r="X41" s="398">
        <f>SUMIFS('KIDS&amp;ADULTS'!$Z$3:$Z$12006,'KIDS&amp;ADULTS'!$V$3:$V$12006,V41,'KIDS&amp;ADULTS'!$B$3:$B$12006,$X$3,'KIDS&amp;ADULTS'!$N$3:$N$12006,"Đã đóng học phí")</f>
        <v>0</v>
      </c>
      <c r="Y41" s="398">
        <f>SUMIFS('KIDS&amp;ADULTS'!$Z$3:$Z$12006,'KIDS&amp;ADULTS'!$V$3:$V$12006,V41,'KIDS&amp;ADULTS'!$B$3:$B$12006,$Y$3,'KIDS&amp;ADULTS'!$N$3:$N$12006,"Đã đóng học phí")</f>
        <v>0</v>
      </c>
      <c r="Z41" s="398">
        <f>SUMIFS('KIDS&amp;ADULTS'!$Z$3:$Z$12006,'KIDS&amp;ADULTS'!$V$3:$V$12006,V41,'KIDS&amp;ADULTS'!$B$3:$B$12006,$Z$3,'KIDS&amp;ADULTS'!$N$3:$N$12006,"Đã đóng học phí")</f>
        <v>0</v>
      </c>
      <c r="AA41" s="398">
        <f>SUMIFS('KIDS&amp;ADULTS'!$Z$3:$Z$12006,'KIDS&amp;ADULTS'!$V$3:$V$12006,V41,'KIDS&amp;ADULTS'!$B$3:$B$12006,$AA$3,'KIDS&amp;ADULTS'!$N$3:$N$12006,"Đã đóng học phí")</f>
        <v>0</v>
      </c>
      <c r="AB41" s="398">
        <f>SUMIFS('KIDS&amp;ADULTS'!$Z$3:$Z$12006,'KIDS&amp;ADULTS'!$V$3:$V$12006,V41,'KIDS&amp;ADULTS'!$B$3:$B$12006,$AB$3,'KIDS&amp;ADULTS'!$N$3:$N$12006,"Đã đóng học phí")</f>
        <v>0</v>
      </c>
      <c r="AC41" s="398">
        <f>SUMIFS('KIDS&amp;ADULTS'!$Z$3:$Z$12006,'KIDS&amp;ADULTS'!$V$3:$V$12006,V41,'KIDS&amp;ADULTS'!$B$3:$B$12006,$AC$3,'KIDS&amp;ADULTS'!$N$3:$N$12006,"Đã đóng học phí")</f>
        <v>0</v>
      </c>
      <c r="AD41" s="398">
        <f>SUMIFS('KIDS&amp;ADULTS'!$Z$3:$Z$12006,'KIDS&amp;ADULTS'!$V$3:$V$12006,V41,'KIDS&amp;ADULTS'!$B$3:$B$12006,$AD$3,'KIDS&amp;ADULTS'!$N$3:$N$12006,"Đã đóng học phí")</f>
        <v>0</v>
      </c>
      <c r="AE41" s="398">
        <f t="shared" ref="AE41:AE72" si="8">SUM(W41:AD41)</f>
        <v>0</v>
      </c>
      <c r="AF41" s="373"/>
    </row>
    <row r="42" ht="15.75" customHeight="1">
      <c r="V42" s="372">
        <f t="shared" ref="V42:V71" si="9">V41+1</f>
        <v>45262</v>
      </c>
      <c r="W42" s="398">
        <f>SUMIFS('KIDS&amp;ADULTS'!$Z$3:$Z$12006,'KIDS&amp;ADULTS'!V$3:V$12006,V42,'KIDS&amp;ADULTS'!$B$3:$B$12006,$L$3,'KIDS&amp;ADULTS'!$N$3:$N$12006,"Đã đóng học phí")</f>
        <v>0</v>
      </c>
      <c r="X42" s="398">
        <f>SUMIFS('KIDS&amp;ADULTS'!$Z$3:$Z$12006,'KIDS&amp;ADULTS'!$V$3:$V$12006,V42,'KIDS&amp;ADULTS'!$B$3:$B$12006,$X$3,'KIDS&amp;ADULTS'!$N$3:$N$12006,"Đã đóng học phí")</f>
        <v>0</v>
      </c>
      <c r="Y42" s="398">
        <f>SUMIFS('KIDS&amp;ADULTS'!$Z$3:$Z$12006,'KIDS&amp;ADULTS'!$V$3:$V$12006,V42,'KIDS&amp;ADULTS'!$B$3:$B$12006,$Y$3,'KIDS&amp;ADULTS'!$N$3:$N$12006,"Đã đóng học phí")</f>
        <v>0</v>
      </c>
      <c r="Z42" s="398">
        <f>SUMIFS('KIDS&amp;ADULTS'!$Z$3:$Z$12006,'KIDS&amp;ADULTS'!$V$3:$V$12006,V42,'KIDS&amp;ADULTS'!$B$3:$B$12006,$Z$3,'KIDS&amp;ADULTS'!$N$3:$N$12006,"Đã đóng học phí")</f>
        <v>0</v>
      </c>
      <c r="AA42" s="398">
        <f>SUMIFS('KIDS&amp;ADULTS'!$Z$3:$Z$12006,'KIDS&amp;ADULTS'!$V$3:$V$12006,V42,'KIDS&amp;ADULTS'!$B$3:$B$12006,$AA$3,'KIDS&amp;ADULTS'!$N$3:$N$12006,"Đã đóng học phí")</f>
        <v>0</v>
      </c>
      <c r="AB42" s="398">
        <f>SUMIFS('KIDS&amp;ADULTS'!$Z$3:$Z$12006,'KIDS&amp;ADULTS'!$V$3:$V$12006,V42,'KIDS&amp;ADULTS'!$B$3:$B$12006,$AB$3,'KIDS&amp;ADULTS'!$N$3:$N$12006,"Đã đóng học phí")</f>
        <v>0</v>
      </c>
      <c r="AC42" s="398">
        <f>SUMIFS('KIDS&amp;ADULTS'!$Z$3:$Z$12006,'KIDS&amp;ADULTS'!$V$3:$V$12006,V42,'KIDS&amp;ADULTS'!$B$3:$B$12006,$AC$3,'KIDS&amp;ADULTS'!$N$3:$N$12006,"Đã đóng học phí")</f>
        <v>0</v>
      </c>
      <c r="AD42" s="398">
        <f>SUMIFS('KIDS&amp;ADULTS'!$Z$3:$Z$12006,'KIDS&amp;ADULTS'!$V$3:$V$12006,V42,'KIDS&amp;ADULTS'!$B$3:$B$12006,$AD$3,'KIDS&amp;ADULTS'!$N$3:$N$12006,"Đã đóng học phí")</f>
        <v>0</v>
      </c>
      <c r="AE42" s="398">
        <f t="shared" si="8"/>
        <v>0</v>
      </c>
      <c r="AF42" s="373"/>
    </row>
    <row r="43" ht="15.75" customHeight="1">
      <c r="V43" s="372">
        <f t="shared" si="9"/>
        <v>45263</v>
      </c>
      <c r="W43" s="398">
        <f>SUMIFS('KIDS&amp;ADULTS'!$Z$3:$Z$12006,'KIDS&amp;ADULTS'!V$3:V$12006,V43,'KIDS&amp;ADULTS'!$B$3:$B$12006,$L$3,'KIDS&amp;ADULTS'!$N$3:$N$12006,"Đã đóng học phí")</f>
        <v>0</v>
      </c>
      <c r="X43" s="398">
        <f>SUMIFS('KIDS&amp;ADULTS'!$Z$3:$Z$12006,'KIDS&amp;ADULTS'!$V$3:$V$12006,V43,'KIDS&amp;ADULTS'!$B$3:$B$12006,$X$3,'KIDS&amp;ADULTS'!$N$3:$N$12006,"Đã đóng học phí")</f>
        <v>0</v>
      </c>
      <c r="Y43" s="398">
        <f>SUMIFS('KIDS&amp;ADULTS'!$Z$3:$Z$12006,'KIDS&amp;ADULTS'!$V$3:$V$12006,V43,'KIDS&amp;ADULTS'!$B$3:$B$12006,$Y$3,'KIDS&amp;ADULTS'!$N$3:$N$12006,"Đã đóng học phí")</f>
        <v>0</v>
      </c>
      <c r="Z43" s="398">
        <f>SUMIFS('KIDS&amp;ADULTS'!$Z$3:$Z$12006,'KIDS&amp;ADULTS'!$V$3:$V$12006,V43,'KIDS&amp;ADULTS'!$B$3:$B$12006,$Z$3,'KIDS&amp;ADULTS'!$N$3:$N$12006,"Đã đóng học phí")</f>
        <v>0</v>
      </c>
      <c r="AA43" s="398">
        <f>SUMIFS('KIDS&amp;ADULTS'!$Z$3:$Z$12006,'KIDS&amp;ADULTS'!$V$3:$V$12006,V43,'KIDS&amp;ADULTS'!$B$3:$B$12006,$AA$3,'KIDS&amp;ADULTS'!$N$3:$N$12006,"Đã đóng học phí")</f>
        <v>0</v>
      </c>
      <c r="AB43" s="398">
        <f>SUMIFS('KIDS&amp;ADULTS'!$Z$3:$Z$12006,'KIDS&amp;ADULTS'!$V$3:$V$12006,V43,'KIDS&amp;ADULTS'!$B$3:$B$12006,$AB$3,'KIDS&amp;ADULTS'!$N$3:$N$12006,"Đã đóng học phí")</f>
        <v>0</v>
      </c>
      <c r="AC43" s="398">
        <f>SUMIFS('KIDS&amp;ADULTS'!$Z$3:$Z$12006,'KIDS&amp;ADULTS'!$V$3:$V$12006,V43,'KIDS&amp;ADULTS'!$B$3:$B$12006,$AC$3,'KIDS&amp;ADULTS'!$N$3:$N$12006,"Đã đóng học phí")</f>
        <v>0</v>
      </c>
      <c r="AD43" s="398">
        <f>SUMIFS('KIDS&amp;ADULTS'!$Z$3:$Z$12006,'KIDS&amp;ADULTS'!$V$3:$V$12006,V43,'KIDS&amp;ADULTS'!$B$3:$B$12006,$AD$3,'KIDS&amp;ADULTS'!$N$3:$N$12006,"Đã đóng học phí")</f>
        <v>0</v>
      </c>
      <c r="AE43" s="398">
        <f t="shared" si="8"/>
        <v>0</v>
      </c>
      <c r="AF43" s="373"/>
    </row>
    <row r="44" ht="15.75" customHeight="1">
      <c r="V44" s="372">
        <f t="shared" si="9"/>
        <v>45264</v>
      </c>
      <c r="W44" s="398">
        <f>SUMIFS('KIDS&amp;ADULTS'!$Z$3:$Z$12006,'KIDS&amp;ADULTS'!V$3:V$12006,V44,'KIDS&amp;ADULTS'!$B$3:$B$12006,$L$3,'KIDS&amp;ADULTS'!$N$3:$N$12006,"Đã đóng học phí")</f>
        <v>0</v>
      </c>
      <c r="X44" s="398">
        <f>SUMIFS('KIDS&amp;ADULTS'!$Z$3:$Z$12006,'KIDS&amp;ADULTS'!$V$3:$V$12006,V44,'KIDS&amp;ADULTS'!$B$3:$B$12006,$X$3,'KIDS&amp;ADULTS'!$N$3:$N$12006,"Đã đóng học phí")</f>
        <v>0</v>
      </c>
      <c r="Y44" s="398">
        <f>SUMIFS('KIDS&amp;ADULTS'!$Z$3:$Z$12006,'KIDS&amp;ADULTS'!$V$3:$V$12006,V44,'KIDS&amp;ADULTS'!$B$3:$B$12006,$Y$3,'KIDS&amp;ADULTS'!$N$3:$N$12006,"Đã đóng học phí")</f>
        <v>0</v>
      </c>
      <c r="Z44" s="398">
        <f>SUMIFS('KIDS&amp;ADULTS'!$Z$3:$Z$12006,'KIDS&amp;ADULTS'!$V$3:$V$12006,V44,'KIDS&amp;ADULTS'!$B$3:$B$12006,$Z$3,'KIDS&amp;ADULTS'!$N$3:$N$12006,"Đã đóng học phí")</f>
        <v>0</v>
      </c>
      <c r="AA44" s="398">
        <f>SUMIFS('KIDS&amp;ADULTS'!$Z$3:$Z$12006,'KIDS&amp;ADULTS'!$V$3:$V$12006,V44,'KIDS&amp;ADULTS'!$B$3:$B$12006,$AA$3,'KIDS&amp;ADULTS'!$N$3:$N$12006,"Đã đóng học phí")</f>
        <v>0</v>
      </c>
      <c r="AB44" s="398">
        <f>SUMIFS('KIDS&amp;ADULTS'!$Z$3:$Z$12006,'KIDS&amp;ADULTS'!$V$3:$V$12006,V44,'KIDS&amp;ADULTS'!$B$3:$B$12006,$AB$3,'KIDS&amp;ADULTS'!$N$3:$N$12006,"Đã đóng học phí")</f>
        <v>0</v>
      </c>
      <c r="AC44" s="398">
        <f>SUMIFS('KIDS&amp;ADULTS'!$Z$3:$Z$12006,'KIDS&amp;ADULTS'!$V$3:$V$12006,V44,'KIDS&amp;ADULTS'!$B$3:$B$12006,$AC$3,'KIDS&amp;ADULTS'!$N$3:$N$12006,"Đã đóng học phí")</f>
        <v>0</v>
      </c>
      <c r="AD44" s="398">
        <f>SUMIFS('KIDS&amp;ADULTS'!$Z$3:$Z$12006,'KIDS&amp;ADULTS'!$V$3:$V$12006,V44,'KIDS&amp;ADULTS'!$B$3:$B$12006,$AD$3,'KIDS&amp;ADULTS'!$N$3:$N$12006,"Đã đóng học phí")</f>
        <v>0</v>
      </c>
      <c r="AE44" s="398">
        <f t="shared" si="8"/>
        <v>0</v>
      </c>
      <c r="AF44" s="373"/>
    </row>
    <row r="45" ht="15.75" customHeight="1">
      <c r="K45" s="386"/>
      <c r="L45" s="386"/>
      <c r="V45" s="372">
        <f t="shared" si="9"/>
        <v>45265</v>
      </c>
      <c r="W45" s="398">
        <f>SUMIFS('KIDS&amp;ADULTS'!$Z$3:$Z$12006,'KIDS&amp;ADULTS'!V$3:V$12006,V45,'KIDS&amp;ADULTS'!$B$3:$B$12006,$L$3,'KIDS&amp;ADULTS'!$N$3:$N$12006,"Đã đóng học phí")</f>
        <v>0</v>
      </c>
      <c r="X45" s="398">
        <f>SUMIFS('KIDS&amp;ADULTS'!$Z$3:$Z$12006,'KIDS&amp;ADULTS'!$V$3:$V$12006,V45,'KIDS&amp;ADULTS'!$B$3:$B$12006,$X$3,'KIDS&amp;ADULTS'!$N$3:$N$12006,"Đã đóng học phí")</f>
        <v>0</v>
      </c>
      <c r="Y45" s="398">
        <f>SUMIFS('KIDS&amp;ADULTS'!$Z$3:$Z$12006,'KIDS&amp;ADULTS'!$V$3:$V$12006,V45,'KIDS&amp;ADULTS'!$B$3:$B$12006,$Y$3,'KIDS&amp;ADULTS'!$N$3:$N$12006,"Đã đóng học phí")</f>
        <v>0</v>
      </c>
      <c r="Z45" s="398">
        <f>SUMIFS('KIDS&amp;ADULTS'!$Z$3:$Z$12006,'KIDS&amp;ADULTS'!$V$3:$V$12006,V45,'KIDS&amp;ADULTS'!$B$3:$B$12006,$Z$3,'KIDS&amp;ADULTS'!$N$3:$N$12006,"Đã đóng học phí")</f>
        <v>0</v>
      </c>
      <c r="AA45" s="398">
        <f>SUMIFS('KIDS&amp;ADULTS'!$Z$3:$Z$12006,'KIDS&amp;ADULTS'!$V$3:$V$12006,V45,'KIDS&amp;ADULTS'!$B$3:$B$12006,$AA$3,'KIDS&amp;ADULTS'!$N$3:$N$12006,"Đã đóng học phí")</f>
        <v>0</v>
      </c>
      <c r="AB45" s="398">
        <f>SUMIFS('KIDS&amp;ADULTS'!$Z$3:$Z$12006,'KIDS&amp;ADULTS'!$V$3:$V$12006,V45,'KIDS&amp;ADULTS'!$B$3:$B$12006,$AB$3,'KIDS&amp;ADULTS'!$N$3:$N$12006,"Đã đóng học phí")</f>
        <v>0</v>
      </c>
      <c r="AC45" s="398">
        <f>SUMIFS('KIDS&amp;ADULTS'!$Z$3:$Z$12006,'KIDS&amp;ADULTS'!$V$3:$V$12006,V45,'KIDS&amp;ADULTS'!$B$3:$B$12006,$AC$3,'KIDS&amp;ADULTS'!$N$3:$N$12006,"Đã đóng học phí")</f>
        <v>0</v>
      </c>
      <c r="AD45" s="398">
        <f>SUMIFS('KIDS&amp;ADULTS'!$Z$3:$Z$12006,'KIDS&amp;ADULTS'!$V$3:$V$12006,V45,'KIDS&amp;ADULTS'!$B$3:$B$12006,$AD$3,'KIDS&amp;ADULTS'!$N$3:$N$12006,"Đã đóng học phí")</f>
        <v>0</v>
      </c>
      <c r="AE45" s="398">
        <f t="shared" si="8"/>
        <v>0</v>
      </c>
      <c r="AF45" s="373"/>
    </row>
    <row r="46" ht="15.75" customHeight="1">
      <c r="K46" s="386"/>
      <c r="L46" s="386"/>
      <c r="V46" s="372">
        <f t="shared" si="9"/>
        <v>45266</v>
      </c>
      <c r="W46" s="398">
        <f>SUMIFS('KIDS&amp;ADULTS'!$Z$3:$Z$12006,'KIDS&amp;ADULTS'!V$3:V$12006,V46,'KIDS&amp;ADULTS'!$B$3:$B$12006,$L$3,'KIDS&amp;ADULTS'!$N$3:$N$12006,"Đã đóng học phí")</f>
        <v>0</v>
      </c>
      <c r="X46" s="398">
        <f>SUMIFS('KIDS&amp;ADULTS'!$Z$3:$Z$12006,'KIDS&amp;ADULTS'!$V$3:$V$12006,V46,'KIDS&amp;ADULTS'!$B$3:$B$12006,$X$3,'KIDS&amp;ADULTS'!$N$3:$N$12006,"Đã đóng học phí")</f>
        <v>0</v>
      </c>
      <c r="Y46" s="398">
        <f>SUMIFS('KIDS&amp;ADULTS'!$Z$3:$Z$12006,'KIDS&amp;ADULTS'!$V$3:$V$12006,V46,'KIDS&amp;ADULTS'!$B$3:$B$12006,$Y$3,'KIDS&amp;ADULTS'!$N$3:$N$12006,"Đã đóng học phí")</f>
        <v>0</v>
      </c>
      <c r="Z46" s="398">
        <f>SUMIFS('KIDS&amp;ADULTS'!$Z$3:$Z$12006,'KIDS&amp;ADULTS'!$V$3:$V$12006,V46,'KIDS&amp;ADULTS'!$B$3:$B$12006,$Z$3,'KIDS&amp;ADULTS'!$N$3:$N$12006,"Đã đóng học phí")</f>
        <v>0</v>
      </c>
      <c r="AA46" s="398">
        <f>SUMIFS('KIDS&amp;ADULTS'!$Z$3:$Z$12006,'KIDS&amp;ADULTS'!$V$3:$V$12006,V46,'KIDS&amp;ADULTS'!$B$3:$B$12006,$AA$3,'KIDS&amp;ADULTS'!$N$3:$N$12006,"Đã đóng học phí")</f>
        <v>0</v>
      </c>
      <c r="AB46" s="398">
        <f>SUMIFS('KIDS&amp;ADULTS'!$Z$3:$Z$12006,'KIDS&amp;ADULTS'!$V$3:$V$12006,V46,'KIDS&amp;ADULTS'!$B$3:$B$12006,$AB$3,'KIDS&amp;ADULTS'!$N$3:$N$12006,"Đã đóng học phí")</f>
        <v>0</v>
      </c>
      <c r="AC46" s="398">
        <f>SUMIFS('KIDS&amp;ADULTS'!$Z$3:$Z$12006,'KIDS&amp;ADULTS'!$V$3:$V$12006,V46,'KIDS&amp;ADULTS'!$B$3:$B$12006,$AC$3,'KIDS&amp;ADULTS'!$N$3:$N$12006,"Đã đóng học phí")</f>
        <v>0</v>
      </c>
      <c r="AD46" s="398">
        <f>SUMIFS('KIDS&amp;ADULTS'!$Z$3:$Z$12006,'KIDS&amp;ADULTS'!$V$3:$V$12006,V46,'KIDS&amp;ADULTS'!$B$3:$B$12006,$AD$3,'KIDS&amp;ADULTS'!$N$3:$N$12006,"Đã đóng học phí")</f>
        <v>0</v>
      </c>
      <c r="AE46" s="398">
        <f t="shared" si="8"/>
        <v>0</v>
      </c>
      <c r="AF46" s="373"/>
    </row>
    <row r="47" ht="15.75" customHeight="1">
      <c r="V47" s="372">
        <f t="shared" si="9"/>
        <v>45267</v>
      </c>
      <c r="W47" s="398">
        <f>SUMIFS('KIDS&amp;ADULTS'!$Z$3:$Z$12006,'KIDS&amp;ADULTS'!V$3:V$12006,V47,'KIDS&amp;ADULTS'!$B$3:$B$12006,$L$3,'KIDS&amp;ADULTS'!$N$3:$N$12006,"Đã đóng học phí")</f>
        <v>0</v>
      </c>
      <c r="X47" s="398">
        <f>SUMIFS('KIDS&amp;ADULTS'!$Z$3:$Z$12006,'KIDS&amp;ADULTS'!$V$3:$V$12006,V47,'KIDS&amp;ADULTS'!$B$3:$B$12006,$X$3,'KIDS&amp;ADULTS'!$N$3:$N$12006,"Đã đóng học phí")</f>
        <v>0</v>
      </c>
      <c r="Y47" s="398">
        <f>SUMIFS('KIDS&amp;ADULTS'!$Z$3:$Z$12006,'KIDS&amp;ADULTS'!$V$3:$V$12006,V47,'KIDS&amp;ADULTS'!$B$3:$B$12006,$Y$3,'KIDS&amp;ADULTS'!$N$3:$N$12006,"Đã đóng học phí")</f>
        <v>0</v>
      </c>
      <c r="Z47" s="398">
        <f>SUMIFS('KIDS&amp;ADULTS'!$Z$3:$Z$12006,'KIDS&amp;ADULTS'!$V$3:$V$12006,V47,'KIDS&amp;ADULTS'!$B$3:$B$12006,$Z$3,'KIDS&amp;ADULTS'!$N$3:$N$12006,"Đã đóng học phí")</f>
        <v>0</v>
      </c>
      <c r="AA47" s="398">
        <f>SUMIFS('KIDS&amp;ADULTS'!$Z$3:$Z$12006,'KIDS&amp;ADULTS'!$V$3:$V$12006,V47,'KIDS&amp;ADULTS'!$B$3:$B$12006,$AA$3,'KIDS&amp;ADULTS'!$N$3:$N$12006,"Đã đóng học phí")</f>
        <v>0</v>
      </c>
      <c r="AB47" s="398">
        <f>SUMIFS('KIDS&amp;ADULTS'!$Z$3:$Z$12006,'KIDS&amp;ADULTS'!$V$3:$V$12006,V47,'KIDS&amp;ADULTS'!$B$3:$B$12006,$AB$3,'KIDS&amp;ADULTS'!$N$3:$N$12006,"Đã đóng học phí")</f>
        <v>0</v>
      </c>
      <c r="AC47" s="398">
        <f>SUMIFS('KIDS&amp;ADULTS'!$Z$3:$Z$12006,'KIDS&amp;ADULTS'!$V$3:$V$12006,V47,'KIDS&amp;ADULTS'!$B$3:$B$12006,$AC$3,'KIDS&amp;ADULTS'!$N$3:$N$12006,"Đã đóng học phí")</f>
        <v>0</v>
      </c>
      <c r="AD47" s="398">
        <f>SUMIFS('KIDS&amp;ADULTS'!$Z$3:$Z$12006,'KIDS&amp;ADULTS'!$V$3:$V$12006,V47,'KIDS&amp;ADULTS'!$B$3:$B$12006,$AD$3,'KIDS&amp;ADULTS'!$N$3:$N$12006,"Đã đóng học phí")</f>
        <v>0</v>
      </c>
      <c r="AE47" s="398">
        <f t="shared" si="8"/>
        <v>0</v>
      </c>
      <c r="AF47" s="373"/>
    </row>
    <row r="48" ht="15.75" customHeight="1">
      <c r="V48" s="372">
        <f t="shared" si="9"/>
        <v>45268</v>
      </c>
      <c r="W48" s="398">
        <f>SUMIFS('KIDS&amp;ADULTS'!$Z$3:$Z$12006,'KIDS&amp;ADULTS'!V$3:V$12006,V48,'KIDS&amp;ADULTS'!$B$3:$B$12006,$L$3,'KIDS&amp;ADULTS'!$N$3:$N$12006,"Đã đóng học phí")</f>
        <v>0</v>
      </c>
      <c r="X48" s="398">
        <f>SUMIFS('KIDS&amp;ADULTS'!$Z$3:$Z$12006,'KIDS&amp;ADULTS'!$V$3:$V$12006,V48,'KIDS&amp;ADULTS'!$B$3:$B$12006,$X$3,'KIDS&amp;ADULTS'!$N$3:$N$12006,"Đã đóng học phí")</f>
        <v>0</v>
      </c>
      <c r="Y48" s="398">
        <f>SUMIFS('KIDS&amp;ADULTS'!$Z$3:$Z$12006,'KIDS&amp;ADULTS'!$V$3:$V$12006,V48,'KIDS&amp;ADULTS'!$B$3:$B$12006,$Y$3,'KIDS&amp;ADULTS'!$N$3:$N$12006,"Đã đóng học phí")</f>
        <v>0</v>
      </c>
      <c r="Z48" s="398">
        <f>SUMIFS('KIDS&amp;ADULTS'!$Z$3:$Z$12006,'KIDS&amp;ADULTS'!$V$3:$V$12006,V48,'KIDS&amp;ADULTS'!$B$3:$B$12006,$Z$3,'KIDS&amp;ADULTS'!$N$3:$N$12006,"Đã đóng học phí")</f>
        <v>5205600</v>
      </c>
      <c r="AA48" s="398">
        <f>SUMIFS('KIDS&amp;ADULTS'!$Z$3:$Z$12006,'KIDS&amp;ADULTS'!$V$3:$V$12006,V48,'KIDS&amp;ADULTS'!$B$3:$B$12006,$AA$3,'KIDS&amp;ADULTS'!$N$3:$N$12006,"Đã đóng học phí")</f>
        <v>1330000</v>
      </c>
      <c r="AB48" s="398">
        <f>SUMIFS('KIDS&amp;ADULTS'!$Z$3:$Z$12006,'KIDS&amp;ADULTS'!$V$3:$V$12006,V48,'KIDS&amp;ADULTS'!$B$3:$B$12006,$AB$3,'KIDS&amp;ADULTS'!$N$3:$N$12006,"Đã đóng học phí")</f>
        <v>0</v>
      </c>
      <c r="AC48" s="398">
        <f>SUMIFS('KIDS&amp;ADULTS'!$Z$3:$Z$12006,'KIDS&amp;ADULTS'!$V$3:$V$12006,V48,'KIDS&amp;ADULTS'!$B$3:$B$12006,$AC$3,'KIDS&amp;ADULTS'!$N$3:$N$12006,"Đã đóng học phí")</f>
        <v>0</v>
      </c>
      <c r="AD48" s="398">
        <f>SUMIFS('KIDS&amp;ADULTS'!$Z$3:$Z$12006,'KIDS&amp;ADULTS'!$V$3:$V$12006,V48,'KIDS&amp;ADULTS'!$B$3:$B$12006,$AD$3,'KIDS&amp;ADULTS'!$N$3:$N$12006,"Đã đóng học phí")</f>
        <v>0</v>
      </c>
      <c r="AE48" s="398">
        <f t="shared" si="8"/>
        <v>6535600</v>
      </c>
      <c r="AF48" s="373"/>
    </row>
    <row r="49" ht="15.75" customHeight="1">
      <c r="V49" s="372">
        <f t="shared" si="9"/>
        <v>45269</v>
      </c>
      <c r="W49" s="398">
        <f>SUMIFS('KIDS&amp;ADULTS'!$Z$3:$Z$12006,'KIDS&amp;ADULTS'!V$3:V$12006,V49,'KIDS&amp;ADULTS'!$B$3:$B$12006,$L$3,'KIDS&amp;ADULTS'!$N$3:$N$12006,"Đã đóng học phí")</f>
        <v>0</v>
      </c>
      <c r="X49" s="398">
        <f>SUMIFS('KIDS&amp;ADULTS'!$Z$3:$Z$12006,'KIDS&amp;ADULTS'!$V$3:$V$12006,V49,'KIDS&amp;ADULTS'!$B$3:$B$12006,$X$3,'KIDS&amp;ADULTS'!$N$3:$N$12006,"Đã đóng học phí")</f>
        <v>0</v>
      </c>
      <c r="Y49" s="398">
        <f>SUMIFS('KIDS&amp;ADULTS'!$Z$3:$Z$12006,'KIDS&amp;ADULTS'!$V$3:$V$12006,V49,'KIDS&amp;ADULTS'!$B$3:$B$12006,$Y$3,'KIDS&amp;ADULTS'!$N$3:$N$12006,"Đã đóng học phí")</f>
        <v>0</v>
      </c>
      <c r="Z49" s="398">
        <f>SUMIFS('KIDS&amp;ADULTS'!$Z$3:$Z$12006,'KIDS&amp;ADULTS'!$V$3:$V$12006,V49,'KIDS&amp;ADULTS'!$B$3:$B$12006,$Z$3,'KIDS&amp;ADULTS'!$N$3:$N$12006,"Đã đóng học phí")</f>
        <v>0</v>
      </c>
      <c r="AA49" s="398">
        <f>SUMIFS('KIDS&amp;ADULTS'!$Z$3:$Z$12006,'KIDS&amp;ADULTS'!$V$3:$V$12006,V49,'KIDS&amp;ADULTS'!$B$3:$B$12006,$AA$3,'KIDS&amp;ADULTS'!$N$3:$N$12006,"Đã đóng học phí")</f>
        <v>0</v>
      </c>
      <c r="AB49" s="398">
        <f>SUMIFS('KIDS&amp;ADULTS'!$Z$3:$Z$12006,'KIDS&amp;ADULTS'!$V$3:$V$12006,V49,'KIDS&amp;ADULTS'!$B$3:$B$12006,$AB$3,'KIDS&amp;ADULTS'!$N$3:$N$12006,"Đã đóng học phí")</f>
        <v>0</v>
      </c>
      <c r="AC49" s="398">
        <f>SUMIFS('KIDS&amp;ADULTS'!$Z$3:$Z$12006,'KIDS&amp;ADULTS'!$V$3:$V$12006,V49,'KIDS&amp;ADULTS'!$B$3:$B$12006,$AC$3,'KIDS&amp;ADULTS'!$N$3:$N$12006,"Đã đóng học phí")</f>
        <v>0</v>
      </c>
      <c r="AD49" s="398">
        <f>SUMIFS('KIDS&amp;ADULTS'!$Z$3:$Z$12006,'KIDS&amp;ADULTS'!$V$3:$V$12006,V49,'KIDS&amp;ADULTS'!$B$3:$B$12006,$AD$3,'KIDS&amp;ADULTS'!$N$3:$N$12006,"Đã đóng học phí")</f>
        <v>0</v>
      </c>
      <c r="AE49" s="398">
        <f t="shared" si="8"/>
        <v>0</v>
      </c>
      <c r="AF49" s="373"/>
    </row>
    <row r="50" ht="15.75" customHeight="1">
      <c r="V50" s="372">
        <f t="shared" si="9"/>
        <v>45270</v>
      </c>
      <c r="W50" s="398">
        <f>SUMIFS('KIDS&amp;ADULTS'!$Z$3:$Z$12006,'KIDS&amp;ADULTS'!V$3:V$12006,V50,'KIDS&amp;ADULTS'!$B$3:$B$12006,$L$3,'KIDS&amp;ADULTS'!$N$3:$N$12006,"Đã đóng học phí")</f>
        <v>0</v>
      </c>
      <c r="X50" s="398">
        <f>SUMIFS('KIDS&amp;ADULTS'!$Z$3:$Z$12006,'KIDS&amp;ADULTS'!$V$3:$V$12006,V50,'KIDS&amp;ADULTS'!$B$3:$B$12006,$X$3,'KIDS&amp;ADULTS'!$N$3:$N$12006,"Đã đóng học phí")</f>
        <v>0</v>
      </c>
      <c r="Y50" s="398">
        <f>SUMIFS('KIDS&amp;ADULTS'!$Z$3:$Z$12006,'KIDS&amp;ADULTS'!$V$3:$V$12006,V50,'KIDS&amp;ADULTS'!$B$3:$B$12006,$Y$3,'KIDS&amp;ADULTS'!$N$3:$N$12006,"Đã đóng học phí")</f>
        <v>0</v>
      </c>
      <c r="Z50" s="398">
        <f>SUMIFS('KIDS&amp;ADULTS'!$Z$3:$Z$12006,'KIDS&amp;ADULTS'!$V$3:$V$12006,V50,'KIDS&amp;ADULTS'!$B$3:$B$12006,$Z$3,'KIDS&amp;ADULTS'!$N$3:$N$12006,"Đã đóng học phí")</f>
        <v>0</v>
      </c>
      <c r="AA50" s="398">
        <f>SUMIFS('KIDS&amp;ADULTS'!$Z$3:$Z$12006,'KIDS&amp;ADULTS'!$V$3:$V$12006,V50,'KIDS&amp;ADULTS'!$B$3:$B$12006,$AA$3,'KIDS&amp;ADULTS'!$N$3:$N$12006,"Đã đóng học phí")</f>
        <v>0</v>
      </c>
      <c r="AB50" s="398">
        <f>SUMIFS('KIDS&amp;ADULTS'!$Z$3:$Z$12006,'KIDS&amp;ADULTS'!$V$3:$V$12006,V50,'KIDS&amp;ADULTS'!$B$3:$B$12006,$AB$3,'KIDS&amp;ADULTS'!$N$3:$N$12006,"Đã đóng học phí")</f>
        <v>0</v>
      </c>
      <c r="AC50" s="398">
        <f>SUMIFS('KIDS&amp;ADULTS'!$Z$3:$Z$12006,'KIDS&amp;ADULTS'!$V$3:$V$12006,V50,'KIDS&amp;ADULTS'!$B$3:$B$12006,$AC$3,'KIDS&amp;ADULTS'!$N$3:$N$12006,"Đã đóng học phí")</f>
        <v>0</v>
      </c>
      <c r="AD50" s="398">
        <f>SUMIFS('KIDS&amp;ADULTS'!$Z$3:$Z$12006,'KIDS&amp;ADULTS'!$V$3:$V$12006,V50,'KIDS&amp;ADULTS'!$B$3:$B$12006,$AD$3,'KIDS&amp;ADULTS'!$N$3:$N$12006,"Đã đóng học phí")</f>
        <v>0</v>
      </c>
      <c r="AE50" s="398">
        <f t="shared" si="8"/>
        <v>0</v>
      </c>
      <c r="AF50" s="373"/>
    </row>
    <row r="51" ht="15.75" customHeight="1">
      <c r="V51" s="372">
        <f t="shared" si="9"/>
        <v>45271</v>
      </c>
      <c r="W51" s="398">
        <f>SUMIFS('KIDS&amp;ADULTS'!$Z$3:$Z$12006,'KIDS&amp;ADULTS'!V$3:V$12006,V51,'KIDS&amp;ADULTS'!$B$3:$B$12006,$L$3,'KIDS&amp;ADULTS'!$N$3:$N$12006,"Đã đóng học phí")</f>
        <v>0</v>
      </c>
      <c r="X51" s="398">
        <f>SUMIFS('KIDS&amp;ADULTS'!$Z$3:$Z$12006,'KIDS&amp;ADULTS'!$V$3:$V$12006,V51,'KIDS&amp;ADULTS'!$B$3:$B$12006,$X$3,'KIDS&amp;ADULTS'!$N$3:$N$12006,"Đã đóng học phí")</f>
        <v>0</v>
      </c>
      <c r="Y51" s="398">
        <f>SUMIFS('KIDS&amp;ADULTS'!$Z$3:$Z$12006,'KIDS&amp;ADULTS'!$V$3:$V$12006,V51,'KIDS&amp;ADULTS'!$B$3:$B$12006,$Y$3,'KIDS&amp;ADULTS'!$N$3:$N$12006,"Đã đóng học phí")</f>
        <v>0</v>
      </c>
      <c r="Z51" s="398">
        <f>SUMIFS('KIDS&amp;ADULTS'!$Z$3:$Z$12006,'KIDS&amp;ADULTS'!$V$3:$V$12006,V51,'KIDS&amp;ADULTS'!$B$3:$B$12006,$Z$3,'KIDS&amp;ADULTS'!$N$3:$N$12006,"Đã đóng học phí")</f>
        <v>0</v>
      </c>
      <c r="AA51" s="398">
        <f>SUMIFS('KIDS&amp;ADULTS'!$Z$3:$Z$12006,'KIDS&amp;ADULTS'!$V$3:$V$12006,V51,'KIDS&amp;ADULTS'!$B$3:$B$12006,$AA$3,'KIDS&amp;ADULTS'!$N$3:$N$12006,"Đã đóng học phí")</f>
        <v>0</v>
      </c>
      <c r="AB51" s="398">
        <f>SUMIFS('KIDS&amp;ADULTS'!$Z$3:$Z$12006,'KIDS&amp;ADULTS'!$V$3:$V$12006,V51,'KIDS&amp;ADULTS'!$B$3:$B$12006,$AB$3,'KIDS&amp;ADULTS'!$N$3:$N$12006,"Đã đóng học phí")</f>
        <v>0</v>
      </c>
      <c r="AC51" s="398">
        <f>SUMIFS('KIDS&amp;ADULTS'!$Z$3:$Z$12006,'KIDS&amp;ADULTS'!$V$3:$V$12006,V51,'KIDS&amp;ADULTS'!$B$3:$B$12006,$AC$3,'KIDS&amp;ADULTS'!$N$3:$N$12006,"Đã đóng học phí")</f>
        <v>0</v>
      </c>
      <c r="AD51" s="398">
        <f>SUMIFS('KIDS&amp;ADULTS'!$Z$3:$Z$12006,'KIDS&amp;ADULTS'!$V$3:$V$12006,V51,'KIDS&amp;ADULTS'!$B$3:$B$12006,$AD$3,'KIDS&amp;ADULTS'!$N$3:$N$12006,"Đã đóng học phí")</f>
        <v>0</v>
      </c>
      <c r="AE51" s="398">
        <f t="shared" si="8"/>
        <v>0</v>
      </c>
      <c r="AF51" s="373"/>
    </row>
    <row r="52" ht="15.75" customHeight="1">
      <c r="V52" s="372">
        <f t="shared" si="9"/>
        <v>45272</v>
      </c>
      <c r="W52" s="398">
        <f>SUMIFS('KIDS&amp;ADULTS'!$Z$3:$Z$12006,'KIDS&amp;ADULTS'!V$3:V$12006,V52,'KIDS&amp;ADULTS'!$B$3:$B$12006,$L$3,'KIDS&amp;ADULTS'!$N$3:$N$12006,"Đã đóng học phí")</f>
        <v>0</v>
      </c>
      <c r="X52" s="398">
        <f>SUMIFS('KIDS&amp;ADULTS'!$Z$3:$Z$12006,'KIDS&amp;ADULTS'!$V$3:$V$12006,V52,'KIDS&amp;ADULTS'!$B$3:$B$12006,$X$3,'KIDS&amp;ADULTS'!$N$3:$N$12006,"Đã đóng học phí")</f>
        <v>0</v>
      </c>
      <c r="Y52" s="398">
        <f>SUMIFS('KIDS&amp;ADULTS'!$Z$3:$Z$12006,'KIDS&amp;ADULTS'!$V$3:$V$12006,V52,'KIDS&amp;ADULTS'!$B$3:$B$12006,$Y$3,'KIDS&amp;ADULTS'!$N$3:$N$12006,"Đã đóng học phí")</f>
        <v>0</v>
      </c>
      <c r="Z52" s="398">
        <f>SUMIFS('KIDS&amp;ADULTS'!$Z$3:$Z$12006,'KIDS&amp;ADULTS'!$V$3:$V$12006,V52,'KIDS&amp;ADULTS'!$B$3:$B$12006,$Z$3,'KIDS&amp;ADULTS'!$N$3:$N$12006,"Đã đóng học phí")</f>
        <v>0</v>
      </c>
      <c r="AA52" s="398">
        <f>SUMIFS('KIDS&amp;ADULTS'!$Z$3:$Z$12006,'KIDS&amp;ADULTS'!$V$3:$V$12006,V52,'KIDS&amp;ADULTS'!$B$3:$B$12006,$AA$3,'KIDS&amp;ADULTS'!$N$3:$N$12006,"Đã đóng học phí")</f>
        <v>0</v>
      </c>
      <c r="AB52" s="398">
        <f>SUMIFS('KIDS&amp;ADULTS'!$Z$3:$Z$12006,'KIDS&amp;ADULTS'!$V$3:$V$12006,V52,'KIDS&amp;ADULTS'!$B$3:$B$12006,$AB$3,'KIDS&amp;ADULTS'!$N$3:$N$12006,"Đã đóng học phí")</f>
        <v>0</v>
      </c>
      <c r="AC52" s="398">
        <f>SUMIFS('KIDS&amp;ADULTS'!$Z$3:$Z$12006,'KIDS&amp;ADULTS'!$V$3:$V$12006,V52,'KIDS&amp;ADULTS'!$B$3:$B$12006,$AC$3,'KIDS&amp;ADULTS'!$N$3:$N$12006,"Đã đóng học phí")</f>
        <v>0</v>
      </c>
      <c r="AD52" s="398">
        <f>SUMIFS('KIDS&amp;ADULTS'!$Z$3:$Z$12006,'KIDS&amp;ADULTS'!$V$3:$V$12006,V52,'KIDS&amp;ADULTS'!$B$3:$B$12006,$AD$3,'KIDS&amp;ADULTS'!$N$3:$N$12006,"Đã đóng học phí")</f>
        <v>0</v>
      </c>
      <c r="AE52" s="398">
        <f t="shared" si="8"/>
        <v>0</v>
      </c>
      <c r="AF52" s="373"/>
    </row>
    <row r="53" ht="15.75" customHeight="1">
      <c r="V53" s="372">
        <f t="shared" si="9"/>
        <v>45273</v>
      </c>
      <c r="W53" s="398">
        <f>SUMIFS('KIDS&amp;ADULTS'!$Z$3:$Z$12006,'KIDS&amp;ADULTS'!V$3:V$12006,V53,'KIDS&amp;ADULTS'!$B$3:$B$12006,$L$3,'KIDS&amp;ADULTS'!$N$3:$N$12006,"Đã đóng học phí")</f>
        <v>0</v>
      </c>
      <c r="X53" s="398">
        <f>SUMIFS('KIDS&amp;ADULTS'!$Z$3:$Z$12006,'KIDS&amp;ADULTS'!$V$3:$V$12006,V53,'KIDS&amp;ADULTS'!$B$3:$B$12006,$X$3,'KIDS&amp;ADULTS'!$N$3:$N$12006,"Đã đóng học phí")</f>
        <v>0</v>
      </c>
      <c r="Y53" s="398">
        <f>SUMIFS('KIDS&amp;ADULTS'!$Z$3:$Z$12006,'KIDS&amp;ADULTS'!$V$3:$V$12006,V53,'KIDS&amp;ADULTS'!$B$3:$B$12006,$Y$3,'KIDS&amp;ADULTS'!$N$3:$N$12006,"Đã đóng học phí")</f>
        <v>0</v>
      </c>
      <c r="Z53" s="398">
        <f>SUMIFS('KIDS&amp;ADULTS'!$Z$3:$Z$12006,'KIDS&amp;ADULTS'!$V$3:$V$12006,V53,'KIDS&amp;ADULTS'!$B$3:$B$12006,$Z$3,'KIDS&amp;ADULTS'!$N$3:$N$12006,"Đã đóng học phí")</f>
        <v>0</v>
      </c>
      <c r="AA53" s="398">
        <f>SUMIFS('KIDS&amp;ADULTS'!$Z$3:$Z$12006,'KIDS&amp;ADULTS'!$V$3:$V$12006,V53,'KIDS&amp;ADULTS'!$B$3:$B$12006,$AA$3,'KIDS&amp;ADULTS'!$N$3:$N$12006,"Đã đóng học phí")</f>
        <v>0</v>
      </c>
      <c r="AB53" s="398">
        <f>SUMIFS('KIDS&amp;ADULTS'!$Z$3:$Z$12006,'KIDS&amp;ADULTS'!$V$3:$V$12006,V53,'KIDS&amp;ADULTS'!$B$3:$B$12006,$AB$3,'KIDS&amp;ADULTS'!$N$3:$N$12006,"Đã đóng học phí")</f>
        <v>0</v>
      </c>
      <c r="AC53" s="398">
        <f>SUMIFS('KIDS&amp;ADULTS'!$Z$3:$Z$12006,'KIDS&amp;ADULTS'!$V$3:$V$12006,V53,'KIDS&amp;ADULTS'!$B$3:$B$12006,$AC$3,'KIDS&amp;ADULTS'!$N$3:$N$12006,"Đã đóng học phí")</f>
        <v>0</v>
      </c>
      <c r="AD53" s="398">
        <f>SUMIFS('KIDS&amp;ADULTS'!$Z$3:$Z$12006,'KIDS&amp;ADULTS'!$V$3:$V$12006,V53,'KIDS&amp;ADULTS'!$B$3:$B$12006,$AD$3,'KIDS&amp;ADULTS'!$N$3:$N$12006,"Đã đóng học phí")</f>
        <v>0</v>
      </c>
      <c r="AE53" s="398">
        <f t="shared" si="8"/>
        <v>0</v>
      </c>
      <c r="AF53" s="373"/>
    </row>
    <row r="54" ht="15.75" customHeight="1">
      <c r="V54" s="372">
        <f t="shared" si="9"/>
        <v>45274</v>
      </c>
      <c r="W54" s="398">
        <f>SUMIFS('KIDS&amp;ADULTS'!$Z$3:$Z$12006,'KIDS&amp;ADULTS'!V$3:V$12006,V54,'KIDS&amp;ADULTS'!$B$3:$B$12006,$L$3,'KIDS&amp;ADULTS'!$N$3:$N$12006,"Đã đóng học phí")</f>
        <v>0</v>
      </c>
      <c r="X54" s="398">
        <f>SUMIFS('KIDS&amp;ADULTS'!$Z$3:$Z$12006,'KIDS&amp;ADULTS'!$V$3:$V$12006,V54,'KIDS&amp;ADULTS'!$B$3:$B$12006,$X$3,'KIDS&amp;ADULTS'!$N$3:$N$12006,"Đã đóng học phí")</f>
        <v>0</v>
      </c>
      <c r="Y54" s="398">
        <f>SUMIFS('KIDS&amp;ADULTS'!$Z$3:$Z$12006,'KIDS&amp;ADULTS'!$V$3:$V$12006,V54,'KIDS&amp;ADULTS'!$B$3:$B$12006,$Y$3,'KIDS&amp;ADULTS'!$N$3:$N$12006,"Đã đóng học phí")</f>
        <v>0</v>
      </c>
      <c r="Z54" s="398">
        <f>SUMIFS('KIDS&amp;ADULTS'!$Z$3:$Z$12006,'KIDS&amp;ADULTS'!$V$3:$V$12006,V54,'KIDS&amp;ADULTS'!$B$3:$B$12006,$Z$3,'KIDS&amp;ADULTS'!$N$3:$N$12006,"Đã đóng học phí")</f>
        <v>0</v>
      </c>
      <c r="AA54" s="398">
        <f>SUMIFS('KIDS&amp;ADULTS'!$Z$3:$Z$12006,'KIDS&amp;ADULTS'!$V$3:$V$12006,V54,'KIDS&amp;ADULTS'!$B$3:$B$12006,$AA$3,'KIDS&amp;ADULTS'!$N$3:$N$12006,"Đã đóng học phí")</f>
        <v>0</v>
      </c>
      <c r="AB54" s="398">
        <f>SUMIFS('KIDS&amp;ADULTS'!$Z$3:$Z$12006,'KIDS&amp;ADULTS'!$V$3:$V$12006,V54,'KIDS&amp;ADULTS'!$B$3:$B$12006,$AB$3,'KIDS&amp;ADULTS'!$N$3:$N$12006,"Đã đóng học phí")</f>
        <v>0</v>
      </c>
      <c r="AC54" s="398">
        <f>SUMIFS('KIDS&amp;ADULTS'!$Z$3:$Z$12006,'KIDS&amp;ADULTS'!$V$3:$V$12006,V54,'KIDS&amp;ADULTS'!$B$3:$B$12006,$AC$3,'KIDS&amp;ADULTS'!$N$3:$N$12006,"Đã đóng học phí")</f>
        <v>0</v>
      </c>
      <c r="AD54" s="398">
        <f>SUMIFS('KIDS&amp;ADULTS'!$Z$3:$Z$12006,'KIDS&amp;ADULTS'!$V$3:$V$12006,V54,'KIDS&amp;ADULTS'!$B$3:$B$12006,$AD$3,'KIDS&amp;ADULTS'!$N$3:$N$12006,"Đã đóng học phí")</f>
        <v>0</v>
      </c>
      <c r="AE54" s="398">
        <f t="shared" si="8"/>
        <v>0</v>
      </c>
      <c r="AF54" s="373"/>
    </row>
    <row r="55" ht="15.75" customHeight="1">
      <c r="V55" s="372">
        <f t="shared" si="9"/>
        <v>45275</v>
      </c>
      <c r="W55" s="398">
        <f>SUMIFS('KIDS&amp;ADULTS'!$Z$3:$Z$12006,'KIDS&amp;ADULTS'!V$3:V$12006,V55,'KIDS&amp;ADULTS'!$B$3:$B$12006,$L$3,'KIDS&amp;ADULTS'!$N$3:$N$12006,"Đã đóng học phí")</f>
        <v>0</v>
      </c>
      <c r="X55" s="398">
        <f>SUMIFS('KIDS&amp;ADULTS'!$Z$3:$Z$12006,'KIDS&amp;ADULTS'!$V$3:$V$12006,V55,'KIDS&amp;ADULTS'!$B$3:$B$12006,$X$3,'KIDS&amp;ADULTS'!$N$3:$N$12006,"Đã đóng học phí")</f>
        <v>0</v>
      </c>
      <c r="Y55" s="398">
        <f>SUMIFS('KIDS&amp;ADULTS'!$Z$3:$Z$12006,'KIDS&amp;ADULTS'!$V$3:$V$12006,V55,'KIDS&amp;ADULTS'!$B$3:$B$12006,$Y$3,'KIDS&amp;ADULTS'!$N$3:$N$12006,"Đã đóng học phí")</f>
        <v>0</v>
      </c>
      <c r="Z55" s="398">
        <f>SUMIFS('KIDS&amp;ADULTS'!$Z$3:$Z$12006,'KIDS&amp;ADULTS'!$V$3:$V$12006,V55,'KIDS&amp;ADULTS'!$B$3:$B$12006,$Z$3,'KIDS&amp;ADULTS'!$N$3:$N$12006,"Đã đóng học phí")</f>
        <v>0</v>
      </c>
      <c r="AA55" s="398">
        <f>SUMIFS('KIDS&amp;ADULTS'!$Z$3:$Z$12006,'KIDS&amp;ADULTS'!$V$3:$V$12006,V55,'KIDS&amp;ADULTS'!$B$3:$B$12006,$AA$3,'KIDS&amp;ADULTS'!$N$3:$N$12006,"Đã đóng học phí")</f>
        <v>0</v>
      </c>
      <c r="AB55" s="398">
        <f>SUMIFS('KIDS&amp;ADULTS'!$Z$3:$Z$12006,'KIDS&amp;ADULTS'!$V$3:$V$12006,V55,'KIDS&amp;ADULTS'!$B$3:$B$12006,$AB$3,'KIDS&amp;ADULTS'!$N$3:$N$12006,"Đã đóng học phí")</f>
        <v>0</v>
      </c>
      <c r="AC55" s="398">
        <f>SUMIFS('KIDS&amp;ADULTS'!$Z$3:$Z$12006,'KIDS&amp;ADULTS'!$V$3:$V$12006,V55,'KIDS&amp;ADULTS'!$B$3:$B$12006,$AC$3,'KIDS&amp;ADULTS'!$N$3:$N$12006,"Đã đóng học phí")</f>
        <v>0</v>
      </c>
      <c r="AD55" s="398">
        <f>SUMIFS('KIDS&amp;ADULTS'!$Z$3:$Z$12006,'KIDS&amp;ADULTS'!$V$3:$V$12006,V55,'KIDS&amp;ADULTS'!$B$3:$B$12006,$AD$3,'KIDS&amp;ADULTS'!$N$3:$N$12006,"Đã đóng học phí")</f>
        <v>0</v>
      </c>
      <c r="AE55" s="398">
        <f t="shared" si="8"/>
        <v>0</v>
      </c>
      <c r="AF55" s="373"/>
    </row>
    <row r="56" ht="15.75" customHeight="1">
      <c r="V56" s="372">
        <f t="shared" si="9"/>
        <v>45276</v>
      </c>
      <c r="W56" s="398">
        <f>SUMIFS('KIDS&amp;ADULTS'!$Z$3:$Z$12006,'KIDS&amp;ADULTS'!V$3:V$12006,V56,'KIDS&amp;ADULTS'!$B$3:$B$12006,$L$3,'KIDS&amp;ADULTS'!$N$3:$N$12006,"Đã đóng học phí")</f>
        <v>0</v>
      </c>
      <c r="X56" s="398">
        <f>SUMIFS('KIDS&amp;ADULTS'!$Z$3:$Z$12006,'KIDS&amp;ADULTS'!$V$3:$V$12006,V56,'KIDS&amp;ADULTS'!$B$3:$B$12006,$X$3,'KIDS&amp;ADULTS'!$N$3:$N$12006,"Đã đóng học phí")</f>
        <v>0</v>
      </c>
      <c r="Y56" s="398">
        <f>SUMIFS('KIDS&amp;ADULTS'!$Z$3:$Z$12006,'KIDS&amp;ADULTS'!$V$3:$V$12006,V56,'KIDS&amp;ADULTS'!$B$3:$B$12006,$Y$3,'KIDS&amp;ADULTS'!$N$3:$N$12006,"Đã đóng học phí")</f>
        <v>0</v>
      </c>
      <c r="Z56" s="398">
        <f>SUMIFS('KIDS&amp;ADULTS'!$Z$3:$Z$12006,'KIDS&amp;ADULTS'!$V$3:$V$12006,V56,'KIDS&amp;ADULTS'!$B$3:$B$12006,$Z$3,'KIDS&amp;ADULTS'!$N$3:$N$12006,"Đã đóng học phí")</f>
        <v>0</v>
      </c>
      <c r="AA56" s="398">
        <f>SUMIFS('KIDS&amp;ADULTS'!$Z$3:$Z$12006,'KIDS&amp;ADULTS'!$V$3:$V$12006,V56,'KIDS&amp;ADULTS'!$B$3:$B$12006,$AA$3,'KIDS&amp;ADULTS'!$N$3:$N$12006,"Đã đóng học phí")</f>
        <v>0</v>
      </c>
      <c r="AB56" s="398">
        <f>SUMIFS('KIDS&amp;ADULTS'!$Z$3:$Z$12006,'KIDS&amp;ADULTS'!$V$3:$V$12006,V56,'KIDS&amp;ADULTS'!$B$3:$B$12006,$AB$3,'KIDS&amp;ADULTS'!$N$3:$N$12006,"Đã đóng học phí")</f>
        <v>0</v>
      </c>
      <c r="AC56" s="398">
        <f>SUMIFS('KIDS&amp;ADULTS'!$Z$3:$Z$12006,'KIDS&amp;ADULTS'!$V$3:$V$12006,V56,'KIDS&amp;ADULTS'!$B$3:$B$12006,$AC$3,'KIDS&amp;ADULTS'!$N$3:$N$12006,"Đã đóng học phí")</f>
        <v>0</v>
      </c>
      <c r="AD56" s="398">
        <f>SUMIFS('KIDS&amp;ADULTS'!$Z$3:$Z$12006,'KIDS&amp;ADULTS'!$V$3:$V$12006,V56,'KIDS&amp;ADULTS'!$B$3:$B$12006,$AD$3,'KIDS&amp;ADULTS'!$N$3:$N$12006,"Đã đóng học phí")</f>
        <v>0</v>
      </c>
      <c r="AE56" s="398">
        <f t="shared" si="8"/>
        <v>0</v>
      </c>
      <c r="AF56" s="373"/>
    </row>
    <row r="57" ht="15.75" customHeight="1">
      <c r="V57" s="372">
        <f t="shared" si="9"/>
        <v>45277</v>
      </c>
      <c r="W57" s="398">
        <f>SUMIFS('KIDS&amp;ADULTS'!$Z$3:$Z$12006,'KIDS&amp;ADULTS'!V$3:V$12006,V57,'KIDS&amp;ADULTS'!$B$3:$B$12006,$L$3,'KIDS&amp;ADULTS'!$N$3:$N$12006,"Đã đóng học phí")</f>
        <v>0</v>
      </c>
      <c r="X57" s="398">
        <f>SUMIFS('KIDS&amp;ADULTS'!$Z$3:$Z$12006,'KIDS&amp;ADULTS'!$V$3:$V$12006,V57,'KIDS&amp;ADULTS'!$B$3:$B$12006,$X$3,'KIDS&amp;ADULTS'!$N$3:$N$12006,"Đã đóng học phí")</f>
        <v>0</v>
      </c>
      <c r="Y57" s="398">
        <f>SUMIFS('KIDS&amp;ADULTS'!$Z$3:$Z$12006,'KIDS&amp;ADULTS'!$V$3:$V$12006,V57,'KIDS&amp;ADULTS'!$B$3:$B$12006,$Y$3,'KIDS&amp;ADULTS'!$N$3:$N$12006,"Đã đóng học phí")</f>
        <v>0</v>
      </c>
      <c r="Z57" s="398">
        <f>SUMIFS('KIDS&amp;ADULTS'!$Z$3:$Z$12006,'KIDS&amp;ADULTS'!$V$3:$V$12006,V57,'KIDS&amp;ADULTS'!$B$3:$B$12006,$Z$3,'KIDS&amp;ADULTS'!$N$3:$N$12006,"Đã đóng học phí")</f>
        <v>0</v>
      </c>
      <c r="AA57" s="398">
        <f>SUMIFS('KIDS&amp;ADULTS'!$Z$3:$Z$12006,'KIDS&amp;ADULTS'!$V$3:$V$12006,V57,'KIDS&amp;ADULTS'!$B$3:$B$12006,$AA$3,'KIDS&amp;ADULTS'!$N$3:$N$12006,"Đã đóng học phí")</f>
        <v>0</v>
      </c>
      <c r="AB57" s="398">
        <f>SUMIFS('KIDS&amp;ADULTS'!$Z$3:$Z$12006,'KIDS&amp;ADULTS'!$V$3:$V$12006,V57,'KIDS&amp;ADULTS'!$B$3:$B$12006,$AB$3,'KIDS&amp;ADULTS'!$N$3:$N$12006,"Đã đóng học phí")</f>
        <v>0</v>
      </c>
      <c r="AC57" s="398">
        <f>SUMIFS('KIDS&amp;ADULTS'!$Z$3:$Z$12006,'KIDS&amp;ADULTS'!$V$3:$V$12006,V57,'KIDS&amp;ADULTS'!$B$3:$B$12006,$AC$3,'KIDS&amp;ADULTS'!$N$3:$N$12006,"Đã đóng học phí")</f>
        <v>0</v>
      </c>
      <c r="AD57" s="398">
        <f>SUMIFS('KIDS&amp;ADULTS'!$Z$3:$Z$12006,'KIDS&amp;ADULTS'!$V$3:$V$12006,V57,'KIDS&amp;ADULTS'!$B$3:$B$12006,$AD$3,'KIDS&amp;ADULTS'!$N$3:$N$12006,"Đã đóng học phí")</f>
        <v>0</v>
      </c>
      <c r="AE57" s="398">
        <f t="shared" si="8"/>
        <v>0</v>
      </c>
      <c r="AF57" s="373"/>
    </row>
    <row r="58" ht="15.75" customHeight="1">
      <c r="V58" s="372">
        <f t="shared" si="9"/>
        <v>45278</v>
      </c>
      <c r="W58" s="398">
        <f>SUMIFS('KIDS&amp;ADULTS'!$Z$3:$Z$12006,'KIDS&amp;ADULTS'!V$3:V$12006,V58,'KIDS&amp;ADULTS'!$B$3:$B$12006,$L$3,'KIDS&amp;ADULTS'!$N$3:$N$12006,"Đã đóng học phí")</f>
        <v>0</v>
      </c>
      <c r="X58" s="398">
        <f>SUMIFS('KIDS&amp;ADULTS'!$Z$3:$Z$12006,'KIDS&amp;ADULTS'!$V$3:$V$12006,V58,'KIDS&amp;ADULTS'!$B$3:$B$12006,$X$3,'KIDS&amp;ADULTS'!$N$3:$N$12006,"Đã đóng học phí")</f>
        <v>0</v>
      </c>
      <c r="Y58" s="398">
        <f>SUMIFS('KIDS&amp;ADULTS'!$Z$3:$Z$12006,'KIDS&amp;ADULTS'!$V$3:$V$12006,V58,'KIDS&amp;ADULTS'!$B$3:$B$12006,$Y$3,'KIDS&amp;ADULTS'!$N$3:$N$12006,"Đã đóng học phí")</f>
        <v>0</v>
      </c>
      <c r="Z58" s="398">
        <f>SUMIFS('KIDS&amp;ADULTS'!$Z$3:$Z$12006,'KIDS&amp;ADULTS'!$V$3:$V$12006,V58,'KIDS&amp;ADULTS'!$B$3:$B$12006,$Z$3,'KIDS&amp;ADULTS'!$N$3:$N$12006,"Đã đóng học phí")</f>
        <v>5511600</v>
      </c>
      <c r="AA58" s="398">
        <f>SUMIFS('KIDS&amp;ADULTS'!$Z$3:$Z$12006,'KIDS&amp;ADULTS'!$V$3:$V$12006,V58,'KIDS&amp;ADULTS'!$B$3:$B$12006,$AA$3,'KIDS&amp;ADULTS'!$N$3:$N$12006,"Đã đóng học phí")</f>
        <v>0</v>
      </c>
      <c r="AB58" s="398">
        <f>SUMIFS('KIDS&amp;ADULTS'!$Z$3:$Z$12006,'KIDS&amp;ADULTS'!$V$3:$V$12006,V58,'KIDS&amp;ADULTS'!$B$3:$B$12006,$AB$3,'KIDS&amp;ADULTS'!$N$3:$N$12006,"Đã đóng học phí")</f>
        <v>0</v>
      </c>
      <c r="AC58" s="398">
        <f>SUMIFS('KIDS&amp;ADULTS'!$Z$3:$Z$12006,'KIDS&amp;ADULTS'!$V$3:$V$12006,V58,'KIDS&amp;ADULTS'!$B$3:$B$12006,$AC$3,'KIDS&amp;ADULTS'!$N$3:$N$12006,"Đã đóng học phí")</f>
        <v>0</v>
      </c>
      <c r="AD58" s="398">
        <f>SUMIFS('KIDS&amp;ADULTS'!$Z$3:$Z$12006,'KIDS&amp;ADULTS'!$V$3:$V$12006,V58,'KIDS&amp;ADULTS'!$B$3:$B$12006,$AD$3,'KIDS&amp;ADULTS'!$N$3:$N$12006,"Đã đóng học phí")</f>
        <v>0</v>
      </c>
      <c r="AE58" s="398">
        <f t="shared" si="8"/>
        <v>5511600</v>
      </c>
      <c r="AF58" s="373"/>
    </row>
    <row r="59" ht="15.75" customHeight="1">
      <c r="V59" s="372">
        <f t="shared" si="9"/>
        <v>45279</v>
      </c>
      <c r="W59" s="398">
        <f>SUMIFS('KIDS&amp;ADULTS'!$Z$3:$Z$12006,'KIDS&amp;ADULTS'!V$3:V$12006,V59,'KIDS&amp;ADULTS'!$B$3:$B$12006,$L$3,'KIDS&amp;ADULTS'!$N$3:$N$12006,"Đã đóng học phí")</f>
        <v>0</v>
      </c>
      <c r="X59" s="398">
        <f>SUMIFS('KIDS&amp;ADULTS'!$Z$3:$Z$12006,'KIDS&amp;ADULTS'!$V$3:$V$12006,V59,'KIDS&amp;ADULTS'!$B$3:$B$12006,$X$3,'KIDS&amp;ADULTS'!$N$3:$N$12006,"Đã đóng học phí")</f>
        <v>0</v>
      </c>
      <c r="Y59" s="398">
        <f>SUMIFS('KIDS&amp;ADULTS'!$Z$3:$Z$12006,'KIDS&amp;ADULTS'!$V$3:$V$12006,V59,'KIDS&amp;ADULTS'!$B$3:$B$12006,$Y$3,'KIDS&amp;ADULTS'!$N$3:$N$12006,"Đã đóng học phí")</f>
        <v>0</v>
      </c>
      <c r="Z59" s="398">
        <f>SUMIFS('KIDS&amp;ADULTS'!$Z$3:$Z$12006,'KIDS&amp;ADULTS'!$V$3:$V$12006,V59,'KIDS&amp;ADULTS'!$B$3:$B$12006,$Z$3,'KIDS&amp;ADULTS'!$N$3:$N$12006,"Đã đóng học phí")</f>
        <v>0</v>
      </c>
      <c r="AA59" s="398">
        <f>SUMIFS('KIDS&amp;ADULTS'!$Z$3:$Z$12006,'KIDS&amp;ADULTS'!$V$3:$V$12006,V59,'KIDS&amp;ADULTS'!$B$3:$B$12006,$AA$3,'KIDS&amp;ADULTS'!$N$3:$N$12006,"Đã đóng học phí")</f>
        <v>0</v>
      </c>
      <c r="AB59" s="398">
        <f>SUMIFS('KIDS&amp;ADULTS'!$Z$3:$Z$12006,'KIDS&amp;ADULTS'!$V$3:$V$12006,V59,'KIDS&amp;ADULTS'!$B$3:$B$12006,$AB$3,'KIDS&amp;ADULTS'!$N$3:$N$12006,"Đã đóng học phí")</f>
        <v>0</v>
      </c>
      <c r="AC59" s="398">
        <f>SUMIFS('KIDS&amp;ADULTS'!$Z$3:$Z$12006,'KIDS&amp;ADULTS'!$V$3:$V$12006,V59,'KIDS&amp;ADULTS'!$B$3:$B$12006,$AC$3,'KIDS&amp;ADULTS'!$N$3:$N$12006,"Đã đóng học phí")</f>
        <v>0</v>
      </c>
      <c r="AD59" s="398">
        <f>SUMIFS('KIDS&amp;ADULTS'!$Z$3:$Z$12006,'KIDS&amp;ADULTS'!$V$3:$V$12006,V59,'KIDS&amp;ADULTS'!$B$3:$B$12006,$AD$3,'KIDS&amp;ADULTS'!$N$3:$N$12006,"Đã đóng học phí")</f>
        <v>0</v>
      </c>
      <c r="AE59" s="398">
        <f t="shared" si="8"/>
        <v>0</v>
      </c>
      <c r="AF59" s="373"/>
    </row>
    <row r="60" ht="15.75" customHeight="1">
      <c r="V60" s="372">
        <f t="shared" si="9"/>
        <v>45280</v>
      </c>
      <c r="W60" s="398">
        <f>SUMIFS('KIDS&amp;ADULTS'!$Z$3:$Z$12006,'KIDS&amp;ADULTS'!V$3:V$12006,V60,'KIDS&amp;ADULTS'!$B$3:$B$12006,$L$3,'KIDS&amp;ADULTS'!$N$3:$N$12006,"Đã đóng học phí")</f>
        <v>0</v>
      </c>
      <c r="X60" s="398">
        <f>SUMIFS('KIDS&amp;ADULTS'!$Z$3:$Z$12006,'KIDS&amp;ADULTS'!$V$3:$V$12006,V60,'KIDS&amp;ADULTS'!$B$3:$B$12006,$X$3,'KIDS&amp;ADULTS'!$N$3:$N$12006,"Đã đóng học phí")</f>
        <v>0</v>
      </c>
      <c r="Y60" s="398">
        <f>SUMIFS('KIDS&amp;ADULTS'!$Z$3:$Z$12006,'KIDS&amp;ADULTS'!$V$3:$V$12006,V60,'KIDS&amp;ADULTS'!$B$3:$B$12006,$Y$3,'KIDS&amp;ADULTS'!$N$3:$N$12006,"Đã đóng học phí")</f>
        <v>0</v>
      </c>
      <c r="Z60" s="398">
        <f>SUMIFS('KIDS&amp;ADULTS'!$Z$3:$Z$12006,'KIDS&amp;ADULTS'!$V$3:$V$12006,V60,'KIDS&amp;ADULTS'!$B$3:$B$12006,$Z$3,'KIDS&amp;ADULTS'!$N$3:$N$12006,"Đã đóng học phí")</f>
        <v>0</v>
      </c>
      <c r="AA60" s="398">
        <f>SUMIFS('KIDS&amp;ADULTS'!$Z$3:$Z$12006,'KIDS&amp;ADULTS'!$V$3:$V$12006,V60,'KIDS&amp;ADULTS'!$B$3:$B$12006,$AA$3,'KIDS&amp;ADULTS'!$N$3:$N$12006,"Đã đóng học phí")</f>
        <v>0</v>
      </c>
      <c r="AB60" s="398">
        <f>SUMIFS('KIDS&amp;ADULTS'!$Z$3:$Z$12006,'KIDS&amp;ADULTS'!$V$3:$V$12006,V60,'KIDS&amp;ADULTS'!$B$3:$B$12006,$AB$3,'KIDS&amp;ADULTS'!$N$3:$N$12006,"Đã đóng học phí")</f>
        <v>0</v>
      </c>
      <c r="AC60" s="398">
        <f>SUMIFS('KIDS&amp;ADULTS'!$Z$3:$Z$12006,'KIDS&amp;ADULTS'!$V$3:$V$12006,V60,'KIDS&amp;ADULTS'!$B$3:$B$12006,$AC$3,'KIDS&amp;ADULTS'!$N$3:$N$12006,"Đã đóng học phí")</f>
        <v>0</v>
      </c>
      <c r="AD60" s="398">
        <f>SUMIFS('KIDS&amp;ADULTS'!$Z$3:$Z$12006,'KIDS&amp;ADULTS'!$V$3:$V$12006,V60,'KIDS&amp;ADULTS'!$B$3:$B$12006,$AD$3,'KIDS&amp;ADULTS'!$N$3:$N$12006,"Đã đóng học phí")</f>
        <v>0</v>
      </c>
      <c r="AE60" s="398">
        <f t="shared" si="8"/>
        <v>0</v>
      </c>
      <c r="AF60" s="373"/>
    </row>
    <row r="61" ht="15.75" customHeight="1">
      <c r="V61" s="372">
        <f t="shared" si="9"/>
        <v>45281</v>
      </c>
      <c r="W61" s="398">
        <f>SUMIFS('KIDS&amp;ADULTS'!$Z$3:$Z$12006,'KIDS&amp;ADULTS'!V$3:V$12006,V61,'KIDS&amp;ADULTS'!$B$3:$B$12006,$L$3,'KIDS&amp;ADULTS'!$N$3:$N$12006,"Đã đóng học phí")</f>
        <v>0</v>
      </c>
      <c r="X61" s="398">
        <f>SUMIFS('KIDS&amp;ADULTS'!$Z$3:$Z$12006,'KIDS&amp;ADULTS'!$V$3:$V$12006,V61,'KIDS&amp;ADULTS'!$B$3:$B$12006,$X$3,'KIDS&amp;ADULTS'!$N$3:$N$12006,"Đã đóng học phí")</f>
        <v>0</v>
      </c>
      <c r="Y61" s="398">
        <f>SUMIFS('KIDS&amp;ADULTS'!$Z$3:$Z$12006,'KIDS&amp;ADULTS'!$V$3:$V$12006,V61,'KIDS&amp;ADULTS'!$B$3:$B$12006,$Y$3,'KIDS&amp;ADULTS'!$N$3:$N$12006,"Đã đóng học phí")</f>
        <v>0</v>
      </c>
      <c r="Z61" s="398">
        <f>SUMIFS('KIDS&amp;ADULTS'!$Z$3:$Z$12006,'KIDS&amp;ADULTS'!$V$3:$V$12006,V61,'KIDS&amp;ADULTS'!$B$3:$B$12006,$Z$3,'KIDS&amp;ADULTS'!$N$3:$N$12006,"Đã đóng học phí")</f>
        <v>0</v>
      </c>
      <c r="AA61" s="398">
        <f>SUMIFS('KIDS&amp;ADULTS'!$Z$3:$Z$12006,'KIDS&amp;ADULTS'!$V$3:$V$12006,V61,'KIDS&amp;ADULTS'!$B$3:$B$12006,$AA$3,'KIDS&amp;ADULTS'!$N$3:$N$12006,"Đã đóng học phí")</f>
        <v>0</v>
      </c>
      <c r="AB61" s="398">
        <f>SUMIFS('KIDS&amp;ADULTS'!$Z$3:$Z$12006,'KIDS&amp;ADULTS'!$V$3:$V$12006,V61,'KIDS&amp;ADULTS'!$B$3:$B$12006,$AB$3,'KIDS&amp;ADULTS'!$N$3:$N$12006,"Đã đóng học phí")</f>
        <v>0</v>
      </c>
      <c r="AC61" s="398">
        <f>SUMIFS('KIDS&amp;ADULTS'!$Z$3:$Z$12006,'KIDS&amp;ADULTS'!$V$3:$V$12006,V61,'KIDS&amp;ADULTS'!$B$3:$B$12006,$AC$3,'KIDS&amp;ADULTS'!$N$3:$N$12006,"Đã đóng học phí")</f>
        <v>0</v>
      </c>
      <c r="AD61" s="398">
        <f>SUMIFS('KIDS&amp;ADULTS'!$Z$3:$Z$12006,'KIDS&amp;ADULTS'!$V$3:$V$12006,V61,'KIDS&amp;ADULTS'!$B$3:$B$12006,$AD$3,'KIDS&amp;ADULTS'!$N$3:$N$12006,"Đã đóng học phí")</f>
        <v>0</v>
      </c>
      <c r="AE61" s="398">
        <f t="shared" si="8"/>
        <v>0</v>
      </c>
      <c r="AF61" s="373"/>
    </row>
    <row r="62" ht="15.75" customHeight="1">
      <c r="V62" s="372">
        <f t="shared" si="9"/>
        <v>45282</v>
      </c>
      <c r="W62" s="398">
        <f>SUMIFS('KIDS&amp;ADULTS'!$Z$3:$Z$12006,'KIDS&amp;ADULTS'!V$3:V$12006,V62,'KIDS&amp;ADULTS'!$B$3:$B$12006,$L$3,'KIDS&amp;ADULTS'!$N$3:$N$12006,"Đã đóng học phí")</f>
        <v>0</v>
      </c>
      <c r="X62" s="398">
        <f>SUMIFS('KIDS&amp;ADULTS'!$Z$3:$Z$12006,'KIDS&amp;ADULTS'!$V$3:$V$12006,V62,'KIDS&amp;ADULTS'!$B$3:$B$12006,$X$3,'KIDS&amp;ADULTS'!$N$3:$N$12006,"Đã đóng học phí")</f>
        <v>0</v>
      </c>
      <c r="Y62" s="398">
        <f>SUMIFS('KIDS&amp;ADULTS'!$Z$3:$Z$12006,'KIDS&amp;ADULTS'!$V$3:$V$12006,V62,'KIDS&amp;ADULTS'!$B$3:$B$12006,$Y$3,'KIDS&amp;ADULTS'!$N$3:$N$12006,"Đã đóng học phí")</f>
        <v>0</v>
      </c>
      <c r="Z62" s="398">
        <f>SUMIFS('KIDS&amp;ADULTS'!$Z$3:$Z$12006,'KIDS&amp;ADULTS'!$V$3:$V$12006,V62,'KIDS&amp;ADULTS'!$B$3:$B$12006,$Z$3,'KIDS&amp;ADULTS'!$N$3:$N$12006,"Đã đóng học phí")</f>
        <v>0</v>
      </c>
      <c r="AA62" s="398">
        <f>SUMIFS('KIDS&amp;ADULTS'!$Z$3:$Z$12006,'KIDS&amp;ADULTS'!$V$3:$V$12006,V62,'KIDS&amp;ADULTS'!$B$3:$B$12006,$AA$3,'KIDS&amp;ADULTS'!$N$3:$N$12006,"Đã đóng học phí")</f>
        <v>0</v>
      </c>
      <c r="AB62" s="398">
        <f>SUMIFS('KIDS&amp;ADULTS'!$Z$3:$Z$12006,'KIDS&amp;ADULTS'!$V$3:$V$12006,V62,'KIDS&amp;ADULTS'!$B$3:$B$12006,$AB$3,'KIDS&amp;ADULTS'!$N$3:$N$12006,"Đã đóng học phí")</f>
        <v>5524000</v>
      </c>
      <c r="AC62" s="398">
        <f>SUMIFS('KIDS&amp;ADULTS'!$Z$3:$Z$12006,'KIDS&amp;ADULTS'!$V$3:$V$12006,V62,'KIDS&amp;ADULTS'!$B$3:$B$12006,$AC$3,'KIDS&amp;ADULTS'!$N$3:$N$12006,"Đã đóng học phí")</f>
        <v>0</v>
      </c>
      <c r="AD62" s="398">
        <f>SUMIFS('KIDS&amp;ADULTS'!$Z$3:$Z$12006,'KIDS&amp;ADULTS'!$V$3:$V$12006,V62,'KIDS&amp;ADULTS'!$B$3:$B$12006,$AD$3,'KIDS&amp;ADULTS'!$N$3:$N$12006,"Đã đóng học phí")</f>
        <v>0</v>
      </c>
      <c r="AE62" s="398">
        <f t="shared" si="8"/>
        <v>5524000</v>
      </c>
      <c r="AF62" s="373"/>
    </row>
    <row r="63" ht="15.75" customHeight="1">
      <c r="V63" s="372">
        <f t="shared" si="9"/>
        <v>45283</v>
      </c>
      <c r="W63" s="398">
        <f>SUMIFS('KIDS&amp;ADULTS'!$Z$3:$Z$12006,'KIDS&amp;ADULTS'!V$3:V$12006,V63,'KIDS&amp;ADULTS'!$B$3:$B$12006,$L$3,'KIDS&amp;ADULTS'!$N$3:$N$12006,"Đã đóng học phí")</f>
        <v>0</v>
      </c>
      <c r="X63" s="398">
        <f>SUMIFS('KIDS&amp;ADULTS'!$Z$3:$Z$12006,'KIDS&amp;ADULTS'!$V$3:$V$12006,V63,'KIDS&amp;ADULTS'!$B$3:$B$12006,$X$3,'KIDS&amp;ADULTS'!$N$3:$N$12006,"Đã đóng học phí")</f>
        <v>0</v>
      </c>
      <c r="Y63" s="398">
        <f>SUMIFS('KIDS&amp;ADULTS'!$Z$3:$Z$12006,'KIDS&amp;ADULTS'!$V$3:$V$12006,V63,'KIDS&amp;ADULTS'!$B$3:$B$12006,$Y$3,'KIDS&amp;ADULTS'!$N$3:$N$12006,"Đã đóng học phí")</f>
        <v>0</v>
      </c>
      <c r="Z63" s="398">
        <f>SUMIFS('KIDS&amp;ADULTS'!$Z$3:$Z$12006,'KIDS&amp;ADULTS'!$V$3:$V$12006,V63,'KIDS&amp;ADULTS'!$B$3:$B$12006,$Z$3,'KIDS&amp;ADULTS'!$N$3:$N$12006,"Đã đóng học phí")</f>
        <v>0</v>
      </c>
      <c r="AA63" s="398">
        <f>SUMIFS('KIDS&amp;ADULTS'!$Z$3:$Z$12006,'KIDS&amp;ADULTS'!$V$3:$V$12006,V63,'KIDS&amp;ADULTS'!$B$3:$B$12006,$AA$3,'KIDS&amp;ADULTS'!$N$3:$N$12006,"Đã đóng học phí")</f>
        <v>0</v>
      </c>
      <c r="AB63" s="398">
        <f>SUMIFS('KIDS&amp;ADULTS'!$Z$3:$Z$12006,'KIDS&amp;ADULTS'!$V$3:$V$12006,V63,'KIDS&amp;ADULTS'!$B$3:$B$12006,$AB$3,'KIDS&amp;ADULTS'!$N$3:$N$12006,"Đã đóng học phí")</f>
        <v>0</v>
      </c>
      <c r="AC63" s="398">
        <f>SUMIFS('KIDS&amp;ADULTS'!$Z$3:$Z$12006,'KIDS&amp;ADULTS'!$V$3:$V$12006,V63,'KIDS&amp;ADULTS'!$B$3:$B$12006,$AC$3,'KIDS&amp;ADULTS'!$N$3:$N$12006,"Đã đóng học phí")</f>
        <v>0</v>
      </c>
      <c r="AD63" s="398">
        <f>SUMIFS('KIDS&amp;ADULTS'!$Z$3:$Z$12006,'KIDS&amp;ADULTS'!$V$3:$V$12006,V63,'KIDS&amp;ADULTS'!$B$3:$B$12006,$AD$3,'KIDS&amp;ADULTS'!$N$3:$N$12006,"Đã đóng học phí")</f>
        <v>0</v>
      </c>
      <c r="AE63" s="398">
        <f t="shared" si="8"/>
        <v>0</v>
      </c>
      <c r="AF63" s="373"/>
    </row>
    <row r="64" ht="15.75" customHeight="1">
      <c r="V64" s="372">
        <f t="shared" si="9"/>
        <v>45284</v>
      </c>
      <c r="W64" s="398">
        <f>SUMIFS('KIDS&amp;ADULTS'!$Z$3:$Z$12006,'KIDS&amp;ADULTS'!V$3:V$12006,V64,'KIDS&amp;ADULTS'!$B$3:$B$12006,$L$3,'KIDS&amp;ADULTS'!$N$3:$N$12006,"Đã đóng học phí")</f>
        <v>0</v>
      </c>
      <c r="X64" s="398">
        <f>SUMIFS('KIDS&amp;ADULTS'!$Z$3:$Z$12006,'KIDS&amp;ADULTS'!$V$3:$V$12006,V64,'KIDS&amp;ADULTS'!$B$3:$B$12006,$X$3,'KIDS&amp;ADULTS'!$N$3:$N$12006,"Đã đóng học phí")</f>
        <v>0</v>
      </c>
      <c r="Y64" s="398">
        <f>SUMIFS('KIDS&amp;ADULTS'!$Z$3:$Z$12006,'KIDS&amp;ADULTS'!$V$3:$V$12006,V64,'KIDS&amp;ADULTS'!$B$3:$B$12006,$Y$3,'KIDS&amp;ADULTS'!$N$3:$N$12006,"Đã đóng học phí")</f>
        <v>0</v>
      </c>
      <c r="Z64" s="398">
        <f>SUMIFS('KIDS&amp;ADULTS'!$Z$3:$Z$12006,'KIDS&amp;ADULTS'!$V$3:$V$12006,V64,'KIDS&amp;ADULTS'!$B$3:$B$12006,$Z$3,'KIDS&amp;ADULTS'!$N$3:$N$12006,"Đã đóng học phí")</f>
        <v>0</v>
      </c>
      <c r="AA64" s="398">
        <f>SUMIFS('KIDS&amp;ADULTS'!$Z$3:$Z$12006,'KIDS&amp;ADULTS'!$V$3:$V$12006,V64,'KIDS&amp;ADULTS'!$B$3:$B$12006,$AA$3,'KIDS&amp;ADULTS'!$N$3:$N$12006,"Đã đóng học phí")</f>
        <v>0</v>
      </c>
      <c r="AB64" s="398">
        <f>SUMIFS('KIDS&amp;ADULTS'!$Z$3:$Z$12006,'KIDS&amp;ADULTS'!$V$3:$V$12006,V64,'KIDS&amp;ADULTS'!$B$3:$B$12006,$AB$3,'KIDS&amp;ADULTS'!$N$3:$N$12006,"Đã đóng học phí")</f>
        <v>0</v>
      </c>
      <c r="AC64" s="398">
        <f>SUMIFS('KIDS&amp;ADULTS'!$Z$3:$Z$12006,'KIDS&amp;ADULTS'!$V$3:$V$12006,V64,'KIDS&amp;ADULTS'!$B$3:$B$12006,$AC$3,'KIDS&amp;ADULTS'!$N$3:$N$12006,"Đã đóng học phí")</f>
        <v>0</v>
      </c>
      <c r="AD64" s="398">
        <f>SUMIFS('KIDS&amp;ADULTS'!$Z$3:$Z$12006,'KIDS&amp;ADULTS'!$V$3:$V$12006,V64,'KIDS&amp;ADULTS'!$B$3:$B$12006,$AD$3,'KIDS&amp;ADULTS'!$N$3:$N$12006,"Đã đóng học phí")</f>
        <v>0</v>
      </c>
      <c r="AE64" s="398">
        <f t="shared" si="8"/>
        <v>0</v>
      </c>
      <c r="AF64" s="373"/>
    </row>
    <row r="65" ht="15.75" customHeight="1">
      <c r="V65" s="372">
        <f t="shared" si="9"/>
        <v>45285</v>
      </c>
      <c r="W65" s="398">
        <f>SUMIFS('KIDS&amp;ADULTS'!$Z$3:$Z$12006,'KIDS&amp;ADULTS'!V$3:V$12006,V65,'KIDS&amp;ADULTS'!$B$3:$B$12006,$L$3,'KIDS&amp;ADULTS'!$N$3:$N$12006,"Đã đóng học phí")</f>
        <v>0</v>
      </c>
      <c r="X65" s="398">
        <f>SUMIFS('KIDS&amp;ADULTS'!$Z$3:$Z$12006,'KIDS&amp;ADULTS'!$V$3:$V$12006,V65,'KIDS&amp;ADULTS'!$B$3:$B$12006,$X$3,'KIDS&amp;ADULTS'!$N$3:$N$12006,"Đã đóng học phí")</f>
        <v>0</v>
      </c>
      <c r="Y65" s="398">
        <f>SUMIFS('KIDS&amp;ADULTS'!$Z$3:$Z$12006,'KIDS&amp;ADULTS'!$V$3:$V$12006,V65,'KIDS&amp;ADULTS'!$B$3:$B$12006,$Y$3,'KIDS&amp;ADULTS'!$N$3:$N$12006,"Đã đóng học phí")</f>
        <v>0</v>
      </c>
      <c r="Z65" s="398">
        <f>SUMIFS('KIDS&amp;ADULTS'!$Z$3:$Z$12006,'KIDS&amp;ADULTS'!$V$3:$V$12006,V65,'KIDS&amp;ADULTS'!$B$3:$B$12006,$Z$3,'KIDS&amp;ADULTS'!$N$3:$N$12006,"Đã đóng học phí")</f>
        <v>0</v>
      </c>
      <c r="AA65" s="398">
        <f>SUMIFS('KIDS&amp;ADULTS'!$Z$3:$Z$12006,'KIDS&amp;ADULTS'!$V$3:$V$12006,V65,'KIDS&amp;ADULTS'!$B$3:$B$12006,$AA$3,'KIDS&amp;ADULTS'!$N$3:$N$12006,"Đã đóng học phí")</f>
        <v>0</v>
      </c>
      <c r="AB65" s="398">
        <f>SUMIFS('KIDS&amp;ADULTS'!$Z$3:$Z$12006,'KIDS&amp;ADULTS'!$V$3:$V$12006,V65,'KIDS&amp;ADULTS'!$B$3:$B$12006,$AB$3,'KIDS&amp;ADULTS'!$N$3:$N$12006,"Đã đóng học phí")</f>
        <v>0</v>
      </c>
      <c r="AC65" s="398">
        <f>SUMIFS('KIDS&amp;ADULTS'!$Z$3:$Z$12006,'KIDS&amp;ADULTS'!$V$3:$V$12006,V65,'KIDS&amp;ADULTS'!$B$3:$B$12006,$AC$3,'KIDS&amp;ADULTS'!$N$3:$N$12006,"Đã đóng học phí")</f>
        <v>0</v>
      </c>
      <c r="AD65" s="398">
        <f>SUMIFS('KIDS&amp;ADULTS'!$Z$3:$Z$12006,'KIDS&amp;ADULTS'!$V$3:$V$12006,V65,'KIDS&amp;ADULTS'!$B$3:$B$12006,$AD$3,'KIDS&amp;ADULTS'!$N$3:$N$12006,"Đã đóng học phí")</f>
        <v>0</v>
      </c>
      <c r="AE65" s="398">
        <f t="shared" si="8"/>
        <v>0</v>
      </c>
      <c r="AF65" s="373"/>
    </row>
    <row r="66" ht="15.75" customHeight="1">
      <c r="V66" s="372">
        <f t="shared" si="9"/>
        <v>45286</v>
      </c>
      <c r="W66" s="398">
        <f>SUMIFS('KIDS&amp;ADULTS'!$Z$3:$Z$12006,'KIDS&amp;ADULTS'!V$3:V$12006,V66,'KIDS&amp;ADULTS'!$B$3:$B$12006,$L$3,'KIDS&amp;ADULTS'!$N$3:$N$12006,"Đã đóng học phí")</f>
        <v>0</v>
      </c>
      <c r="X66" s="398">
        <f>SUMIFS('KIDS&amp;ADULTS'!$Z$3:$Z$12006,'KIDS&amp;ADULTS'!$V$3:$V$12006,V66,'KIDS&amp;ADULTS'!$B$3:$B$12006,$X$3,'KIDS&amp;ADULTS'!$N$3:$N$12006,"Đã đóng học phí")</f>
        <v>0</v>
      </c>
      <c r="Y66" s="398">
        <f>SUMIFS('KIDS&amp;ADULTS'!$Z$3:$Z$12006,'KIDS&amp;ADULTS'!$V$3:$V$12006,V66,'KIDS&amp;ADULTS'!$B$3:$B$12006,$Y$3,'KIDS&amp;ADULTS'!$N$3:$N$12006,"Đã đóng học phí")</f>
        <v>0</v>
      </c>
      <c r="Z66" s="398">
        <f>SUMIFS('KIDS&amp;ADULTS'!$Z$3:$Z$12006,'KIDS&amp;ADULTS'!$V$3:$V$12006,V66,'KIDS&amp;ADULTS'!$B$3:$B$12006,$Z$3,'KIDS&amp;ADULTS'!$N$3:$N$12006,"Đã đóng học phí")</f>
        <v>0</v>
      </c>
      <c r="AA66" s="398">
        <f>SUMIFS('KIDS&amp;ADULTS'!$Z$3:$Z$12006,'KIDS&amp;ADULTS'!$V$3:$V$12006,V66,'KIDS&amp;ADULTS'!$B$3:$B$12006,$AA$3,'KIDS&amp;ADULTS'!$N$3:$N$12006,"Đã đóng học phí")</f>
        <v>0</v>
      </c>
      <c r="AB66" s="398">
        <f>SUMIFS('KIDS&amp;ADULTS'!$Z$3:$Z$12006,'KIDS&amp;ADULTS'!$V$3:$V$12006,V66,'KIDS&amp;ADULTS'!$B$3:$B$12006,$AB$3,'KIDS&amp;ADULTS'!$N$3:$N$12006,"Đã đóng học phí")</f>
        <v>0</v>
      </c>
      <c r="AC66" s="398">
        <f>SUMIFS('KIDS&amp;ADULTS'!$Z$3:$Z$12006,'KIDS&amp;ADULTS'!$V$3:$V$12006,V66,'KIDS&amp;ADULTS'!$B$3:$B$12006,$AC$3,'KIDS&amp;ADULTS'!$N$3:$N$12006,"Đã đóng học phí")</f>
        <v>0</v>
      </c>
      <c r="AD66" s="398">
        <f>SUMIFS('KIDS&amp;ADULTS'!$Z$3:$Z$12006,'KIDS&amp;ADULTS'!$V$3:$V$12006,V66,'KIDS&amp;ADULTS'!$B$3:$B$12006,$AD$3,'KIDS&amp;ADULTS'!$N$3:$N$12006,"Đã đóng học phí")</f>
        <v>0</v>
      </c>
      <c r="AE66" s="398">
        <f t="shared" si="8"/>
        <v>0</v>
      </c>
      <c r="AF66" s="373"/>
    </row>
    <row r="67" ht="15.75" customHeight="1">
      <c r="V67" s="372">
        <f t="shared" si="9"/>
        <v>45287</v>
      </c>
      <c r="W67" s="398">
        <f>SUMIFS('KIDS&amp;ADULTS'!$Z$3:$Z$12006,'KIDS&amp;ADULTS'!V$3:V$12006,V67,'KIDS&amp;ADULTS'!$B$3:$B$12006,$L$3,'KIDS&amp;ADULTS'!$N$3:$N$12006,"Đã đóng học phí")</f>
        <v>0</v>
      </c>
      <c r="X67" s="398">
        <f>SUMIFS('KIDS&amp;ADULTS'!$Z$3:$Z$12006,'KIDS&amp;ADULTS'!$V$3:$V$12006,V67,'KIDS&amp;ADULTS'!$B$3:$B$12006,$X$3,'KIDS&amp;ADULTS'!$N$3:$N$12006,"Đã đóng học phí")</f>
        <v>0</v>
      </c>
      <c r="Y67" s="398">
        <f>SUMIFS('KIDS&amp;ADULTS'!$Z$3:$Z$12006,'KIDS&amp;ADULTS'!$V$3:$V$12006,V67,'KIDS&amp;ADULTS'!$B$3:$B$12006,$Y$3,'KIDS&amp;ADULTS'!$N$3:$N$12006,"Đã đóng học phí")</f>
        <v>0</v>
      </c>
      <c r="Z67" s="398">
        <f>SUMIFS('KIDS&amp;ADULTS'!$Z$3:$Z$12006,'KIDS&amp;ADULTS'!$V$3:$V$12006,V67,'KIDS&amp;ADULTS'!$B$3:$B$12006,$Z$3,'KIDS&amp;ADULTS'!$N$3:$N$12006,"Đã đóng học phí")</f>
        <v>0</v>
      </c>
      <c r="AA67" s="398">
        <f>SUMIFS('KIDS&amp;ADULTS'!$Z$3:$Z$12006,'KIDS&amp;ADULTS'!$V$3:$V$12006,V67,'KIDS&amp;ADULTS'!$B$3:$B$12006,$AA$3,'KIDS&amp;ADULTS'!$N$3:$N$12006,"Đã đóng học phí")</f>
        <v>0</v>
      </c>
      <c r="AB67" s="398">
        <f>SUMIFS('KIDS&amp;ADULTS'!$Z$3:$Z$12006,'KIDS&amp;ADULTS'!$V$3:$V$12006,V67,'KIDS&amp;ADULTS'!$B$3:$B$12006,$AB$3,'KIDS&amp;ADULTS'!$N$3:$N$12006,"Đã đóng học phí")</f>
        <v>0</v>
      </c>
      <c r="AC67" s="398">
        <f>SUMIFS('KIDS&amp;ADULTS'!$Z$3:$Z$12006,'KIDS&amp;ADULTS'!$V$3:$V$12006,V67,'KIDS&amp;ADULTS'!$B$3:$B$12006,$AC$3,'KIDS&amp;ADULTS'!$N$3:$N$12006,"Đã đóng học phí")</f>
        <v>0</v>
      </c>
      <c r="AD67" s="398">
        <f>SUMIFS('KIDS&amp;ADULTS'!$Z$3:$Z$12006,'KIDS&amp;ADULTS'!$V$3:$V$12006,V67,'KIDS&amp;ADULTS'!$B$3:$B$12006,$AD$3,'KIDS&amp;ADULTS'!$N$3:$N$12006,"Đã đóng học phí")</f>
        <v>0</v>
      </c>
      <c r="AE67" s="398">
        <f t="shared" si="8"/>
        <v>0</v>
      </c>
      <c r="AF67" s="373"/>
    </row>
    <row r="68" ht="15.75" customHeight="1">
      <c r="V68" s="372">
        <f t="shared" si="9"/>
        <v>45288</v>
      </c>
      <c r="W68" s="398">
        <f>SUMIFS('KIDS&amp;ADULTS'!$Z$3:$Z$12006,'KIDS&amp;ADULTS'!V$3:V$12006,V68,'KIDS&amp;ADULTS'!$B$3:$B$12006,$L$3,'KIDS&amp;ADULTS'!$N$3:$N$12006,"Đã đóng học phí")</f>
        <v>0</v>
      </c>
      <c r="X68" s="398">
        <f>SUMIFS('KIDS&amp;ADULTS'!$Z$3:$Z$12006,'KIDS&amp;ADULTS'!$V$3:$V$12006,V68,'KIDS&amp;ADULTS'!$B$3:$B$12006,$X$3,'KIDS&amp;ADULTS'!$N$3:$N$12006,"Đã đóng học phí")</f>
        <v>0</v>
      </c>
      <c r="Y68" s="398">
        <f>SUMIFS('KIDS&amp;ADULTS'!$Z$3:$Z$12006,'KIDS&amp;ADULTS'!$V$3:$V$12006,V68,'KIDS&amp;ADULTS'!$B$3:$B$12006,$Y$3,'KIDS&amp;ADULTS'!$N$3:$N$12006,"Đã đóng học phí")</f>
        <v>0</v>
      </c>
      <c r="Z68" s="398">
        <f>SUMIFS('KIDS&amp;ADULTS'!$Z$3:$Z$12006,'KIDS&amp;ADULTS'!$V$3:$V$12006,V68,'KIDS&amp;ADULTS'!$B$3:$B$12006,$Z$3,'KIDS&amp;ADULTS'!$N$3:$N$12006,"Đã đóng học phí")</f>
        <v>0</v>
      </c>
      <c r="AA68" s="398">
        <f>SUMIFS('KIDS&amp;ADULTS'!$Z$3:$Z$12006,'KIDS&amp;ADULTS'!$V$3:$V$12006,V68,'KIDS&amp;ADULTS'!$B$3:$B$12006,$AA$3,'KIDS&amp;ADULTS'!$N$3:$N$12006,"Đã đóng học phí")</f>
        <v>0</v>
      </c>
      <c r="AB68" s="398">
        <f>SUMIFS('KIDS&amp;ADULTS'!$Z$3:$Z$12006,'KIDS&amp;ADULTS'!$V$3:$V$12006,V68,'KIDS&amp;ADULTS'!$B$3:$B$12006,$AB$3,'KIDS&amp;ADULTS'!$N$3:$N$12006,"Đã đóng học phí")</f>
        <v>0</v>
      </c>
      <c r="AC68" s="398">
        <f>SUMIFS('KIDS&amp;ADULTS'!$Z$3:$Z$12006,'KIDS&amp;ADULTS'!$V$3:$V$12006,V68,'KIDS&amp;ADULTS'!$B$3:$B$12006,$AC$3,'KIDS&amp;ADULTS'!$N$3:$N$12006,"Đã đóng học phí")</f>
        <v>0</v>
      </c>
      <c r="AD68" s="398">
        <f>SUMIFS('KIDS&amp;ADULTS'!$Z$3:$Z$12006,'KIDS&amp;ADULTS'!$V$3:$V$12006,V68,'KIDS&amp;ADULTS'!$B$3:$B$12006,$AD$3,'KIDS&amp;ADULTS'!$N$3:$N$12006,"Đã đóng học phí")</f>
        <v>0</v>
      </c>
      <c r="AE68" s="398">
        <f t="shared" si="8"/>
        <v>0</v>
      </c>
      <c r="AF68" s="373"/>
    </row>
    <row r="69" ht="15.75" customHeight="1">
      <c r="V69" s="372">
        <f t="shared" si="9"/>
        <v>45289</v>
      </c>
      <c r="W69" s="398">
        <f>SUMIFS('KIDS&amp;ADULTS'!$Z$3:$Z$12006,'KIDS&amp;ADULTS'!V$3:V$12006,V69,'KIDS&amp;ADULTS'!$B$3:$B$12006,$L$3,'KIDS&amp;ADULTS'!$N$3:$N$12006,"Đã đóng học phí")</f>
        <v>0</v>
      </c>
      <c r="X69" s="398">
        <f>SUMIFS('KIDS&amp;ADULTS'!$Z$3:$Z$12006,'KIDS&amp;ADULTS'!$V$3:$V$12006,V69,'KIDS&amp;ADULTS'!$B$3:$B$12006,$X$3,'KIDS&amp;ADULTS'!$N$3:$N$12006,"Đã đóng học phí")</f>
        <v>0</v>
      </c>
      <c r="Y69" s="398">
        <f>SUMIFS('KIDS&amp;ADULTS'!$Z$3:$Z$12006,'KIDS&amp;ADULTS'!$V$3:$V$12006,V69,'KIDS&amp;ADULTS'!$B$3:$B$12006,$Y$3,'KIDS&amp;ADULTS'!$N$3:$N$12006,"Đã đóng học phí")</f>
        <v>0</v>
      </c>
      <c r="Z69" s="398">
        <f>SUMIFS('KIDS&amp;ADULTS'!$Z$3:$Z$12006,'KIDS&amp;ADULTS'!$V$3:$V$12006,V69,'KIDS&amp;ADULTS'!$B$3:$B$12006,$Z$3,'KIDS&amp;ADULTS'!$N$3:$N$12006,"Đã đóng học phí")</f>
        <v>0</v>
      </c>
      <c r="AA69" s="398">
        <f>SUMIFS('KIDS&amp;ADULTS'!$Z$3:$Z$12006,'KIDS&amp;ADULTS'!$V$3:$V$12006,V69,'KIDS&amp;ADULTS'!$B$3:$B$12006,$AA$3,'KIDS&amp;ADULTS'!$N$3:$N$12006,"Đã đóng học phí")</f>
        <v>0</v>
      </c>
      <c r="AB69" s="398">
        <f>SUMIFS('KIDS&amp;ADULTS'!$Z$3:$Z$12006,'KIDS&amp;ADULTS'!$V$3:$V$12006,V69,'KIDS&amp;ADULTS'!$B$3:$B$12006,$AB$3,'KIDS&amp;ADULTS'!$N$3:$N$12006,"Đã đóng học phí")</f>
        <v>0</v>
      </c>
      <c r="AC69" s="398">
        <f>SUMIFS('KIDS&amp;ADULTS'!$Z$3:$Z$12006,'KIDS&amp;ADULTS'!$V$3:$V$12006,V69,'KIDS&amp;ADULTS'!$B$3:$B$12006,$AC$3,'KIDS&amp;ADULTS'!$N$3:$N$12006,"Đã đóng học phí")</f>
        <v>0</v>
      </c>
      <c r="AD69" s="398">
        <f>SUMIFS('KIDS&amp;ADULTS'!$Z$3:$Z$12006,'KIDS&amp;ADULTS'!$V$3:$V$12006,V69,'KIDS&amp;ADULTS'!$B$3:$B$12006,$AD$3,'KIDS&amp;ADULTS'!$N$3:$N$12006,"Đã đóng học phí")</f>
        <v>0</v>
      </c>
      <c r="AE69" s="398">
        <f t="shared" si="8"/>
        <v>0</v>
      </c>
      <c r="AF69" s="373"/>
    </row>
    <row r="70" ht="15.75" customHeight="1">
      <c r="V70" s="372">
        <f t="shared" si="9"/>
        <v>45290</v>
      </c>
      <c r="W70" s="398">
        <f>SUMIFS('KIDS&amp;ADULTS'!$Z$3:$Z$12006,'KIDS&amp;ADULTS'!V$3:V$12006,V70,'KIDS&amp;ADULTS'!$B$3:$B$12006,$L$3,'KIDS&amp;ADULTS'!$N$3:$N$12006,"Đã đóng học phí")</f>
        <v>0</v>
      </c>
      <c r="X70" s="398">
        <f>SUMIFS('KIDS&amp;ADULTS'!$Z$3:$Z$12006,'KIDS&amp;ADULTS'!$V$3:$V$12006,V70,'KIDS&amp;ADULTS'!$B$3:$B$12006,$X$3,'KIDS&amp;ADULTS'!$N$3:$N$12006,"Đã đóng học phí")</f>
        <v>0</v>
      </c>
      <c r="Y70" s="398">
        <f>SUMIFS('KIDS&amp;ADULTS'!$Z$3:$Z$12006,'KIDS&amp;ADULTS'!$V$3:$V$12006,V70,'KIDS&amp;ADULTS'!$B$3:$B$12006,$Y$3,'KIDS&amp;ADULTS'!$N$3:$N$12006,"Đã đóng học phí")</f>
        <v>0</v>
      </c>
      <c r="Z70" s="398">
        <f>SUMIFS('KIDS&amp;ADULTS'!$Z$3:$Z$12006,'KIDS&amp;ADULTS'!$V$3:$V$12006,V70,'KIDS&amp;ADULTS'!$B$3:$B$12006,$Z$3,'KIDS&amp;ADULTS'!$N$3:$N$12006,"Đã đóng học phí")</f>
        <v>0</v>
      </c>
      <c r="AA70" s="398">
        <f>SUMIFS('KIDS&amp;ADULTS'!$Z$3:$Z$12006,'KIDS&amp;ADULTS'!$V$3:$V$12006,V70,'KIDS&amp;ADULTS'!$B$3:$B$12006,$AA$3,'KIDS&amp;ADULTS'!$N$3:$N$12006,"Đã đóng học phí")</f>
        <v>0</v>
      </c>
      <c r="AB70" s="398">
        <f>SUMIFS('KIDS&amp;ADULTS'!$Z$3:$Z$12006,'KIDS&amp;ADULTS'!$V$3:$V$12006,V70,'KIDS&amp;ADULTS'!$B$3:$B$12006,$AB$3,'KIDS&amp;ADULTS'!$N$3:$N$12006,"Đã đóng học phí")</f>
        <v>0</v>
      </c>
      <c r="AC70" s="398">
        <f>SUMIFS('KIDS&amp;ADULTS'!$Z$3:$Z$12006,'KIDS&amp;ADULTS'!$V$3:$V$12006,V70,'KIDS&amp;ADULTS'!$B$3:$B$12006,$AC$3,'KIDS&amp;ADULTS'!$N$3:$N$12006,"Đã đóng học phí")</f>
        <v>0</v>
      </c>
      <c r="AD70" s="398">
        <f>SUMIFS('KIDS&amp;ADULTS'!$Z$3:$Z$12006,'KIDS&amp;ADULTS'!$V$3:$V$12006,V70,'KIDS&amp;ADULTS'!$B$3:$B$12006,$AD$3,'KIDS&amp;ADULTS'!$N$3:$N$12006,"Đã đóng học phí")</f>
        <v>0</v>
      </c>
      <c r="AE70" s="398">
        <f t="shared" si="8"/>
        <v>0</v>
      </c>
      <c r="AF70" s="373"/>
    </row>
    <row r="71" ht="15.75" customHeight="1">
      <c r="V71" s="372">
        <f t="shared" si="9"/>
        <v>45291</v>
      </c>
      <c r="W71" s="398">
        <f>SUMIFS('KIDS&amp;ADULTS'!$Z$3:$Z$12006,'KIDS&amp;ADULTS'!V$3:V$12006,V71,'KIDS&amp;ADULTS'!$B$3:$B$12006,$L$3,'KIDS&amp;ADULTS'!$N$3:$N$12006,"Đã đóng học phí")</f>
        <v>0</v>
      </c>
      <c r="X71" s="398">
        <f>SUMIFS('KIDS&amp;ADULTS'!$Z$3:$Z$12006,'KIDS&amp;ADULTS'!$V$3:$V$12006,V71,'KIDS&amp;ADULTS'!$B$3:$B$12006,$X$3,'KIDS&amp;ADULTS'!$N$3:$N$12006,"Đã đóng học phí")</f>
        <v>0</v>
      </c>
      <c r="Y71" s="398">
        <f>SUMIFS('KIDS&amp;ADULTS'!$Z$3:$Z$12006,'KIDS&amp;ADULTS'!$V$3:$V$12006,V71,'KIDS&amp;ADULTS'!$B$3:$B$12006,$Y$3,'KIDS&amp;ADULTS'!$N$3:$N$12006,"Đã đóng học phí")</f>
        <v>0</v>
      </c>
      <c r="Z71" s="398">
        <f>SUMIFS('KIDS&amp;ADULTS'!$Z$3:$Z$12006,'KIDS&amp;ADULTS'!$V$3:$V$12006,V71,'KIDS&amp;ADULTS'!$B$3:$B$12006,$Z$3,'KIDS&amp;ADULTS'!$N$3:$N$12006,"Đã đóng học phí")</f>
        <v>0</v>
      </c>
      <c r="AA71" s="398">
        <f>SUMIFS('KIDS&amp;ADULTS'!$Z$3:$Z$12006,'KIDS&amp;ADULTS'!$V$3:$V$12006,V71,'KIDS&amp;ADULTS'!$B$3:$B$12006,$AA$3,'KIDS&amp;ADULTS'!$N$3:$N$12006,"Đã đóng học phí")</f>
        <v>0</v>
      </c>
      <c r="AB71" s="398">
        <f>SUMIFS('KIDS&amp;ADULTS'!$Z$3:$Z$12006,'KIDS&amp;ADULTS'!$V$3:$V$12006,V71,'KIDS&amp;ADULTS'!$B$3:$B$12006,$AB$3,'KIDS&amp;ADULTS'!$N$3:$N$12006,"Đã đóng học phí")</f>
        <v>0</v>
      </c>
      <c r="AC71" s="398">
        <f>SUMIFS('KIDS&amp;ADULTS'!$Z$3:$Z$12006,'KIDS&amp;ADULTS'!$V$3:$V$12006,V71,'KIDS&amp;ADULTS'!$B$3:$B$12006,$AC$3,'KIDS&amp;ADULTS'!$N$3:$N$12006,"Đã đóng học phí")</f>
        <v>0</v>
      </c>
      <c r="AD71" s="398">
        <f>SUMIFS('KIDS&amp;ADULTS'!$Z$3:$Z$12006,'KIDS&amp;ADULTS'!$V$3:$V$12006,V71,'KIDS&amp;ADULTS'!$B$3:$B$12006,$AD$3,'KIDS&amp;ADULTS'!$N$3:$N$12006,"Đã đóng học phí")</f>
        <v>0</v>
      </c>
      <c r="AE71" s="398">
        <f t="shared" si="8"/>
        <v>0</v>
      </c>
    </row>
    <row r="72" ht="15.75" customHeight="1">
      <c r="V72" s="388" t="s">
        <v>4622</v>
      </c>
      <c r="W72" s="399">
        <f t="shared" ref="W72:AD72" si="10">SUM(W41:W71)</f>
        <v>0</v>
      </c>
      <c r="X72" s="399">
        <f t="shared" si="10"/>
        <v>0</v>
      </c>
      <c r="Y72" s="399">
        <f t="shared" si="10"/>
        <v>0</v>
      </c>
      <c r="Z72" s="399">
        <f t="shared" si="10"/>
        <v>10717200</v>
      </c>
      <c r="AA72" s="399">
        <f t="shared" si="10"/>
        <v>1330000</v>
      </c>
      <c r="AB72" s="399">
        <f t="shared" si="10"/>
        <v>5524000</v>
      </c>
      <c r="AC72" s="399">
        <f t="shared" si="10"/>
        <v>0</v>
      </c>
      <c r="AD72" s="399">
        <f t="shared" si="10"/>
        <v>0</v>
      </c>
      <c r="AE72" s="400">
        <f t="shared" si="8"/>
        <v>17571200</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J1:R1"/>
    <mergeCell ref="L2:R2"/>
    <mergeCell ref="A1:G1"/>
    <mergeCell ref="H1:I3"/>
    <mergeCell ref="A2:A3"/>
    <mergeCell ref="B2:F2"/>
    <mergeCell ref="G2:G3"/>
    <mergeCell ref="J2:J3"/>
    <mergeCell ref="V2:V3"/>
    <mergeCell ref="W2:AD2"/>
    <mergeCell ref="V38:AD38"/>
    <mergeCell ref="V39:V40"/>
    <mergeCell ref="W39:AD39"/>
    <mergeCell ref="V1:AD1"/>
    <mergeCell ref="AG2:AO2"/>
    <mergeCell ref="AG3:AG4"/>
    <mergeCell ref="AH3:AO3"/>
    <mergeCell ref="AG7:AO7"/>
    <mergeCell ref="AG8:AG9"/>
    <mergeCell ref="AH8:AO8"/>
  </mergeCells>
  <conditionalFormatting sqref="K4:S34">
    <cfRule type="cellIs" dxfId="1" priority="1" operator="greaterThan">
      <formula>0</formula>
    </cfRule>
  </conditionalFormatting>
  <conditionalFormatting sqref="W4:AD34">
    <cfRule type="cellIs" dxfId="7" priority="2" operator="greaterThan">
      <formula>0</formula>
    </cfRule>
  </conditionalFormatting>
  <conditionalFormatting sqref="W41:AD71">
    <cfRule type="cellIs" dxfId="7" priority="3" operator="greater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B1" s="401" t="s">
        <v>4036</v>
      </c>
      <c r="C1" s="383" t="s">
        <v>4627</v>
      </c>
    </row>
    <row r="2" ht="15.75" customHeight="1">
      <c r="B2" s="402" t="s">
        <v>65</v>
      </c>
      <c r="C2" s="383" t="s">
        <v>4628</v>
      </c>
      <c r="D2" s="383" t="str">
        <f t="shared" ref="D2:D203" si="1">right(B2,9)</f>
        <v>907405075</v>
      </c>
      <c r="E2" s="403" t="s">
        <v>4629</v>
      </c>
      <c r="F2" s="383" t="str">
        <f t="shared" ref="F2:F203" si="2">E2&amp;D2</f>
        <v>+84907405075</v>
      </c>
    </row>
    <row r="3" ht="15.75" customHeight="1">
      <c r="B3" s="402" t="s">
        <v>4630</v>
      </c>
      <c r="C3" s="383" t="s">
        <v>4628</v>
      </c>
      <c r="D3" s="383" t="str">
        <f t="shared" si="1"/>
        <v>905569559</v>
      </c>
      <c r="E3" s="403" t="s">
        <v>4629</v>
      </c>
      <c r="F3" s="383" t="str">
        <f t="shared" si="2"/>
        <v>+84905569559</v>
      </c>
    </row>
    <row r="4" ht="15.75" customHeight="1">
      <c r="B4" s="402" t="s">
        <v>133</v>
      </c>
      <c r="C4" s="383" t="s">
        <v>4628</v>
      </c>
      <c r="D4" s="383" t="str">
        <f t="shared" si="1"/>
        <v>908432524</v>
      </c>
      <c r="E4" s="383" t="s">
        <v>4629</v>
      </c>
      <c r="F4" s="383" t="str">
        <f t="shared" si="2"/>
        <v>+84908432524</v>
      </c>
    </row>
    <row r="5" ht="15.75" customHeight="1">
      <c r="B5" s="401" t="s">
        <v>235</v>
      </c>
      <c r="C5" s="383" t="s">
        <v>4628</v>
      </c>
      <c r="D5" s="383" t="str">
        <f t="shared" si="1"/>
        <v>933486489</v>
      </c>
      <c r="E5" s="383" t="s">
        <v>4629</v>
      </c>
      <c r="F5" s="383" t="str">
        <f t="shared" si="2"/>
        <v>+84933486489</v>
      </c>
    </row>
    <row r="6" ht="15.75" customHeight="1">
      <c r="B6" s="401" t="s">
        <v>307</v>
      </c>
      <c r="C6" s="383" t="s">
        <v>4628</v>
      </c>
      <c r="D6" s="383" t="str">
        <f t="shared" si="1"/>
        <v>913062711</v>
      </c>
      <c r="E6" s="383" t="s">
        <v>4629</v>
      </c>
      <c r="F6" s="383" t="str">
        <f t="shared" si="2"/>
        <v>+84913062711</v>
      </c>
    </row>
    <row r="7" ht="15.75" customHeight="1">
      <c r="B7" s="401" t="s">
        <v>318</v>
      </c>
      <c r="C7" s="383" t="s">
        <v>4628</v>
      </c>
      <c r="D7" s="383" t="str">
        <f t="shared" si="1"/>
        <v>983403544</v>
      </c>
      <c r="E7" s="383" t="s">
        <v>4629</v>
      </c>
      <c r="F7" s="383" t="str">
        <f t="shared" si="2"/>
        <v>+84983403544</v>
      </c>
    </row>
    <row r="8" ht="15.75" customHeight="1">
      <c r="B8" s="401" t="s">
        <v>336</v>
      </c>
      <c r="C8" s="383" t="s">
        <v>4628</v>
      </c>
      <c r="D8" s="383" t="str">
        <f t="shared" si="1"/>
        <v>935445677</v>
      </c>
      <c r="E8" s="383" t="s">
        <v>4629</v>
      </c>
      <c r="F8" s="383" t="str">
        <f t="shared" si="2"/>
        <v>+84935445677</v>
      </c>
    </row>
    <row r="9" ht="15.75" customHeight="1">
      <c r="B9" s="401" t="s">
        <v>4631</v>
      </c>
      <c r="C9" s="383" t="s">
        <v>4628</v>
      </c>
      <c r="D9" s="383" t="str">
        <f t="shared" si="1"/>
        <v>905235035</v>
      </c>
      <c r="E9" s="383" t="s">
        <v>4629</v>
      </c>
      <c r="F9" s="383" t="str">
        <f t="shared" si="2"/>
        <v>+84905235035</v>
      </c>
    </row>
    <row r="10" ht="15.75" customHeight="1">
      <c r="B10" s="401" t="s">
        <v>384</v>
      </c>
      <c r="C10" s="383" t="s">
        <v>4628</v>
      </c>
      <c r="D10" s="383" t="str">
        <f t="shared" si="1"/>
        <v>963809480</v>
      </c>
      <c r="E10" s="383" t="s">
        <v>4629</v>
      </c>
      <c r="F10" s="383" t="str">
        <f t="shared" si="2"/>
        <v>+84963809480</v>
      </c>
    </row>
    <row r="11" ht="15.75" customHeight="1">
      <c r="B11" s="401" t="s">
        <v>395</v>
      </c>
      <c r="C11" s="383" t="s">
        <v>4628</v>
      </c>
      <c r="D11" s="383" t="str">
        <f t="shared" si="1"/>
        <v>772448582</v>
      </c>
      <c r="E11" s="383" t="s">
        <v>4629</v>
      </c>
      <c r="F11" s="383" t="str">
        <f t="shared" si="2"/>
        <v>+84772448582</v>
      </c>
    </row>
    <row r="12" ht="15.75" customHeight="1">
      <c r="B12" s="401" t="s">
        <v>403</v>
      </c>
      <c r="C12" s="383" t="s">
        <v>4628</v>
      </c>
      <c r="D12" s="383" t="str">
        <f t="shared" si="1"/>
        <v>974999473</v>
      </c>
      <c r="E12" s="383" t="s">
        <v>4629</v>
      </c>
      <c r="F12" s="383" t="str">
        <f t="shared" si="2"/>
        <v>+84974999473</v>
      </c>
    </row>
    <row r="13" ht="15.75" customHeight="1">
      <c r="B13" s="401" t="s">
        <v>410</v>
      </c>
      <c r="C13" s="383" t="s">
        <v>4628</v>
      </c>
      <c r="D13" s="383" t="str">
        <f t="shared" si="1"/>
        <v>905695955</v>
      </c>
      <c r="E13" s="383" t="s">
        <v>4629</v>
      </c>
      <c r="F13" s="383" t="str">
        <f t="shared" si="2"/>
        <v>+84905695955</v>
      </c>
    </row>
    <row r="14" ht="15.75" customHeight="1">
      <c r="B14" s="402" t="s">
        <v>4632</v>
      </c>
      <c r="C14" s="383" t="s">
        <v>4628</v>
      </c>
      <c r="D14" s="383" t="str">
        <f t="shared" si="1"/>
        <v>358082055</v>
      </c>
      <c r="E14" s="383" t="s">
        <v>4629</v>
      </c>
      <c r="F14" s="383" t="str">
        <f t="shared" si="2"/>
        <v>+84358082055</v>
      </c>
    </row>
    <row r="15" ht="15.75" customHeight="1">
      <c r="B15" s="401" t="s">
        <v>536</v>
      </c>
      <c r="C15" s="383" t="s">
        <v>4628</v>
      </c>
      <c r="D15" s="383" t="str">
        <f t="shared" si="1"/>
        <v>359049515</v>
      </c>
      <c r="E15" s="383" t="s">
        <v>4629</v>
      </c>
      <c r="F15" s="383" t="str">
        <f t="shared" si="2"/>
        <v>+84359049515</v>
      </c>
    </row>
    <row r="16" ht="15.75" customHeight="1">
      <c r="B16" s="401" t="s">
        <v>578</v>
      </c>
      <c r="C16" s="383" t="s">
        <v>4628</v>
      </c>
      <c r="D16" s="383" t="str">
        <f t="shared" si="1"/>
        <v>934899788</v>
      </c>
      <c r="E16" s="383" t="s">
        <v>4629</v>
      </c>
      <c r="F16" s="383" t="str">
        <f t="shared" si="2"/>
        <v>+84934899788</v>
      </c>
    </row>
    <row r="17" ht="15.75" customHeight="1">
      <c r="B17" s="401" t="s">
        <v>593</v>
      </c>
      <c r="C17" s="383" t="s">
        <v>4628</v>
      </c>
      <c r="D17" s="383" t="str">
        <f t="shared" si="1"/>
        <v>869693123</v>
      </c>
      <c r="E17" s="383" t="s">
        <v>4629</v>
      </c>
      <c r="F17" s="383" t="str">
        <f t="shared" si="2"/>
        <v>+84869693123</v>
      </c>
    </row>
    <row r="18" ht="15.75" customHeight="1">
      <c r="B18" s="402" t="s">
        <v>4633</v>
      </c>
      <c r="C18" s="383" t="s">
        <v>4628</v>
      </c>
      <c r="D18" s="383" t="str">
        <f t="shared" si="1"/>
        <v>935047245</v>
      </c>
      <c r="E18" s="383" t="s">
        <v>4629</v>
      </c>
      <c r="F18" s="383" t="str">
        <f t="shared" si="2"/>
        <v>+84935047245</v>
      </c>
    </row>
    <row r="19" ht="15.75" customHeight="1">
      <c r="B19" s="401" t="s">
        <v>372</v>
      </c>
      <c r="C19" s="383" t="s">
        <v>4628</v>
      </c>
      <c r="D19" s="383" t="str">
        <f t="shared" si="1"/>
        <v>932441118</v>
      </c>
      <c r="E19" s="383" t="s">
        <v>4629</v>
      </c>
      <c r="F19" s="383" t="str">
        <f t="shared" si="2"/>
        <v>+84932441118</v>
      </c>
    </row>
    <row r="20" ht="15.75" customHeight="1">
      <c r="B20" s="401" t="s">
        <v>635</v>
      </c>
      <c r="C20" s="383" t="s">
        <v>4628</v>
      </c>
      <c r="D20" s="383" t="str">
        <f t="shared" si="1"/>
        <v>905057688</v>
      </c>
      <c r="E20" s="383" t="s">
        <v>4629</v>
      </c>
      <c r="F20" s="383" t="str">
        <f t="shared" si="2"/>
        <v>+84905057688</v>
      </c>
    </row>
    <row r="21" ht="15.75" customHeight="1">
      <c r="B21" s="401" t="s">
        <v>699</v>
      </c>
      <c r="C21" s="383" t="s">
        <v>4628</v>
      </c>
      <c r="D21" s="383" t="str">
        <f t="shared" si="1"/>
        <v>905512667</v>
      </c>
      <c r="E21" s="383" t="s">
        <v>4629</v>
      </c>
      <c r="F21" s="383" t="str">
        <f t="shared" si="2"/>
        <v>+84905512667</v>
      </c>
    </row>
    <row r="22" ht="15.75" customHeight="1">
      <c r="B22" s="401" t="s">
        <v>706</v>
      </c>
      <c r="C22" s="383" t="s">
        <v>4628</v>
      </c>
      <c r="D22" s="383" t="str">
        <f t="shared" si="1"/>
        <v>918054198</v>
      </c>
      <c r="E22" s="383" t="s">
        <v>4629</v>
      </c>
      <c r="F22" s="383" t="str">
        <f t="shared" si="2"/>
        <v>+84918054198</v>
      </c>
    </row>
    <row r="23" ht="15.75" customHeight="1">
      <c r="B23" s="401" t="s">
        <v>721</v>
      </c>
      <c r="C23" s="383" t="s">
        <v>4628</v>
      </c>
      <c r="D23" s="383" t="str">
        <f t="shared" si="1"/>
        <v>913401187</v>
      </c>
      <c r="E23" s="383" t="s">
        <v>4629</v>
      </c>
      <c r="F23" s="383" t="str">
        <f t="shared" si="2"/>
        <v>+84913401187</v>
      </c>
    </row>
    <row r="24" ht="15.75" customHeight="1">
      <c r="B24" s="401" t="s">
        <v>806</v>
      </c>
      <c r="C24" s="383" t="s">
        <v>4628</v>
      </c>
      <c r="D24" s="383" t="str">
        <f t="shared" si="1"/>
        <v>913365454</v>
      </c>
      <c r="E24" s="383" t="s">
        <v>4629</v>
      </c>
      <c r="F24" s="383" t="str">
        <f t="shared" si="2"/>
        <v>+84913365454</v>
      </c>
    </row>
    <row r="25" ht="15.75" customHeight="1">
      <c r="B25" s="401" t="s">
        <v>819</v>
      </c>
      <c r="C25" s="383" t="s">
        <v>4628</v>
      </c>
      <c r="D25" s="383" t="str">
        <f t="shared" si="1"/>
        <v>911306159</v>
      </c>
      <c r="E25" s="383" t="s">
        <v>4629</v>
      </c>
      <c r="F25" s="383" t="str">
        <f t="shared" si="2"/>
        <v>+84911306159</v>
      </c>
    </row>
    <row r="26" ht="15.75" customHeight="1">
      <c r="B26" s="401" t="s">
        <v>830</v>
      </c>
      <c r="C26" s="383" t="s">
        <v>4628</v>
      </c>
      <c r="D26" s="383" t="str">
        <f t="shared" si="1"/>
        <v>905930556</v>
      </c>
      <c r="E26" s="383" t="s">
        <v>4629</v>
      </c>
      <c r="F26" s="383" t="str">
        <f t="shared" si="2"/>
        <v>+84905930556</v>
      </c>
    </row>
    <row r="27" ht="15.75" customHeight="1">
      <c r="B27" s="401" t="s">
        <v>4634</v>
      </c>
      <c r="C27" s="383" t="s">
        <v>4628</v>
      </c>
      <c r="D27" s="383" t="str">
        <f t="shared" si="1"/>
        <v>905727679</v>
      </c>
      <c r="E27" s="383" t="s">
        <v>4629</v>
      </c>
      <c r="F27" s="383" t="str">
        <f t="shared" si="2"/>
        <v>+84905727679</v>
      </c>
    </row>
    <row r="28" ht="15.75" customHeight="1">
      <c r="B28" s="401" t="s">
        <v>846</v>
      </c>
      <c r="C28" s="383" t="s">
        <v>4628</v>
      </c>
      <c r="D28" s="383" t="str">
        <f t="shared" si="1"/>
        <v>914322246</v>
      </c>
      <c r="E28" s="383" t="s">
        <v>4629</v>
      </c>
      <c r="F28" s="383" t="str">
        <f t="shared" si="2"/>
        <v>+84914322246</v>
      </c>
    </row>
    <row r="29" ht="15.75" customHeight="1">
      <c r="B29" s="401" t="s">
        <v>857</v>
      </c>
      <c r="C29" s="383" t="s">
        <v>4628</v>
      </c>
      <c r="D29" s="383" t="str">
        <f t="shared" si="1"/>
        <v>906544628</v>
      </c>
      <c r="E29" s="383" t="s">
        <v>4629</v>
      </c>
      <c r="F29" s="383" t="str">
        <f t="shared" si="2"/>
        <v>+84906544628</v>
      </c>
    </row>
    <row r="30" ht="15.75" customHeight="1">
      <c r="B30" s="401" t="s">
        <v>933</v>
      </c>
      <c r="C30" s="383" t="s">
        <v>4628</v>
      </c>
      <c r="D30" s="383" t="str">
        <f t="shared" si="1"/>
        <v>966677889</v>
      </c>
      <c r="E30" s="383" t="s">
        <v>4629</v>
      </c>
      <c r="F30" s="383" t="str">
        <f t="shared" si="2"/>
        <v>+84966677889</v>
      </c>
    </row>
    <row r="31" ht="15.75" customHeight="1">
      <c r="B31" s="401" t="s">
        <v>4635</v>
      </c>
      <c r="C31" s="383" t="s">
        <v>4628</v>
      </c>
      <c r="D31" s="383" t="str">
        <f t="shared" si="1"/>
        <v>982300399</v>
      </c>
      <c r="E31" s="383" t="s">
        <v>4629</v>
      </c>
      <c r="F31" s="383" t="str">
        <f t="shared" si="2"/>
        <v>+84982300399</v>
      </c>
    </row>
    <row r="32" ht="15.75" customHeight="1">
      <c r="B32" s="401" t="s">
        <v>994</v>
      </c>
      <c r="C32" s="383" t="s">
        <v>4628</v>
      </c>
      <c r="D32" s="383" t="str">
        <f t="shared" si="1"/>
        <v>932105759</v>
      </c>
      <c r="E32" s="383" t="s">
        <v>4629</v>
      </c>
      <c r="F32" s="383" t="str">
        <f t="shared" si="2"/>
        <v>+84932105759</v>
      </c>
    </row>
    <row r="33" ht="15.75" customHeight="1">
      <c r="B33" s="401" t="s">
        <v>4636</v>
      </c>
      <c r="C33" s="383"/>
      <c r="D33" s="383" t="str">
        <f t="shared" si="1"/>
        <v>966264686</v>
      </c>
      <c r="E33" s="383" t="s">
        <v>4629</v>
      </c>
      <c r="F33" s="383" t="str">
        <f t="shared" si="2"/>
        <v>+84966264686</v>
      </c>
    </row>
    <row r="34" ht="15.75" customHeight="1">
      <c r="B34" s="401" t="s">
        <v>4637</v>
      </c>
      <c r="C34" s="383"/>
      <c r="D34" s="383" t="str">
        <f t="shared" si="1"/>
        <v>779501655</v>
      </c>
      <c r="E34" s="383" t="s">
        <v>4629</v>
      </c>
      <c r="F34" s="383" t="str">
        <f t="shared" si="2"/>
        <v>+84779501655</v>
      </c>
    </row>
    <row r="35" ht="15.75" customHeight="1">
      <c r="B35" s="401" t="s">
        <v>4638</v>
      </c>
      <c r="C35" s="383" t="s">
        <v>4628</v>
      </c>
      <c r="D35" s="383" t="str">
        <f t="shared" si="1"/>
        <v>983310959</v>
      </c>
      <c r="E35" s="383" t="s">
        <v>4629</v>
      </c>
      <c r="F35" s="383" t="str">
        <f t="shared" si="2"/>
        <v>+84983310959</v>
      </c>
    </row>
    <row r="36" ht="15.75" customHeight="1">
      <c r="B36" s="401" t="s">
        <v>1038</v>
      </c>
      <c r="C36" s="383" t="s">
        <v>4628</v>
      </c>
      <c r="D36" s="383" t="str">
        <f t="shared" si="1"/>
        <v>982577556</v>
      </c>
      <c r="E36" s="383" t="s">
        <v>4629</v>
      </c>
      <c r="F36" s="383" t="str">
        <f t="shared" si="2"/>
        <v>+84982577556</v>
      </c>
    </row>
    <row r="37" ht="15.75" customHeight="1">
      <c r="B37" s="401" t="s">
        <v>1056</v>
      </c>
      <c r="C37" s="383" t="s">
        <v>4628</v>
      </c>
      <c r="D37" s="383" t="str">
        <f t="shared" si="1"/>
        <v>947830515</v>
      </c>
      <c r="E37" s="383" t="s">
        <v>4629</v>
      </c>
      <c r="F37" s="383" t="str">
        <f t="shared" si="2"/>
        <v>+84947830515</v>
      </c>
    </row>
    <row r="38" ht="15.75" customHeight="1">
      <c r="B38" s="401" t="s">
        <v>1093</v>
      </c>
      <c r="C38" s="383" t="s">
        <v>4628</v>
      </c>
      <c r="D38" s="383" t="str">
        <f t="shared" si="1"/>
        <v>856866688</v>
      </c>
      <c r="E38" s="383" t="s">
        <v>4629</v>
      </c>
      <c r="F38" s="383" t="str">
        <f t="shared" si="2"/>
        <v>+84856866688</v>
      </c>
    </row>
    <row r="39" ht="15.75" customHeight="1">
      <c r="B39" s="401" t="s">
        <v>1103</v>
      </c>
      <c r="C39" s="383" t="s">
        <v>4628</v>
      </c>
      <c r="D39" s="383" t="str">
        <f t="shared" si="1"/>
        <v>902233520</v>
      </c>
      <c r="E39" s="383" t="s">
        <v>4629</v>
      </c>
      <c r="F39" s="383" t="str">
        <f t="shared" si="2"/>
        <v>+84902233520</v>
      </c>
    </row>
    <row r="40" ht="15.75" customHeight="1">
      <c r="B40" s="401" t="s">
        <v>4639</v>
      </c>
      <c r="C40" s="383" t="s">
        <v>4628</v>
      </c>
      <c r="D40" s="383" t="str">
        <f t="shared" si="1"/>
        <v>395495654</v>
      </c>
      <c r="E40" s="383" t="s">
        <v>4629</v>
      </c>
      <c r="F40" s="383" t="str">
        <f t="shared" si="2"/>
        <v>+84395495654</v>
      </c>
    </row>
    <row r="41" ht="15.75" customHeight="1">
      <c r="B41" s="401" t="s">
        <v>4640</v>
      </c>
      <c r="C41" s="383"/>
      <c r="D41" s="383" t="str">
        <f t="shared" si="1"/>
        <v>901146444</v>
      </c>
      <c r="E41" s="383" t="s">
        <v>4629</v>
      </c>
      <c r="F41" s="383" t="str">
        <f t="shared" si="2"/>
        <v>+84901146444</v>
      </c>
    </row>
    <row r="42" ht="15.75" customHeight="1">
      <c r="B42" s="401" t="s">
        <v>1144</v>
      </c>
      <c r="C42" s="383" t="s">
        <v>4628</v>
      </c>
      <c r="D42" s="383" t="str">
        <f t="shared" si="1"/>
        <v>932484598</v>
      </c>
      <c r="E42" s="383" t="s">
        <v>4629</v>
      </c>
      <c r="F42" s="383" t="str">
        <f t="shared" si="2"/>
        <v>+84932484598</v>
      </c>
    </row>
    <row r="43" ht="15.75" customHeight="1">
      <c r="B43" s="401" t="s">
        <v>1149</v>
      </c>
      <c r="C43" s="383" t="s">
        <v>4628</v>
      </c>
      <c r="D43" s="383" t="str">
        <f t="shared" si="1"/>
        <v>905200178</v>
      </c>
      <c r="E43" s="383" t="s">
        <v>4629</v>
      </c>
      <c r="F43" s="383" t="str">
        <f t="shared" si="2"/>
        <v>+84905200178</v>
      </c>
    </row>
    <row r="44" ht="15.75" customHeight="1">
      <c r="B44" s="401" t="s">
        <v>1189</v>
      </c>
      <c r="C44" s="383" t="s">
        <v>4628</v>
      </c>
      <c r="D44" s="383" t="str">
        <f t="shared" si="1"/>
        <v>933782898</v>
      </c>
      <c r="E44" s="383" t="s">
        <v>4629</v>
      </c>
      <c r="F44" s="383" t="str">
        <f t="shared" si="2"/>
        <v>+84933782898</v>
      </c>
    </row>
    <row r="45" ht="15.75" customHeight="1">
      <c r="B45" s="401" t="s">
        <v>1226</v>
      </c>
      <c r="C45" s="383" t="s">
        <v>4628</v>
      </c>
      <c r="D45" s="383" t="str">
        <f t="shared" si="1"/>
        <v>913690239</v>
      </c>
      <c r="E45" s="383" t="s">
        <v>4629</v>
      </c>
      <c r="F45" s="383" t="str">
        <f t="shared" si="2"/>
        <v>+84913690239</v>
      </c>
    </row>
    <row r="46" ht="15.75" customHeight="1">
      <c r="B46" s="401" t="s">
        <v>1234</v>
      </c>
      <c r="C46" s="383" t="s">
        <v>4628</v>
      </c>
      <c r="D46" s="383" t="str">
        <f t="shared" si="1"/>
        <v>903667672</v>
      </c>
      <c r="E46" s="383" t="s">
        <v>4629</v>
      </c>
      <c r="F46" s="383" t="str">
        <f t="shared" si="2"/>
        <v>+84903667672</v>
      </c>
    </row>
    <row r="47" ht="15.75" customHeight="1">
      <c r="B47" s="401" t="s">
        <v>4641</v>
      </c>
      <c r="C47" s="383" t="s">
        <v>4628</v>
      </c>
      <c r="D47" s="383" t="str">
        <f t="shared" si="1"/>
        <v>963408999</v>
      </c>
      <c r="E47" s="383" t="s">
        <v>4629</v>
      </c>
      <c r="F47" s="383" t="str">
        <f t="shared" si="2"/>
        <v>+84963408999</v>
      </c>
    </row>
    <row r="48" ht="15.75" customHeight="1">
      <c r="B48" s="401" t="s">
        <v>1329</v>
      </c>
      <c r="C48" s="383" t="s">
        <v>4628</v>
      </c>
      <c r="D48" s="383" t="str">
        <f t="shared" si="1"/>
        <v>988233324</v>
      </c>
      <c r="E48" s="383" t="s">
        <v>4629</v>
      </c>
      <c r="F48" s="383" t="str">
        <f t="shared" si="2"/>
        <v>+84988233324</v>
      </c>
    </row>
    <row r="49" ht="15.75" customHeight="1">
      <c r="B49" s="402" t="s">
        <v>1340</v>
      </c>
      <c r="C49" s="383" t="s">
        <v>4628</v>
      </c>
      <c r="D49" s="383" t="str">
        <f t="shared" si="1"/>
        <v>907850185</v>
      </c>
      <c r="E49" s="383" t="s">
        <v>4629</v>
      </c>
      <c r="F49" s="383" t="str">
        <f t="shared" si="2"/>
        <v>+84907850185</v>
      </c>
    </row>
    <row r="50" ht="15.75" customHeight="1">
      <c r="B50" s="401" t="s">
        <v>1369</v>
      </c>
      <c r="C50" s="383" t="s">
        <v>4628</v>
      </c>
      <c r="D50" s="383" t="str">
        <f t="shared" si="1"/>
        <v>916976986</v>
      </c>
      <c r="E50" s="383" t="s">
        <v>4629</v>
      </c>
      <c r="F50" s="383" t="str">
        <f t="shared" si="2"/>
        <v>+84916976986</v>
      </c>
    </row>
    <row r="51" ht="15.75" customHeight="1">
      <c r="B51" s="402" t="s">
        <v>4642</v>
      </c>
      <c r="C51" s="383" t="s">
        <v>4628</v>
      </c>
      <c r="D51" s="383" t="str">
        <f t="shared" si="1"/>
        <v>905425600</v>
      </c>
      <c r="E51" s="383" t="s">
        <v>4629</v>
      </c>
      <c r="F51" s="383" t="str">
        <f t="shared" si="2"/>
        <v>+84905425600</v>
      </c>
    </row>
    <row r="52" ht="15.75" customHeight="1">
      <c r="B52" s="401" t="s">
        <v>4643</v>
      </c>
      <c r="C52" s="383" t="s">
        <v>4628</v>
      </c>
      <c r="D52" s="383" t="str">
        <f t="shared" si="1"/>
        <v>935216190</v>
      </c>
      <c r="E52" s="383" t="s">
        <v>4629</v>
      </c>
      <c r="F52" s="383" t="str">
        <f t="shared" si="2"/>
        <v>+84935216190</v>
      </c>
    </row>
    <row r="53" ht="15.75" customHeight="1">
      <c r="B53" s="402" t="s">
        <v>4644</v>
      </c>
      <c r="C53" s="383" t="s">
        <v>4628</v>
      </c>
      <c r="D53" s="383" t="str">
        <f t="shared" si="1"/>
        <v>934870060</v>
      </c>
      <c r="E53" s="383" t="s">
        <v>4629</v>
      </c>
      <c r="F53" s="383" t="str">
        <f t="shared" si="2"/>
        <v>+84934870060</v>
      </c>
    </row>
    <row r="54" ht="15.75" customHeight="1">
      <c r="B54" s="401" t="s">
        <v>1459</v>
      </c>
      <c r="C54" s="383" t="s">
        <v>4628</v>
      </c>
      <c r="D54" s="383" t="str">
        <f t="shared" si="1"/>
        <v>935437792</v>
      </c>
      <c r="E54" s="383" t="s">
        <v>4629</v>
      </c>
      <c r="F54" s="383" t="str">
        <f t="shared" si="2"/>
        <v>+84935437792</v>
      </c>
    </row>
    <row r="55" ht="15.75" customHeight="1">
      <c r="B55" s="401" t="s">
        <v>1478</v>
      </c>
      <c r="C55" s="383" t="s">
        <v>4628</v>
      </c>
      <c r="D55" s="383" t="str">
        <f t="shared" si="1"/>
        <v>935683866</v>
      </c>
      <c r="E55" s="383" t="s">
        <v>4629</v>
      </c>
      <c r="F55" s="383" t="str">
        <f t="shared" si="2"/>
        <v>+84935683866</v>
      </c>
    </row>
    <row r="56" ht="15.75" customHeight="1">
      <c r="B56" s="402" t="s">
        <v>4645</v>
      </c>
      <c r="C56" s="383" t="s">
        <v>4628</v>
      </c>
      <c r="D56" s="383" t="str">
        <f t="shared" si="1"/>
        <v>906401401</v>
      </c>
      <c r="E56" s="383" t="s">
        <v>4629</v>
      </c>
      <c r="F56" s="383" t="str">
        <f t="shared" si="2"/>
        <v>+84906401401</v>
      </c>
    </row>
    <row r="57" ht="15.75" customHeight="1">
      <c r="B57" s="401" t="s">
        <v>1505</v>
      </c>
      <c r="C57" s="383" t="s">
        <v>4628</v>
      </c>
      <c r="D57" s="383" t="str">
        <f t="shared" si="1"/>
        <v>905209955</v>
      </c>
      <c r="E57" s="383" t="s">
        <v>4629</v>
      </c>
      <c r="F57" s="383" t="str">
        <f t="shared" si="2"/>
        <v>+84905209955</v>
      </c>
    </row>
    <row r="58" ht="15.75" customHeight="1">
      <c r="B58" s="401" t="s">
        <v>1549</v>
      </c>
      <c r="C58" s="383" t="s">
        <v>4628</v>
      </c>
      <c r="D58" s="383" t="str">
        <f t="shared" si="1"/>
        <v>906536558</v>
      </c>
      <c r="E58" s="383" t="s">
        <v>4629</v>
      </c>
      <c r="F58" s="383" t="str">
        <f t="shared" si="2"/>
        <v>+84906536558</v>
      </c>
    </row>
    <row r="59" ht="15.75" customHeight="1">
      <c r="B59" s="401" t="s">
        <v>1587</v>
      </c>
      <c r="C59" s="383" t="s">
        <v>4628</v>
      </c>
      <c r="D59" s="383" t="str">
        <f t="shared" si="1"/>
        <v>982119878</v>
      </c>
      <c r="E59" s="383" t="s">
        <v>4629</v>
      </c>
      <c r="F59" s="383" t="str">
        <f t="shared" si="2"/>
        <v>+84982119878</v>
      </c>
    </row>
    <row r="60" ht="15.75" customHeight="1">
      <c r="B60" s="401" t="s">
        <v>1622</v>
      </c>
      <c r="C60" s="383" t="s">
        <v>4628</v>
      </c>
      <c r="D60" s="383" t="str">
        <f t="shared" si="1"/>
        <v>935515721</v>
      </c>
      <c r="E60" s="383" t="s">
        <v>4629</v>
      </c>
      <c r="F60" s="383" t="str">
        <f t="shared" si="2"/>
        <v>+84935515721</v>
      </c>
    </row>
    <row r="61" ht="15.75" customHeight="1">
      <c r="B61" s="401" t="s">
        <v>1671</v>
      </c>
      <c r="C61" s="383" t="s">
        <v>4628</v>
      </c>
      <c r="D61" s="383" t="str">
        <f t="shared" si="1"/>
        <v>905636227</v>
      </c>
      <c r="E61" s="383" t="s">
        <v>4629</v>
      </c>
      <c r="F61" s="383" t="str">
        <f t="shared" si="2"/>
        <v>+84905636227</v>
      </c>
    </row>
    <row r="62" ht="15.75" customHeight="1">
      <c r="B62" s="401" t="s">
        <v>1685</v>
      </c>
      <c r="C62" s="383" t="s">
        <v>4628</v>
      </c>
      <c r="D62" s="383" t="str">
        <f t="shared" si="1"/>
        <v>333306700</v>
      </c>
      <c r="E62" s="383" t="s">
        <v>4629</v>
      </c>
      <c r="F62" s="383" t="str">
        <f t="shared" si="2"/>
        <v>+84333306700</v>
      </c>
    </row>
    <row r="63" ht="15.75" customHeight="1">
      <c r="B63" s="401" t="s">
        <v>1759</v>
      </c>
      <c r="C63" s="383" t="s">
        <v>4628</v>
      </c>
      <c r="D63" s="383" t="str">
        <f t="shared" si="1"/>
        <v>966291117</v>
      </c>
      <c r="E63" s="383" t="s">
        <v>4629</v>
      </c>
      <c r="F63" s="383" t="str">
        <f t="shared" si="2"/>
        <v>+84966291117</v>
      </c>
    </row>
    <row r="64" ht="15.75" customHeight="1">
      <c r="B64" s="401" t="s">
        <v>1777</v>
      </c>
      <c r="C64" s="383" t="s">
        <v>4628</v>
      </c>
      <c r="D64" s="383" t="str">
        <f t="shared" si="1"/>
        <v>935283344</v>
      </c>
      <c r="E64" s="383" t="s">
        <v>4629</v>
      </c>
      <c r="F64" s="383" t="str">
        <f t="shared" si="2"/>
        <v>+84935283344</v>
      </c>
    </row>
    <row r="65" ht="15.75" customHeight="1">
      <c r="B65" s="401" t="s">
        <v>1783</v>
      </c>
      <c r="C65" s="383" t="s">
        <v>4628</v>
      </c>
      <c r="D65" s="383" t="str">
        <f t="shared" si="1"/>
        <v>908542756</v>
      </c>
      <c r="E65" s="383" t="s">
        <v>4629</v>
      </c>
      <c r="F65" s="383" t="str">
        <f t="shared" si="2"/>
        <v>+84908542756</v>
      </c>
    </row>
    <row r="66" ht="15.75" customHeight="1">
      <c r="B66" s="403" t="s">
        <v>4646</v>
      </c>
      <c r="C66" s="383" t="s">
        <v>4628</v>
      </c>
      <c r="D66" s="383" t="str">
        <f t="shared" si="1"/>
        <v>971062099</v>
      </c>
      <c r="E66" s="383" t="s">
        <v>4629</v>
      </c>
      <c r="F66" s="383" t="str">
        <f t="shared" si="2"/>
        <v>+84971062099</v>
      </c>
    </row>
    <row r="67" ht="15.75" customHeight="1">
      <c r="B67" s="401" t="s">
        <v>2001</v>
      </c>
      <c r="C67" s="383" t="s">
        <v>4628</v>
      </c>
      <c r="D67" s="383" t="str">
        <f t="shared" si="1"/>
        <v>934819136</v>
      </c>
      <c r="E67" s="383" t="s">
        <v>4629</v>
      </c>
      <c r="F67" s="383" t="str">
        <f t="shared" si="2"/>
        <v>+84934819136</v>
      </c>
    </row>
    <row r="68" ht="15.75" customHeight="1">
      <c r="B68" s="401" t="s">
        <v>2012</v>
      </c>
      <c r="C68" s="383" t="s">
        <v>4628</v>
      </c>
      <c r="D68" s="383" t="str">
        <f t="shared" si="1"/>
        <v>905572532</v>
      </c>
      <c r="E68" s="383" t="s">
        <v>4629</v>
      </c>
      <c r="F68" s="383" t="str">
        <f t="shared" si="2"/>
        <v>+84905572532</v>
      </c>
    </row>
    <row r="69" ht="15.75" customHeight="1">
      <c r="B69" s="401" t="s">
        <v>2023</v>
      </c>
      <c r="C69" s="383" t="s">
        <v>4628</v>
      </c>
      <c r="D69" s="383" t="str">
        <f t="shared" si="1"/>
        <v>914002700</v>
      </c>
      <c r="E69" s="383" t="s">
        <v>4629</v>
      </c>
      <c r="F69" s="383" t="str">
        <f t="shared" si="2"/>
        <v>+84914002700</v>
      </c>
    </row>
    <row r="70" ht="15.75" customHeight="1">
      <c r="B70" s="403" t="s">
        <v>4647</v>
      </c>
      <c r="C70" s="383" t="s">
        <v>4628</v>
      </c>
      <c r="D70" s="383" t="str">
        <f t="shared" si="1"/>
        <v>914288348</v>
      </c>
      <c r="E70" s="383" t="s">
        <v>4629</v>
      </c>
      <c r="F70" s="383" t="str">
        <f t="shared" si="2"/>
        <v>+84914288348</v>
      </c>
    </row>
    <row r="71" ht="15.75" customHeight="1">
      <c r="B71" s="402" t="s">
        <v>4648</v>
      </c>
      <c r="C71" s="383" t="s">
        <v>4628</v>
      </c>
      <c r="D71" s="383" t="str">
        <f t="shared" si="1"/>
        <v>397537709</v>
      </c>
      <c r="E71" s="383" t="s">
        <v>4629</v>
      </c>
      <c r="F71" s="383" t="str">
        <f t="shared" si="2"/>
        <v>+84397537709</v>
      </c>
    </row>
    <row r="72" ht="15.75" customHeight="1">
      <c r="B72" s="401" t="s">
        <v>2194</v>
      </c>
      <c r="C72" s="383" t="s">
        <v>4628</v>
      </c>
      <c r="D72" s="383" t="str">
        <f t="shared" si="1"/>
        <v>905095837</v>
      </c>
      <c r="E72" s="383" t="s">
        <v>4629</v>
      </c>
      <c r="F72" s="383" t="str">
        <f t="shared" si="2"/>
        <v>+84905095837</v>
      </c>
    </row>
    <row r="73" ht="15.75" customHeight="1">
      <c r="B73" s="401" t="s">
        <v>4649</v>
      </c>
      <c r="C73" s="383" t="s">
        <v>4628</v>
      </c>
      <c r="D73" s="383" t="str">
        <f t="shared" si="1"/>
        <v>915911943</v>
      </c>
      <c r="E73" s="383" t="s">
        <v>4629</v>
      </c>
      <c r="F73" s="383" t="str">
        <f t="shared" si="2"/>
        <v>+84915911943</v>
      </c>
    </row>
    <row r="74" ht="15.75" customHeight="1">
      <c r="B74" s="401" t="s">
        <v>4650</v>
      </c>
      <c r="C74" s="383" t="s">
        <v>4628</v>
      </c>
      <c r="D74" s="383" t="str">
        <f t="shared" si="1"/>
        <v>905629379</v>
      </c>
      <c r="E74" s="383" t="s">
        <v>4629</v>
      </c>
      <c r="F74" s="383" t="str">
        <f t="shared" si="2"/>
        <v>+84905629379</v>
      </c>
    </row>
    <row r="75" ht="15.75" customHeight="1">
      <c r="B75" s="401" t="s">
        <v>2243</v>
      </c>
      <c r="C75" s="383" t="s">
        <v>4628</v>
      </c>
      <c r="D75" s="383" t="str">
        <f t="shared" si="1"/>
        <v>932438239</v>
      </c>
      <c r="E75" s="383" t="s">
        <v>4629</v>
      </c>
      <c r="F75" s="383" t="str">
        <f t="shared" si="2"/>
        <v>+84932438239</v>
      </c>
    </row>
    <row r="76" ht="15.75" customHeight="1">
      <c r="B76" s="401" t="s">
        <v>4651</v>
      </c>
      <c r="C76" s="383" t="s">
        <v>4628</v>
      </c>
      <c r="D76" s="383" t="str">
        <f t="shared" si="1"/>
        <v>983099895</v>
      </c>
      <c r="E76" s="383" t="s">
        <v>4629</v>
      </c>
      <c r="F76" s="383" t="str">
        <f t="shared" si="2"/>
        <v>+84983099895</v>
      </c>
    </row>
    <row r="77" ht="15.75" customHeight="1">
      <c r="B77" s="401" t="s">
        <v>4652</v>
      </c>
      <c r="C77" s="383" t="s">
        <v>4628</v>
      </c>
      <c r="D77" s="383" t="str">
        <f t="shared" si="1"/>
        <v>937067612</v>
      </c>
      <c r="E77" s="383" t="s">
        <v>4629</v>
      </c>
      <c r="F77" s="383" t="str">
        <f t="shared" si="2"/>
        <v>+84937067612</v>
      </c>
    </row>
    <row r="78" ht="15.75" customHeight="1">
      <c r="B78" s="401" t="s">
        <v>4653</v>
      </c>
      <c r="C78" s="383" t="s">
        <v>4628</v>
      </c>
      <c r="D78" s="383" t="str">
        <f t="shared" si="1"/>
        <v>989886221</v>
      </c>
      <c r="E78" s="383" t="s">
        <v>4629</v>
      </c>
      <c r="F78" s="383" t="str">
        <f t="shared" si="2"/>
        <v>+84989886221</v>
      </c>
    </row>
    <row r="79" ht="15.75" customHeight="1">
      <c r="B79" s="401" t="s">
        <v>2300</v>
      </c>
      <c r="C79" s="383"/>
      <c r="D79" s="383" t="str">
        <f t="shared" si="1"/>
        <v>985544003</v>
      </c>
      <c r="E79" s="383" t="s">
        <v>4629</v>
      </c>
      <c r="F79" s="383" t="str">
        <f t="shared" si="2"/>
        <v>+84985544003</v>
      </c>
    </row>
    <row r="80" ht="15.75" customHeight="1">
      <c r="B80" s="401" t="s">
        <v>2357</v>
      </c>
      <c r="C80" s="383" t="s">
        <v>4628</v>
      </c>
      <c r="D80" s="383" t="str">
        <f t="shared" si="1"/>
        <v>935259745</v>
      </c>
      <c r="E80" s="383" t="s">
        <v>4629</v>
      </c>
      <c r="F80" s="383" t="str">
        <f t="shared" si="2"/>
        <v>+84935259745</v>
      </c>
    </row>
    <row r="81" ht="15.75" customHeight="1">
      <c r="B81" s="401" t="s">
        <v>2380</v>
      </c>
      <c r="C81" s="383" t="s">
        <v>4628</v>
      </c>
      <c r="D81" s="383" t="str">
        <f t="shared" si="1"/>
        <v>931931323</v>
      </c>
      <c r="E81" s="383" t="s">
        <v>4629</v>
      </c>
      <c r="F81" s="383" t="str">
        <f t="shared" si="2"/>
        <v>+84931931323</v>
      </c>
    </row>
    <row r="82" ht="15.75" customHeight="1">
      <c r="B82" s="401" t="s">
        <v>4654</v>
      </c>
      <c r="C82" s="383" t="s">
        <v>4628</v>
      </c>
      <c r="D82" s="383" t="str">
        <f t="shared" si="1"/>
        <v>905499930</v>
      </c>
      <c r="E82" s="383" t="s">
        <v>4629</v>
      </c>
      <c r="F82" s="383" t="str">
        <f t="shared" si="2"/>
        <v>+84905499930</v>
      </c>
    </row>
    <row r="83" ht="15.75" customHeight="1">
      <c r="B83" s="401" t="s">
        <v>2408</v>
      </c>
      <c r="C83" s="383"/>
      <c r="D83" s="383" t="str">
        <f t="shared" si="1"/>
        <v>905682899</v>
      </c>
      <c r="E83" s="383" t="s">
        <v>4629</v>
      </c>
      <c r="F83" s="383" t="str">
        <f t="shared" si="2"/>
        <v>+84905682899</v>
      </c>
    </row>
    <row r="84" ht="15.75" customHeight="1">
      <c r="B84" s="402" t="s">
        <v>4655</v>
      </c>
      <c r="C84" s="383" t="s">
        <v>4628</v>
      </c>
      <c r="D84" s="383" t="str">
        <f t="shared" si="1"/>
        <v>906468428</v>
      </c>
      <c r="E84" s="383" t="s">
        <v>4629</v>
      </c>
      <c r="F84" s="383" t="str">
        <f t="shared" si="2"/>
        <v>+84906468428</v>
      </c>
    </row>
    <row r="85" ht="15.75" customHeight="1">
      <c r="B85" s="402" t="s">
        <v>4656</v>
      </c>
      <c r="C85" s="383" t="s">
        <v>4628</v>
      </c>
      <c r="D85" s="383" t="str">
        <f t="shared" si="1"/>
        <v>988825768</v>
      </c>
      <c r="E85" s="383" t="s">
        <v>4629</v>
      </c>
      <c r="F85" s="383" t="str">
        <f t="shared" si="2"/>
        <v>+84988825768</v>
      </c>
    </row>
    <row r="86" ht="15.75" customHeight="1">
      <c r="B86" s="402" t="s">
        <v>4657</v>
      </c>
      <c r="C86" s="383" t="s">
        <v>4628</v>
      </c>
      <c r="D86" s="383" t="str">
        <f t="shared" si="1"/>
        <v>978179762</v>
      </c>
      <c r="E86" s="383" t="s">
        <v>4629</v>
      </c>
      <c r="F86" s="383" t="str">
        <f t="shared" si="2"/>
        <v>+84978179762</v>
      </c>
    </row>
    <row r="87" ht="15.75" customHeight="1">
      <c r="B87" s="401" t="s">
        <v>2510</v>
      </c>
      <c r="C87" s="383" t="s">
        <v>4628</v>
      </c>
      <c r="D87" s="383" t="str">
        <f t="shared" si="1"/>
        <v>905964228</v>
      </c>
      <c r="E87" s="383" t="s">
        <v>4629</v>
      </c>
      <c r="F87" s="383" t="str">
        <f t="shared" si="2"/>
        <v>+84905964228</v>
      </c>
    </row>
    <row r="88" ht="15.75" customHeight="1">
      <c r="B88" s="401" t="s">
        <v>2531</v>
      </c>
      <c r="C88" s="383" t="s">
        <v>4628</v>
      </c>
      <c r="D88" s="383" t="str">
        <f t="shared" si="1"/>
        <v>988080939</v>
      </c>
      <c r="E88" s="383" t="s">
        <v>4629</v>
      </c>
      <c r="F88" s="383" t="str">
        <f t="shared" si="2"/>
        <v>+84988080939</v>
      </c>
    </row>
    <row r="89" ht="15.75" customHeight="1">
      <c r="B89" s="401" t="s">
        <v>4658</v>
      </c>
      <c r="C89" s="383" t="s">
        <v>4628</v>
      </c>
      <c r="D89" s="383" t="str">
        <f t="shared" si="1"/>
        <v>868216305</v>
      </c>
      <c r="E89" s="383" t="s">
        <v>4629</v>
      </c>
      <c r="F89" s="383" t="str">
        <f t="shared" si="2"/>
        <v>+84868216305</v>
      </c>
    </row>
    <row r="90" ht="15.75" customHeight="1">
      <c r="B90" s="401" t="s">
        <v>2552</v>
      </c>
      <c r="C90" s="383" t="s">
        <v>4628</v>
      </c>
      <c r="D90" s="383" t="str">
        <f t="shared" si="1"/>
        <v>932577360</v>
      </c>
      <c r="E90" s="383" t="s">
        <v>4629</v>
      </c>
      <c r="F90" s="383" t="str">
        <f t="shared" si="2"/>
        <v>+84932577360</v>
      </c>
    </row>
    <row r="91" ht="15.75" customHeight="1">
      <c r="B91" s="402" t="s">
        <v>4659</v>
      </c>
      <c r="C91" s="383" t="s">
        <v>4628</v>
      </c>
      <c r="D91" s="383" t="str">
        <f t="shared" si="1"/>
        <v>901120779</v>
      </c>
      <c r="E91" s="383" t="s">
        <v>4629</v>
      </c>
      <c r="F91" s="383" t="str">
        <f t="shared" si="2"/>
        <v>+84901120779</v>
      </c>
    </row>
    <row r="92" ht="15.75" customHeight="1">
      <c r="B92" s="401" t="s">
        <v>2594</v>
      </c>
      <c r="C92" s="383" t="s">
        <v>4628</v>
      </c>
      <c r="D92" s="383" t="str">
        <f t="shared" si="1"/>
        <v>913713373</v>
      </c>
      <c r="E92" s="383" t="s">
        <v>4629</v>
      </c>
      <c r="F92" s="383" t="str">
        <f t="shared" si="2"/>
        <v>+84913713373</v>
      </c>
    </row>
    <row r="93" ht="15.75" customHeight="1">
      <c r="B93" s="401" t="s">
        <v>2639</v>
      </c>
      <c r="C93" s="383" t="s">
        <v>4628</v>
      </c>
      <c r="D93" s="383" t="str">
        <f t="shared" si="1"/>
        <v>914067788</v>
      </c>
      <c r="E93" s="383" t="s">
        <v>4629</v>
      </c>
      <c r="F93" s="383" t="str">
        <f t="shared" si="2"/>
        <v>+84914067788</v>
      </c>
    </row>
    <row r="94" ht="15.75" customHeight="1">
      <c r="B94" s="401" t="s">
        <v>2696</v>
      </c>
      <c r="C94" s="383" t="s">
        <v>4628</v>
      </c>
      <c r="D94" s="383" t="str">
        <f t="shared" si="1"/>
        <v>933316274</v>
      </c>
      <c r="E94" s="383" t="s">
        <v>4629</v>
      </c>
      <c r="F94" s="383" t="str">
        <f t="shared" si="2"/>
        <v>+84933316274</v>
      </c>
    </row>
    <row r="95" ht="15.75" customHeight="1">
      <c r="B95" s="401" t="s">
        <v>2702</v>
      </c>
      <c r="C95" s="383" t="s">
        <v>4628</v>
      </c>
      <c r="D95" s="383" t="str">
        <f t="shared" si="1"/>
        <v>822608456</v>
      </c>
      <c r="E95" s="383" t="s">
        <v>4629</v>
      </c>
      <c r="F95" s="383" t="str">
        <f t="shared" si="2"/>
        <v>+84822608456</v>
      </c>
    </row>
    <row r="96" ht="15.75" customHeight="1">
      <c r="B96" s="401" t="s">
        <v>2709</v>
      </c>
      <c r="C96" s="383" t="s">
        <v>4628</v>
      </c>
      <c r="D96" s="383" t="str">
        <f t="shared" si="1"/>
        <v>988083226</v>
      </c>
      <c r="E96" s="383" t="s">
        <v>4629</v>
      </c>
      <c r="F96" s="383" t="str">
        <f t="shared" si="2"/>
        <v>+84988083226</v>
      </c>
    </row>
    <row r="97" ht="15.75" customHeight="1">
      <c r="B97" s="401" t="s">
        <v>2748</v>
      </c>
      <c r="C97" s="383" t="s">
        <v>4628</v>
      </c>
      <c r="D97" s="383" t="str">
        <f t="shared" si="1"/>
        <v>834183866</v>
      </c>
      <c r="E97" s="383" t="s">
        <v>4629</v>
      </c>
      <c r="F97" s="383" t="str">
        <f t="shared" si="2"/>
        <v>+84834183866</v>
      </c>
    </row>
    <row r="98" ht="15.75" customHeight="1">
      <c r="B98" s="403" t="s">
        <v>2772</v>
      </c>
      <c r="C98" s="383" t="s">
        <v>4628</v>
      </c>
      <c r="D98" s="383" t="str">
        <f t="shared" si="1"/>
        <v>984676292</v>
      </c>
      <c r="E98" s="383" t="s">
        <v>4629</v>
      </c>
      <c r="F98" s="383" t="str">
        <f t="shared" si="2"/>
        <v>+84984676292</v>
      </c>
    </row>
    <row r="99" ht="15.75" customHeight="1">
      <c r="B99" s="401" t="s">
        <v>2776</v>
      </c>
      <c r="C99" s="383" t="s">
        <v>4628</v>
      </c>
      <c r="D99" s="383" t="str">
        <f t="shared" si="1"/>
        <v>905096910</v>
      </c>
      <c r="E99" s="383" t="s">
        <v>4629</v>
      </c>
      <c r="F99" s="383" t="str">
        <f t="shared" si="2"/>
        <v>+84905096910</v>
      </c>
    </row>
    <row r="100" ht="15.75" customHeight="1">
      <c r="B100" s="383" t="s">
        <v>2811</v>
      </c>
      <c r="C100" s="383"/>
      <c r="D100" s="383" t="str">
        <f t="shared" si="1"/>
        <v>905648878</v>
      </c>
      <c r="E100" s="383" t="s">
        <v>4629</v>
      </c>
      <c r="F100" s="383" t="str">
        <f t="shared" si="2"/>
        <v>+84905648878</v>
      </c>
    </row>
    <row r="101" ht="15.75" customHeight="1">
      <c r="B101" s="401" t="s">
        <v>2859</v>
      </c>
      <c r="C101" s="383" t="s">
        <v>4628</v>
      </c>
      <c r="D101" s="383" t="str">
        <f t="shared" si="1"/>
        <v>905977032</v>
      </c>
      <c r="E101" s="383" t="s">
        <v>4629</v>
      </c>
      <c r="F101" s="383" t="str">
        <f t="shared" si="2"/>
        <v>+84905977032</v>
      </c>
    </row>
    <row r="102" ht="15.75" customHeight="1">
      <c r="B102" s="401" t="s">
        <v>2867</v>
      </c>
      <c r="C102" s="383" t="s">
        <v>4628</v>
      </c>
      <c r="D102" s="383" t="str">
        <f t="shared" si="1"/>
        <v>865688583</v>
      </c>
      <c r="E102" s="383" t="s">
        <v>4629</v>
      </c>
      <c r="F102" s="383" t="str">
        <f t="shared" si="2"/>
        <v>+84865688583</v>
      </c>
    </row>
    <row r="103" ht="15.75" customHeight="1">
      <c r="B103" s="401" t="s">
        <v>2886</v>
      </c>
      <c r="C103" s="383" t="s">
        <v>4628</v>
      </c>
      <c r="D103" s="383" t="str">
        <f t="shared" si="1"/>
        <v>986711777</v>
      </c>
      <c r="E103" s="383" t="s">
        <v>4629</v>
      </c>
      <c r="F103" s="383" t="str">
        <f t="shared" si="2"/>
        <v>+84986711777</v>
      </c>
    </row>
    <row r="104" ht="15.75" customHeight="1">
      <c r="B104" s="401" t="s">
        <v>2921</v>
      </c>
      <c r="C104" s="383" t="s">
        <v>4628</v>
      </c>
      <c r="D104" s="383" t="str">
        <f t="shared" si="1"/>
        <v>974742483</v>
      </c>
      <c r="E104" s="383" t="s">
        <v>4629</v>
      </c>
      <c r="F104" s="383" t="str">
        <f t="shared" si="2"/>
        <v>+84974742483</v>
      </c>
    </row>
    <row r="105" ht="15.75" customHeight="1">
      <c r="B105" s="401" t="s">
        <v>2957</v>
      </c>
      <c r="C105" s="383" t="s">
        <v>4628</v>
      </c>
      <c r="D105" s="383" t="str">
        <f t="shared" si="1"/>
        <v>905780368</v>
      </c>
      <c r="E105" s="383" t="s">
        <v>4629</v>
      </c>
      <c r="F105" s="383" t="str">
        <f t="shared" si="2"/>
        <v>+84905780368</v>
      </c>
    </row>
    <row r="106" ht="15.75" customHeight="1">
      <c r="B106" s="401" t="s">
        <v>2965</v>
      </c>
      <c r="C106" s="383" t="s">
        <v>4628</v>
      </c>
      <c r="D106" s="383" t="str">
        <f t="shared" si="1"/>
        <v>799492152</v>
      </c>
      <c r="E106" s="383" t="s">
        <v>4629</v>
      </c>
      <c r="F106" s="383" t="str">
        <f t="shared" si="2"/>
        <v>+84799492152</v>
      </c>
    </row>
    <row r="107" ht="15.75" customHeight="1">
      <c r="B107" s="401" t="s">
        <v>2971</v>
      </c>
      <c r="C107" s="383" t="s">
        <v>4628</v>
      </c>
      <c r="D107" s="383" t="str">
        <f t="shared" si="1"/>
        <v>793555777</v>
      </c>
      <c r="E107" s="383" t="s">
        <v>4629</v>
      </c>
      <c r="F107" s="383" t="str">
        <f t="shared" si="2"/>
        <v>+84793555777</v>
      </c>
    </row>
    <row r="108" ht="15.75" customHeight="1">
      <c r="B108" s="401" t="s">
        <v>2977</v>
      </c>
      <c r="C108" s="383" t="s">
        <v>4628</v>
      </c>
      <c r="D108" s="383" t="str">
        <f t="shared" si="1"/>
        <v>905011617</v>
      </c>
      <c r="E108" s="383" t="s">
        <v>4629</v>
      </c>
      <c r="F108" s="383" t="str">
        <f t="shared" si="2"/>
        <v>+84905011617</v>
      </c>
    </row>
    <row r="109" ht="15.75" customHeight="1">
      <c r="B109" s="401" t="s">
        <v>2996</v>
      </c>
      <c r="C109" s="383" t="s">
        <v>4628</v>
      </c>
      <c r="D109" s="383" t="str">
        <f t="shared" si="1"/>
        <v>909218256</v>
      </c>
      <c r="E109" s="383" t="s">
        <v>4629</v>
      </c>
      <c r="F109" s="383" t="str">
        <f t="shared" si="2"/>
        <v>+84909218256</v>
      </c>
    </row>
    <row r="110" ht="15.75" customHeight="1">
      <c r="B110" s="401" t="s">
        <v>3002</v>
      </c>
      <c r="C110" s="383" t="s">
        <v>4628</v>
      </c>
      <c r="D110" s="383" t="str">
        <f t="shared" si="1"/>
        <v>932727918</v>
      </c>
      <c r="E110" s="383" t="s">
        <v>4629</v>
      </c>
      <c r="F110" s="383" t="str">
        <f t="shared" si="2"/>
        <v>+84932727918</v>
      </c>
    </row>
    <row r="111" ht="15.75" customHeight="1">
      <c r="B111" s="401" t="s">
        <v>3017</v>
      </c>
      <c r="C111" s="383" t="s">
        <v>4628</v>
      </c>
      <c r="D111" s="383" t="str">
        <f t="shared" si="1"/>
        <v>793156780</v>
      </c>
      <c r="E111" s="383" t="s">
        <v>4629</v>
      </c>
      <c r="F111" s="383" t="str">
        <f t="shared" si="2"/>
        <v>+84793156780</v>
      </c>
    </row>
    <row r="112" ht="15.75" customHeight="1">
      <c r="B112" s="401" t="s">
        <v>3022</v>
      </c>
      <c r="C112" s="383" t="s">
        <v>4628</v>
      </c>
      <c r="D112" s="383" t="str">
        <f t="shared" si="1"/>
        <v>905662791</v>
      </c>
      <c r="E112" s="383" t="s">
        <v>4629</v>
      </c>
      <c r="F112" s="383" t="str">
        <f t="shared" si="2"/>
        <v>+84905662791</v>
      </c>
    </row>
    <row r="113" ht="15.75" customHeight="1">
      <c r="B113" s="401" t="s">
        <v>4660</v>
      </c>
      <c r="C113" s="383" t="s">
        <v>4628</v>
      </c>
      <c r="D113" s="383" t="str">
        <f t="shared" si="1"/>
        <v>979554764</v>
      </c>
      <c r="E113" s="383" t="s">
        <v>4629</v>
      </c>
      <c r="F113" s="383" t="str">
        <f t="shared" si="2"/>
        <v>+84979554764</v>
      </c>
    </row>
    <row r="114" ht="15.75" customHeight="1">
      <c r="B114" s="401" t="s">
        <v>3267</v>
      </c>
      <c r="C114" s="383" t="s">
        <v>4628</v>
      </c>
      <c r="D114" s="383" t="str">
        <f t="shared" si="1"/>
        <v>948777749</v>
      </c>
      <c r="E114" s="383" t="s">
        <v>4629</v>
      </c>
      <c r="F114" s="383" t="str">
        <f t="shared" si="2"/>
        <v>+84948777749</v>
      </c>
    </row>
    <row r="115" ht="15.75" customHeight="1">
      <c r="B115" s="401" t="s">
        <v>3303</v>
      </c>
      <c r="C115" s="383" t="s">
        <v>4628</v>
      </c>
      <c r="D115" s="383" t="str">
        <f t="shared" si="1"/>
        <v>932486015</v>
      </c>
      <c r="E115" s="383" t="s">
        <v>4629</v>
      </c>
      <c r="F115" s="383" t="str">
        <f t="shared" si="2"/>
        <v>+84932486015</v>
      </c>
    </row>
    <row r="116" ht="15.75" customHeight="1">
      <c r="B116" s="401" t="s">
        <v>3426</v>
      </c>
      <c r="C116" s="383" t="s">
        <v>4628</v>
      </c>
      <c r="D116" s="383" t="str">
        <f t="shared" si="1"/>
        <v>888808690</v>
      </c>
      <c r="E116" s="383" t="s">
        <v>4629</v>
      </c>
      <c r="F116" s="383" t="str">
        <f t="shared" si="2"/>
        <v>+84888808690</v>
      </c>
    </row>
    <row r="117" ht="15.75" customHeight="1">
      <c r="B117" s="401" t="s">
        <v>3550</v>
      </c>
      <c r="C117" s="383" t="s">
        <v>4628</v>
      </c>
      <c r="D117" s="383" t="str">
        <f t="shared" si="1"/>
        <v>707117777</v>
      </c>
      <c r="E117" s="383" t="s">
        <v>4629</v>
      </c>
      <c r="F117" s="383" t="str">
        <f t="shared" si="2"/>
        <v>+84707117777</v>
      </c>
    </row>
    <row r="118" ht="15.75" customHeight="1">
      <c r="B118" s="401" t="s">
        <v>3560</v>
      </c>
      <c r="C118" s="383" t="s">
        <v>4628</v>
      </c>
      <c r="D118" s="383" t="str">
        <f t="shared" si="1"/>
        <v>913741230</v>
      </c>
      <c r="E118" s="383" t="s">
        <v>4629</v>
      </c>
      <c r="F118" s="383" t="str">
        <f t="shared" si="2"/>
        <v>+84913741230</v>
      </c>
    </row>
    <row r="119" ht="15.75" customHeight="1">
      <c r="B119" s="401" t="s">
        <v>3568</v>
      </c>
      <c r="C119" s="383" t="s">
        <v>4628</v>
      </c>
      <c r="D119" s="383" t="str">
        <f t="shared" si="1"/>
        <v>916856022</v>
      </c>
      <c r="E119" s="383" t="s">
        <v>4629</v>
      </c>
      <c r="F119" s="383" t="str">
        <f t="shared" si="2"/>
        <v>+84916856022</v>
      </c>
    </row>
    <row r="120" ht="15.75" customHeight="1">
      <c r="B120" s="401" t="s">
        <v>3627</v>
      </c>
      <c r="C120" s="383" t="s">
        <v>4628</v>
      </c>
      <c r="D120" s="383" t="str">
        <f t="shared" si="1"/>
        <v>977155503</v>
      </c>
      <c r="E120" s="383" t="s">
        <v>4629</v>
      </c>
      <c r="F120" s="383" t="str">
        <f t="shared" si="2"/>
        <v>+84977155503</v>
      </c>
    </row>
    <row r="121" ht="15.75" customHeight="1">
      <c r="B121" s="401" t="s">
        <v>3651</v>
      </c>
      <c r="C121" s="383" t="s">
        <v>4628</v>
      </c>
      <c r="D121" s="383" t="str">
        <f t="shared" si="1"/>
        <v>905774155</v>
      </c>
      <c r="E121" s="383" t="s">
        <v>4629</v>
      </c>
      <c r="F121" s="383" t="str">
        <f t="shared" si="2"/>
        <v>+84905774155</v>
      </c>
    </row>
    <row r="122" ht="15.75" customHeight="1">
      <c r="B122" s="401" t="s">
        <v>3695</v>
      </c>
      <c r="C122" s="383" t="s">
        <v>4628</v>
      </c>
      <c r="D122" s="383" t="str">
        <f t="shared" si="1"/>
        <v>905952181</v>
      </c>
      <c r="E122" s="383" t="s">
        <v>4629</v>
      </c>
      <c r="F122" s="383" t="str">
        <f t="shared" si="2"/>
        <v>+84905952181</v>
      </c>
    </row>
    <row r="123" ht="15.75" customHeight="1">
      <c r="B123" s="401" t="s">
        <v>3705</v>
      </c>
      <c r="C123" s="383" t="s">
        <v>4628</v>
      </c>
      <c r="D123" s="383" t="str">
        <f t="shared" si="1"/>
        <v>934999965</v>
      </c>
      <c r="E123" s="383" t="s">
        <v>4629</v>
      </c>
      <c r="F123" s="383" t="str">
        <f t="shared" si="2"/>
        <v>+84934999965</v>
      </c>
    </row>
    <row r="124" ht="15.75" customHeight="1">
      <c r="B124" s="401" t="s">
        <v>3765</v>
      </c>
      <c r="C124" s="383" t="s">
        <v>4628</v>
      </c>
      <c r="D124" s="383" t="str">
        <f t="shared" si="1"/>
        <v>935227232</v>
      </c>
      <c r="E124" s="383" t="s">
        <v>4629</v>
      </c>
      <c r="F124" s="383" t="str">
        <f t="shared" si="2"/>
        <v>+84935227232</v>
      </c>
    </row>
    <row r="125" ht="15.75" customHeight="1">
      <c r="B125" s="401" t="s">
        <v>3773</v>
      </c>
      <c r="C125" s="383" t="s">
        <v>4628</v>
      </c>
      <c r="D125" s="383" t="str">
        <f t="shared" si="1"/>
        <v>943725025</v>
      </c>
      <c r="E125" s="383" t="s">
        <v>4629</v>
      </c>
      <c r="F125" s="383" t="str">
        <f t="shared" si="2"/>
        <v>+84943725025</v>
      </c>
    </row>
    <row r="126" ht="15.75" customHeight="1">
      <c r="B126" s="401" t="s">
        <v>3800</v>
      </c>
      <c r="C126" s="383" t="s">
        <v>4628</v>
      </c>
      <c r="D126" s="383" t="str">
        <f t="shared" si="1"/>
        <v>987102184</v>
      </c>
      <c r="E126" s="383" t="s">
        <v>4629</v>
      </c>
      <c r="F126" s="383" t="str">
        <f t="shared" si="2"/>
        <v>+84987102184</v>
      </c>
    </row>
    <row r="127" ht="15.75" customHeight="1">
      <c r="B127" s="401" t="s">
        <v>3838</v>
      </c>
      <c r="C127" s="383" t="s">
        <v>4628</v>
      </c>
      <c r="D127" s="383" t="str">
        <f t="shared" si="1"/>
        <v>935879508</v>
      </c>
      <c r="E127" s="383" t="s">
        <v>4629</v>
      </c>
      <c r="F127" s="383" t="str">
        <f t="shared" si="2"/>
        <v>+84935879508</v>
      </c>
    </row>
    <row r="128" ht="15.75" customHeight="1">
      <c r="B128" s="401" t="s">
        <v>4661</v>
      </c>
      <c r="C128" s="383" t="s">
        <v>4628</v>
      </c>
      <c r="D128" s="383" t="str">
        <f t="shared" si="1"/>
        <v>905463348</v>
      </c>
      <c r="E128" s="383" t="s">
        <v>4629</v>
      </c>
      <c r="F128" s="383" t="str">
        <f t="shared" si="2"/>
        <v>+84905463348</v>
      </c>
    </row>
    <row r="129" ht="15.75" customHeight="1">
      <c r="B129" s="401" t="s">
        <v>3858</v>
      </c>
      <c r="C129" s="383" t="s">
        <v>4628</v>
      </c>
      <c r="D129" s="383" t="str">
        <f t="shared" si="1"/>
        <v>905588248</v>
      </c>
      <c r="E129" s="383" t="s">
        <v>4629</v>
      </c>
      <c r="F129" s="383" t="str">
        <f t="shared" si="2"/>
        <v>+84905588248</v>
      </c>
    </row>
    <row r="130" ht="15.75" customHeight="1">
      <c r="B130" s="402" t="s">
        <v>4662</v>
      </c>
      <c r="C130" s="383" t="s">
        <v>4628</v>
      </c>
      <c r="D130" s="383" t="str">
        <f t="shared" si="1"/>
        <v>987656009</v>
      </c>
      <c r="E130" s="383" t="s">
        <v>4629</v>
      </c>
      <c r="F130" s="383" t="str">
        <f t="shared" si="2"/>
        <v>+84987656009</v>
      </c>
    </row>
    <row r="131" ht="15.75" customHeight="1">
      <c r="B131" s="402" t="s">
        <v>4663</v>
      </c>
      <c r="C131" s="383" t="s">
        <v>4628</v>
      </c>
      <c r="D131" s="383" t="str">
        <f t="shared" si="1"/>
        <v>905865866</v>
      </c>
      <c r="E131" s="383" t="s">
        <v>4629</v>
      </c>
      <c r="F131" s="383" t="str">
        <f t="shared" si="2"/>
        <v>+84905865866</v>
      </c>
    </row>
    <row r="132" ht="15.75" customHeight="1">
      <c r="B132" s="401" t="s">
        <v>3877</v>
      </c>
      <c r="C132" s="383" t="s">
        <v>4628</v>
      </c>
      <c r="D132" s="383" t="str">
        <f t="shared" si="1"/>
        <v>905313699</v>
      </c>
      <c r="E132" s="383" t="s">
        <v>4629</v>
      </c>
      <c r="F132" s="383" t="str">
        <f t="shared" si="2"/>
        <v>+84905313699</v>
      </c>
    </row>
    <row r="133" ht="15.75" customHeight="1">
      <c r="B133" s="401" t="s">
        <v>3882</v>
      </c>
      <c r="C133" s="383" t="s">
        <v>4628</v>
      </c>
      <c r="D133" s="383" t="str">
        <f t="shared" si="1"/>
        <v>935272390</v>
      </c>
      <c r="E133" s="383" t="s">
        <v>4629</v>
      </c>
      <c r="F133" s="383" t="str">
        <f t="shared" si="2"/>
        <v>+84935272390</v>
      </c>
    </row>
    <row r="134" ht="15.75" customHeight="1">
      <c r="B134" s="401" t="s">
        <v>3910</v>
      </c>
      <c r="C134" s="383" t="s">
        <v>4628</v>
      </c>
      <c r="D134" s="383" t="str">
        <f t="shared" si="1"/>
        <v>912848755</v>
      </c>
      <c r="E134" s="383" t="s">
        <v>4629</v>
      </c>
      <c r="F134" s="383" t="str">
        <f t="shared" si="2"/>
        <v>+84912848755</v>
      </c>
    </row>
    <row r="135" ht="15.75" customHeight="1">
      <c r="B135" s="401" t="s">
        <v>3918</v>
      </c>
      <c r="C135" s="383" t="s">
        <v>4628</v>
      </c>
      <c r="D135" s="383" t="str">
        <f t="shared" si="1"/>
        <v>944555165</v>
      </c>
      <c r="E135" s="383" t="s">
        <v>4629</v>
      </c>
      <c r="F135" s="383" t="str">
        <f t="shared" si="2"/>
        <v>+84944555165</v>
      </c>
    </row>
    <row r="136" ht="15.75" customHeight="1">
      <c r="B136" s="401" t="s">
        <v>3924</v>
      </c>
      <c r="C136" s="383" t="s">
        <v>4628</v>
      </c>
      <c r="D136" s="383" t="str">
        <f t="shared" si="1"/>
        <v>987213765</v>
      </c>
      <c r="E136" s="383" t="s">
        <v>4629</v>
      </c>
      <c r="F136" s="383" t="str">
        <f t="shared" si="2"/>
        <v>+84987213765</v>
      </c>
    </row>
    <row r="137" ht="15.75" customHeight="1">
      <c r="B137" s="402" t="s">
        <v>4664</v>
      </c>
      <c r="C137" s="383" t="s">
        <v>4628</v>
      </c>
      <c r="D137" s="383" t="str">
        <f t="shared" si="1"/>
        <v>982190195</v>
      </c>
      <c r="E137" s="383" t="s">
        <v>4629</v>
      </c>
      <c r="F137" s="383" t="str">
        <f t="shared" si="2"/>
        <v>+84982190195</v>
      </c>
    </row>
    <row r="138" ht="15.75" customHeight="1">
      <c r="B138" s="404" t="s">
        <v>4665</v>
      </c>
      <c r="C138" s="383" t="s">
        <v>4628</v>
      </c>
      <c r="D138" s="383" t="str">
        <f t="shared" si="1"/>
        <v>905211333</v>
      </c>
      <c r="E138" s="383" t="s">
        <v>4629</v>
      </c>
      <c r="F138" s="383" t="str">
        <f t="shared" si="2"/>
        <v>+84905211333</v>
      </c>
    </row>
    <row r="139" ht="15.75" customHeight="1">
      <c r="B139" s="405" t="s">
        <v>4666</v>
      </c>
      <c r="C139" s="383" t="s">
        <v>4628</v>
      </c>
      <c r="D139" s="383" t="str">
        <f t="shared" si="1"/>
        <v>937603206</v>
      </c>
      <c r="E139" s="383" t="s">
        <v>4629</v>
      </c>
      <c r="F139" s="383" t="str">
        <f t="shared" si="2"/>
        <v>+84937603206</v>
      </c>
    </row>
    <row r="140" ht="15.75" customHeight="1">
      <c r="B140" s="405" t="s">
        <v>4667</v>
      </c>
      <c r="C140" s="383" t="s">
        <v>4628</v>
      </c>
      <c r="D140" s="383" t="str">
        <f t="shared" si="1"/>
        <v>935046093</v>
      </c>
      <c r="E140" s="383" t="s">
        <v>4629</v>
      </c>
      <c r="F140" s="383" t="str">
        <f t="shared" si="2"/>
        <v>+84935046093</v>
      </c>
    </row>
    <row r="141" ht="15.75" customHeight="1">
      <c r="B141" s="404" t="s">
        <v>4668</v>
      </c>
      <c r="C141" s="383"/>
      <c r="D141" s="383" t="str">
        <f t="shared" si="1"/>
        <v>932574633</v>
      </c>
      <c r="E141" s="383" t="s">
        <v>4629</v>
      </c>
      <c r="F141" s="383" t="str">
        <f t="shared" si="2"/>
        <v>+84932574633</v>
      </c>
    </row>
    <row r="142" ht="15.75" customHeight="1">
      <c r="B142" s="404" t="s">
        <v>4669</v>
      </c>
      <c r="C142" s="383" t="s">
        <v>4628</v>
      </c>
      <c r="D142" s="383" t="str">
        <f t="shared" si="1"/>
        <v>925298698</v>
      </c>
      <c r="E142" s="383" t="s">
        <v>4629</v>
      </c>
      <c r="F142" s="383" t="str">
        <f t="shared" si="2"/>
        <v>+84925298698</v>
      </c>
    </row>
    <row r="143" ht="15.75" customHeight="1">
      <c r="B143" s="404" t="s">
        <v>4670</v>
      </c>
      <c r="C143" s="383" t="s">
        <v>4628</v>
      </c>
      <c r="D143" s="383" t="str">
        <f t="shared" si="1"/>
        <v>982758736</v>
      </c>
      <c r="E143" s="383" t="s">
        <v>4629</v>
      </c>
      <c r="F143" s="383" t="str">
        <f t="shared" si="2"/>
        <v>+84982758736</v>
      </c>
    </row>
    <row r="144" ht="15.75" customHeight="1">
      <c r="B144" s="404" t="s">
        <v>4671</v>
      </c>
      <c r="C144" s="383" t="s">
        <v>4628</v>
      </c>
      <c r="D144" s="383" t="str">
        <f t="shared" si="1"/>
        <v>914153035</v>
      </c>
      <c r="E144" s="383" t="s">
        <v>4629</v>
      </c>
      <c r="F144" s="383" t="str">
        <f t="shared" si="2"/>
        <v>+84914153035</v>
      </c>
    </row>
    <row r="145" ht="15.75" customHeight="1">
      <c r="B145" s="404" t="s">
        <v>4672</v>
      </c>
      <c r="C145" s="383" t="s">
        <v>4628</v>
      </c>
      <c r="D145" s="383" t="str">
        <f t="shared" si="1"/>
        <v>919364244</v>
      </c>
      <c r="E145" s="383" t="s">
        <v>4629</v>
      </c>
      <c r="F145" s="383" t="str">
        <f t="shared" si="2"/>
        <v>+84919364244</v>
      </c>
    </row>
    <row r="146" ht="15.75" customHeight="1">
      <c r="B146" s="404" t="s">
        <v>4673</v>
      </c>
      <c r="C146" s="383" t="s">
        <v>4628</v>
      </c>
      <c r="D146" s="383" t="str">
        <f t="shared" si="1"/>
        <v>984131906</v>
      </c>
      <c r="E146" s="383" t="s">
        <v>4629</v>
      </c>
      <c r="F146" s="383" t="str">
        <f t="shared" si="2"/>
        <v>+84984131906</v>
      </c>
    </row>
    <row r="147" ht="15.75" customHeight="1">
      <c r="B147" s="406" t="s">
        <v>4674</v>
      </c>
      <c r="C147" s="383" t="s">
        <v>4628</v>
      </c>
      <c r="D147" s="383" t="str">
        <f t="shared" si="1"/>
        <v>919154588</v>
      </c>
      <c r="E147" s="383" t="s">
        <v>4629</v>
      </c>
      <c r="F147" s="383" t="str">
        <f t="shared" si="2"/>
        <v>+84919154588</v>
      </c>
    </row>
    <row r="148" ht="15.75" customHeight="1">
      <c r="B148" s="406" t="s">
        <v>4675</v>
      </c>
      <c r="C148" s="383" t="s">
        <v>4628</v>
      </c>
      <c r="D148" s="383" t="str">
        <f t="shared" si="1"/>
        <v>984431043</v>
      </c>
      <c r="E148" s="383" t="s">
        <v>4629</v>
      </c>
      <c r="F148" s="383" t="str">
        <f t="shared" si="2"/>
        <v>+84984431043</v>
      </c>
    </row>
    <row r="149" ht="15.75" customHeight="1">
      <c r="B149" s="407" t="s">
        <v>4676</v>
      </c>
      <c r="C149" s="383"/>
      <c r="D149" s="383" t="str">
        <f t="shared" si="1"/>
        <v>768671855</v>
      </c>
      <c r="E149" s="383" t="s">
        <v>4629</v>
      </c>
      <c r="F149" s="383" t="str">
        <f t="shared" si="2"/>
        <v>+84768671855</v>
      </c>
    </row>
    <row r="150" ht="15.75" customHeight="1">
      <c r="B150" s="408" t="s">
        <v>4677</v>
      </c>
      <c r="C150" s="383"/>
      <c r="D150" s="383" t="str">
        <f t="shared" si="1"/>
        <v>792004599</v>
      </c>
      <c r="E150" s="383" t="s">
        <v>4629</v>
      </c>
      <c r="F150" s="383" t="str">
        <f t="shared" si="2"/>
        <v>+84792004599</v>
      </c>
    </row>
    <row r="151" ht="15.75" customHeight="1">
      <c r="B151" s="408" t="s">
        <v>4678</v>
      </c>
      <c r="C151" s="383"/>
      <c r="D151" s="383" t="str">
        <f t="shared" si="1"/>
        <v>399736160</v>
      </c>
      <c r="E151" s="383" t="s">
        <v>4629</v>
      </c>
      <c r="F151" s="383" t="str">
        <f t="shared" si="2"/>
        <v>+84399736160</v>
      </c>
    </row>
    <row r="152" ht="15.75" customHeight="1">
      <c r="B152" s="408" t="s">
        <v>4679</v>
      </c>
      <c r="C152" s="383"/>
      <c r="D152" s="383" t="str">
        <f t="shared" si="1"/>
        <v>986632769</v>
      </c>
      <c r="E152" s="383" t="s">
        <v>4629</v>
      </c>
      <c r="F152" s="383" t="str">
        <f t="shared" si="2"/>
        <v>+84986632769</v>
      </c>
    </row>
    <row r="153" ht="15.75" customHeight="1">
      <c r="B153" s="408" t="s">
        <v>4680</v>
      </c>
      <c r="C153" s="383"/>
      <c r="D153" s="383" t="str">
        <f t="shared" si="1"/>
        <v>979094666</v>
      </c>
      <c r="E153" s="383" t="s">
        <v>4629</v>
      </c>
      <c r="F153" s="383" t="str">
        <f t="shared" si="2"/>
        <v>+84979094666</v>
      </c>
    </row>
    <row r="154" ht="15.75" customHeight="1">
      <c r="B154" s="409" t="s">
        <v>4681</v>
      </c>
      <c r="C154" s="383"/>
      <c r="D154" s="383" t="str">
        <f t="shared" si="1"/>
        <v>933676566</v>
      </c>
      <c r="E154" s="383" t="s">
        <v>4629</v>
      </c>
      <c r="F154" s="383" t="str">
        <f t="shared" si="2"/>
        <v>+84933676566</v>
      </c>
    </row>
    <row r="155" ht="15.75" customHeight="1">
      <c r="B155" s="409" t="s">
        <v>4682</v>
      </c>
      <c r="C155" s="383"/>
      <c r="D155" s="383" t="str">
        <f t="shared" si="1"/>
        <v>935880857</v>
      </c>
      <c r="E155" s="383" t="s">
        <v>4629</v>
      </c>
      <c r="F155" s="383" t="str">
        <f t="shared" si="2"/>
        <v>+84935880857</v>
      </c>
    </row>
    <row r="156" ht="15.75" customHeight="1">
      <c r="B156" s="409" t="s">
        <v>4683</v>
      </c>
      <c r="C156" s="383"/>
      <c r="D156" s="383" t="str">
        <f t="shared" si="1"/>
        <v>935343464</v>
      </c>
      <c r="E156" s="383" t="s">
        <v>4629</v>
      </c>
      <c r="F156" s="383" t="str">
        <f t="shared" si="2"/>
        <v>+84935343464</v>
      </c>
    </row>
    <row r="157" ht="15.75" customHeight="1">
      <c r="B157" s="408" t="s">
        <v>4684</v>
      </c>
      <c r="C157" s="383"/>
      <c r="D157" s="383" t="str">
        <f t="shared" si="1"/>
        <v>935890055</v>
      </c>
      <c r="E157" s="383" t="s">
        <v>4629</v>
      </c>
      <c r="F157" s="383" t="str">
        <f t="shared" si="2"/>
        <v>+84935890055</v>
      </c>
    </row>
    <row r="158" ht="15.75" customHeight="1">
      <c r="B158" s="408" t="s">
        <v>4641</v>
      </c>
      <c r="C158" s="383"/>
      <c r="D158" s="383" t="str">
        <f t="shared" si="1"/>
        <v>963408999</v>
      </c>
      <c r="E158" s="383" t="s">
        <v>4629</v>
      </c>
      <c r="F158" s="383" t="str">
        <f t="shared" si="2"/>
        <v>+84963408999</v>
      </c>
    </row>
    <row r="159" ht="15.75" customHeight="1">
      <c r="B159" s="408" t="s">
        <v>4685</v>
      </c>
      <c r="C159" s="383"/>
      <c r="D159" s="383" t="str">
        <f t="shared" si="1"/>
        <v>765152145</v>
      </c>
      <c r="E159" s="383" t="s">
        <v>4629</v>
      </c>
      <c r="F159" s="383" t="str">
        <f t="shared" si="2"/>
        <v>+84765152145</v>
      </c>
    </row>
    <row r="160" ht="15.75" customHeight="1">
      <c r="B160" s="409" t="s">
        <v>4660</v>
      </c>
      <c r="D160" s="383" t="str">
        <f t="shared" si="1"/>
        <v>979554764</v>
      </c>
      <c r="E160" s="383" t="s">
        <v>4629</v>
      </c>
      <c r="F160" s="383" t="str">
        <f t="shared" si="2"/>
        <v>+84979554764</v>
      </c>
    </row>
    <row r="161" ht="15.75" customHeight="1">
      <c r="B161" s="409" t="s">
        <v>4686</v>
      </c>
      <c r="D161" s="383" t="str">
        <f t="shared" si="1"/>
        <v>905233229</v>
      </c>
      <c r="E161" s="383" t="s">
        <v>4629</v>
      </c>
      <c r="F161" s="383" t="str">
        <f t="shared" si="2"/>
        <v>+84905233229</v>
      </c>
    </row>
    <row r="162" ht="15.75" customHeight="1">
      <c r="B162" s="409" t="s">
        <v>4687</v>
      </c>
      <c r="D162" s="383" t="str">
        <f t="shared" si="1"/>
        <v>989444179</v>
      </c>
      <c r="E162" s="383" t="s">
        <v>4629</v>
      </c>
      <c r="F162" s="383" t="str">
        <f t="shared" si="2"/>
        <v>+84989444179</v>
      </c>
    </row>
    <row r="163" ht="15.75" customHeight="1">
      <c r="B163" s="409" t="s">
        <v>4688</v>
      </c>
      <c r="D163" s="383" t="str">
        <f t="shared" si="1"/>
        <v>963221287</v>
      </c>
      <c r="E163" s="383" t="s">
        <v>4629</v>
      </c>
      <c r="F163" s="383" t="str">
        <f t="shared" si="2"/>
        <v>+84963221287</v>
      </c>
    </row>
    <row r="164" ht="15.75" customHeight="1">
      <c r="B164" s="409" t="s">
        <v>4689</v>
      </c>
      <c r="C164" s="383"/>
      <c r="D164" s="383" t="str">
        <f t="shared" si="1"/>
        <v>973563172</v>
      </c>
      <c r="E164" s="383" t="s">
        <v>4629</v>
      </c>
      <c r="F164" s="383" t="str">
        <f t="shared" si="2"/>
        <v>+84973563172</v>
      </c>
    </row>
    <row r="165" ht="15.75" customHeight="1">
      <c r="B165" s="409" t="s">
        <v>4690</v>
      </c>
      <c r="D165" s="383" t="str">
        <f t="shared" si="1"/>
        <v>903594979</v>
      </c>
      <c r="E165" s="383" t="s">
        <v>4629</v>
      </c>
      <c r="F165" s="383" t="str">
        <f t="shared" si="2"/>
        <v>+84903594979</v>
      </c>
    </row>
    <row r="166" ht="15.75" customHeight="1">
      <c r="B166" s="409" t="s">
        <v>4691</v>
      </c>
      <c r="D166" s="383" t="str">
        <f t="shared" si="1"/>
        <v>355230093</v>
      </c>
      <c r="E166" s="383" t="s">
        <v>4629</v>
      </c>
      <c r="F166" s="383" t="str">
        <f t="shared" si="2"/>
        <v>+84355230093</v>
      </c>
    </row>
    <row r="167" ht="15.75" customHeight="1">
      <c r="B167" s="409" t="s">
        <v>2256</v>
      </c>
      <c r="D167" s="383" t="str">
        <f t="shared" si="1"/>
        <v>905890959</v>
      </c>
      <c r="E167" s="383" t="s">
        <v>4629</v>
      </c>
      <c r="F167" s="383" t="str">
        <f t="shared" si="2"/>
        <v>+84905890959</v>
      </c>
    </row>
    <row r="168" ht="15.75" customHeight="1">
      <c r="B168" s="409" t="s">
        <v>4692</v>
      </c>
      <c r="D168" s="383" t="str">
        <f t="shared" si="1"/>
        <v>393713496</v>
      </c>
      <c r="E168" s="383" t="s">
        <v>4629</v>
      </c>
      <c r="F168" s="383" t="str">
        <f t="shared" si="2"/>
        <v>+84393713496</v>
      </c>
    </row>
    <row r="169" ht="15.75" customHeight="1">
      <c r="B169" s="409" t="s">
        <v>4693</v>
      </c>
      <c r="D169" s="383" t="str">
        <f t="shared" si="1"/>
        <v>905905941</v>
      </c>
      <c r="E169" s="383" t="s">
        <v>4629</v>
      </c>
      <c r="F169" s="383" t="str">
        <f t="shared" si="2"/>
        <v>+84905905941</v>
      </c>
    </row>
    <row r="170" ht="15.75" customHeight="1">
      <c r="B170" s="409" t="s">
        <v>4694</v>
      </c>
      <c r="D170" s="383" t="str">
        <f t="shared" si="1"/>
        <v>983864959</v>
      </c>
      <c r="E170" s="383" t="s">
        <v>4629</v>
      </c>
      <c r="F170" s="383" t="str">
        <f t="shared" si="2"/>
        <v>+84983864959</v>
      </c>
    </row>
    <row r="171" ht="15.75" customHeight="1">
      <c r="B171" s="408" t="s">
        <v>4695</v>
      </c>
      <c r="D171" s="383" t="str">
        <f t="shared" si="1"/>
        <v>915554367</v>
      </c>
      <c r="E171" s="383" t="s">
        <v>4629</v>
      </c>
      <c r="F171" s="383" t="str">
        <f t="shared" si="2"/>
        <v>+84915554367</v>
      </c>
    </row>
    <row r="172" ht="15.75" customHeight="1">
      <c r="B172" s="409" t="s">
        <v>4696</v>
      </c>
      <c r="D172" s="383" t="str">
        <f t="shared" si="1"/>
        <v>932580630</v>
      </c>
      <c r="E172" s="383" t="s">
        <v>4629</v>
      </c>
      <c r="F172" s="383" t="str">
        <f t="shared" si="2"/>
        <v>+84932580630</v>
      </c>
    </row>
    <row r="173" ht="15.75" customHeight="1">
      <c r="B173" s="410" t="s">
        <v>4697</v>
      </c>
      <c r="D173" s="383" t="str">
        <f t="shared" si="1"/>
        <v>914292196</v>
      </c>
      <c r="E173" s="383" t="s">
        <v>4629</v>
      </c>
      <c r="F173" s="383" t="str">
        <f t="shared" si="2"/>
        <v>+84914292196</v>
      </c>
    </row>
    <row r="174" ht="15.75" customHeight="1">
      <c r="B174" s="409" t="s">
        <v>4698</v>
      </c>
      <c r="D174" s="383" t="str">
        <f t="shared" si="1"/>
        <v>905985699</v>
      </c>
      <c r="E174" s="383" t="s">
        <v>4629</v>
      </c>
      <c r="F174" s="383" t="str">
        <f t="shared" si="2"/>
        <v>+84905985699</v>
      </c>
    </row>
    <row r="175" ht="15.75" customHeight="1">
      <c r="B175" s="409" t="s">
        <v>4699</v>
      </c>
      <c r="D175" s="383" t="str">
        <f t="shared" si="1"/>
        <v>862855455</v>
      </c>
      <c r="E175" s="383" t="s">
        <v>4629</v>
      </c>
      <c r="F175" s="383" t="str">
        <f t="shared" si="2"/>
        <v>+84862855455</v>
      </c>
    </row>
    <row r="176" ht="15.75" customHeight="1">
      <c r="B176" s="409" t="s">
        <v>4655</v>
      </c>
      <c r="D176" s="383" t="str">
        <f t="shared" si="1"/>
        <v>906468428</v>
      </c>
      <c r="E176" s="383" t="s">
        <v>4629</v>
      </c>
      <c r="F176" s="383" t="str">
        <f t="shared" si="2"/>
        <v>+84906468428</v>
      </c>
    </row>
    <row r="177" ht="15.75" customHeight="1">
      <c r="B177" s="409" t="s">
        <v>4700</v>
      </c>
      <c r="D177" s="383" t="str">
        <f t="shared" si="1"/>
        <v>932526163</v>
      </c>
      <c r="E177" s="383" t="s">
        <v>4629</v>
      </c>
      <c r="F177" s="383" t="str">
        <f t="shared" si="2"/>
        <v>+84932526163</v>
      </c>
    </row>
    <row r="178" ht="15.75" customHeight="1">
      <c r="B178" s="409" t="s">
        <v>4701</v>
      </c>
      <c r="D178" s="383" t="str">
        <f t="shared" si="1"/>
        <v>983234781</v>
      </c>
      <c r="E178" s="383" t="s">
        <v>4629</v>
      </c>
      <c r="F178" s="383" t="str">
        <f t="shared" si="2"/>
        <v>+84983234781</v>
      </c>
    </row>
    <row r="179" ht="15.75" customHeight="1">
      <c r="B179" s="409" t="s">
        <v>4702</v>
      </c>
      <c r="D179" s="383" t="str">
        <f t="shared" si="1"/>
        <v>905791166</v>
      </c>
      <c r="E179" s="383" t="s">
        <v>4629</v>
      </c>
      <c r="F179" s="383" t="str">
        <f t="shared" si="2"/>
        <v>+84905791166</v>
      </c>
    </row>
    <row r="180" ht="15.75" customHeight="1">
      <c r="B180" s="409" t="s">
        <v>4703</v>
      </c>
      <c r="D180" s="383" t="str">
        <f t="shared" si="1"/>
        <v>901129779</v>
      </c>
      <c r="E180" s="383" t="s">
        <v>4629</v>
      </c>
      <c r="F180" s="383" t="str">
        <f t="shared" si="2"/>
        <v>+84901129779</v>
      </c>
    </row>
    <row r="181" ht="15.75" customHeight="1">
      <c r="B181" s="409" t="s">
        <v>4704</v>
      </c>
      <c r="D181" s="383" t="str">
        <f t="shared" si="1"/>
        <v>905760505</v>
      </c>
      <c r="E181" s="383" t="s">
        <v>4629</v>
      </c>
      <c r="F181" s="383" t="str">
        <f t="shared" si="2"/>
        <v>+84905760505</v>
      </c>
    </row>
    <row r="182" ht="15.75" customHeight="1">
      <c r="B182" s="409" t="s">
        <v>4705</v>
      </c>
      <c r="D182" s="383" t="str">
        <f t="shared" si="1"/>
        <v>948464456</v>
      </c>
      <c r="E182" s="383" t="s">
        <v>4629</v>
      </c>
      <c r="F182" s="383" t="str">
        <f t="shared" si="2"/>
        <v>+84948464456</v>
      </c>
    </row>
    <row r="183" ht="15.75" customHeight="1">
      <c r="B183" s="409" t="s">
        <v>4706</v>
      </c>
      <c r="D183" s="383" t="str">
        <f t="shared" si="1"/>
        <v>763732820</v>
      </c>
      <c r="E183" s="383" t="s">
        <v>4629</v>
      </c>
      <c r="F183" s="383" t="str">
        <f t="shared" si="2"/>
        <v>+84763732820</v>
      </c>
    </row>
    <row r="184" ht="15.75" customHeight="1">
      <c r="B184" s="409" t="s">
        <v>4707</v>
      </c>
      <c r="D184" s="383" t="str">
        <f t="shared" si="1"/>
        <v>905801668</v>
      </c>
      <c r="E184" s="383" t="s">
        <v>4629</v>
      </c>
      <c r="F184" s="383" t="str">
        <f t="shared" si="2"/>
        <v>+84905801668</v>
      </c>
    </row>
    <row r="185" ht="15.75" customHeight="1">
      <c r="B185" s="409" t="s">
        <v>4708</v>
      </c>
      <c r="D185" s="383" t="str">
        <f t="shared" si="1"/>
        <v>905157500</v>
      </c>
      <c r="E185" s="383" t="s">
        <v>4629</v>
      </c>
      <c r="F185" s="383" t="str">
        <f t="shared" si="2"/>
        <v>+84905157500</v>
      </c>
    </row>
    <row r="186" ht="15.75" customHeight="1">
      <c r="B186" s="409" t="s">
        <v>4709</v>
      </c>
      <c r="D186" s="383" t="str">
        <f t="shared" si="1"/>
        <v>985535919</v>
      </c>
      <c r="E186" s="383" t="s">
        <v>4629</v>
      </c>
      <c r="F186" s="383" t="str">
        <f t="shared" si="2"/>
        <v>+84985535919</v>
      </c>
    </row>
    <row r="187" ht="15.75" customHeight="1">
      <c r="B187" s="409" t="s">
        <v>4710</v>
      </c>
      <c r="D187" s="383" t="str">
        <f t="shared" si="1"/>
        <v>979334825</v>
      </c>
      <c r="E187" s="383" t="s">
        <v>4629</v>
      </c>
      <c r="F187" s="383" t="str">
        <f t="shared" si="2"/>
        <v>+84979334825</v>
      </c>
    </row>
    <row r="188" ht="15.75" customHeight="1">
      <c r="B188" s="409" t="s">
        <v>4711</v>
      </c>
      <c r="D188" s="383" t="str">
        <f t="shared" si="1"/>
        <v>947949885</v>
      </c>
      <c r="E188" s="383" t="s">
        <v>4629</v>
      </c>
      <c r="F188" s="383" t="str">
        <f t="shared" si="2"/>
        <v>+84947949885</v>
      </c>
    </row>
    <row r="189" ht="15.75" customHeight="1">
      <c r="B189" s="409" t="s">
        <v>4712</v>
      </c>
      <c r="D189" s="383" t="str">
        <f t="shared" si="1"/>
        <v>774545455</v>
      </c>
      <c r="E189" s="383" t="s">
        <v>4629</v>
      </c>
      <c r="F189" s="383" t="str">
        <f t="shared" si="2"/>
        <v>+84774545455</v>
      </c>
    </row>
    <row r="190" ht="15.75" customHeight="1">
      <c r="B190" s="409" t="s">
        <v>4713</v>
      </c>
      <c r="D190" s="383" t="str">
        <f t="shared" si="1"/>
        <v>986049358</v>
      </c>
      <c r="E190" s="383" t="s">
        <v>4629</v>
      </c>
      <c r="F190" s="383" t="str">
        <f t="shared" si="2"/>
        <v>+84986049358</v>
      </c>
    </row>
    <row r="191" ht="15.75" customHeight="1">
      <c r="B191" s="409" t="s">
        <v>4714</v>
      </c>
      <c r="D191" s="383" t="str">
        <f t="shared" si="1"/>
        <v>815606070</v>
      </c>
      <c r="E191" s="383" t="s">
        <v>4629</v>
      </c>
      <c r="F191" s="383" t="str">
        <f t="shared" si="2"/>
        <v>+84815606070</v>
      </c>
    </row>
    <row r="192" ht="15.75" customHeight="1">
      <c r="B192" s="409" t="s">
        <v>4715</v>
      </c>
      <c r="D192" s="383" t="str">
        <f t="shared" si="1"/>
        <v>914916788</v>
      </c>
      <c r="E192" s="383" t="s">
        <v>4629</v>
      </c>
      <c r="F192" s="383" t="str">
        <f t="shared" si="2"/>
        <v>+84914916788</v>
      </c>
    </row>
    <row r="193" ht="15.75" customHeight="1">
      <c r="B193" s="409" t="s">
        <v>4716</v>
      </c>
      <c r="D193" s="383" t="str">
        <f t="shared" si="1"/>
        <v>979413317</v>
      </c>
      <c r="E193" s="383" t="s">
        <v>4629</v>
      </c>
      <c r="F193" s="383" t="str">
        <f t="shared" si="2"/>
        <v>+84979413317</v>
      </c>
    </row>
    <row r="194" ht="15.75" customHeight="1">
      <c r="B194" s="409" t="s">
        <v>4717</v>
      </c>
      <c r="D194" s="383" t="str">
        <f t="shared" si="1"/>
        <v>905860155</v>
      </c>
      <c r="E194" s="383" t="s">
        <v>4629</v>
      </c>
      <c r="F194" s="383" t="str">
        <f t="shared" si="2"/>
        <v>+84905860155</v>
      </c>
    </row>
    <row r="195" ht="15.75" customHeight="1">
      <c r="B195" s="409" t="s">
        <v>4651</v>
      </c>
      <c r="D195" s="383" t="str">
        <f t="shared" si="1"/>
        <v>983099895</v>
      </c>
      <c r="E195" s="383" t="s">
        <v>4629</v>
      </c>
      <c r="F195" s="383" t="str">
        <f t="shared" si="2"/>
        <v>+84983099895</v>
      </c>
    </row>
    <row r="196" ht="15.75" customHeight="1">
      <c r="B196" s="409" t="s">
        <v>3397</v>
      </c>
      <c r="D196" s="383" t="str">
        <f t="shared" si="1"/>
        <v>963514516</v>
      </c>
      <c r="E196" s="383" t="s">
        <v>4629</v>
      </c>
      <c r="F196" s="383" t="str">
        <f t="shared" si="2"/>
        <v>+84963514516</v>
      </c>
    </row>
    <row r="197" ht="15.75" customHeight="1">
      <c r="B197" s="409" t="s">
        <v>4718</v>
      </c>
      <c r="D197" s="383" t="str">
        <f t="shared" si="1"/>
        <v>982558094</v>
      </c>
      <c r="E197" s="383" t="s">
        <v>4629</v>
      </c>
      <c r="F197" s="383" t="str">
        <f t="shared" si="2"/>
        <v>+84982558094</v>
      </c>
    </row>
    <row r="198" ht="15.75" customHeight="1">
      <c r="B198" s="409" t="s">
        <v>80</v>
      </c>
      <c r="D198" s="383" t="str">
        <f t="shared" si="1"/>
        <v>358481123</v>
      </c>
      <c r="E198" s="383" t="s">
        <v>4629</v>
      </c>
      <c r="F198" s="383" t="str">
        <f t="shared" si="2"/>
        <v>+84358481123</v>
      </c>
    </row>
    <row r="199" ht="15.75" customHeight="1">
      <c r="B199" s="409" t="s">
        <v>4663</v>
      </c>
      <c r="D199" s="383" t="str">
        <f t="shared" si="1"/>
        <v>905865866</v>
      </c>
      <c r="E199" s="383" t="s">
        <v>4629</v>
      </c>
      <c r="F199" s="383" t="str">
        <f t="shared" si="2"/>
        <v>+84905865866</v>
      </c>
    </row>
    <row r="200" ht="15.75" customHeight="1">
      <c r="B200" s="409">
        <v>9.87656009E8</v>
      </c>
      <c r="D200" s="383" t="str">
        <f t="shared" si="1"/>
        <v>987656009</v>
      </c>
      <c r="E200" s="383" t="s">
        <v>4629</v>
      </c>
      <c r="F200" s="383" t="str">
        <f t="shared" si="2"/>
        <v>+84987656009</v>
      </c>
    </row>
    <row r="201" ht="15.75" customHeight="1">
      <c r="B201" s="409" t="s">
        <v>4719</v>
      </c>
      <c r="D201" s="383" t="str">
        <f t="shared" si="1"/>
        <v>914649977</v>
      </c>
      <c r="E201" s="383" t="s">
        <v>4629</v>
      </c>
      <c r="F201" s="383" t="str">
        <f t="shared" si="2"/>
        <v>+84914649977</v>
      </c>
    </row>
    <row r="202" ht="15.75" customHeight="1">
      <c r="B202" s="409" t="s">
        <v>4720</v>
      </c>
      <c r="C202" s="383"/>
      <c r="D202" s="383" t="str">
        <f t="shared" si="1"/>
        <v>905494799</v>
      </c>
      <c r="E202" s="383" t="s">
        <v>4629</v>
      </c>
      <c r="F202" s="383" t="str">
        <f t="shared" si="2"/>
        <v>+84905494799</v>
      </c>
    </row>
    <row r="203" ht="15.75" customHeight="1">
      <c r="B203" s="409" t="s">
        <v>3642</v>
      </c>
      <c r="C203" s="383"/>
      <c r="D203" s="383" t="str">
        <f t="shared" si="1"/>
        <v>943473252</v>
      </c>
      <c r="E203" s="383" t="s">
        <v>4629</v>
      </c>
      <c r="F203" s="383" t="str">
        <f t="shared" si="2"/>
        <v>+84943473252</v>
      </c>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5.38"/>
    <col customWidth="1" min="3" max="6" width="19.0"/>
    <col customWidth="1" min="7" max="7" width="18.25"/>
    <col customWidth="1" min="8" max="8" width="16.88"/>
    <col customWidth="1" min="19" max="20" width="7.0"/>
  </cols>
  <sheetData>
    <row r="1" ht="15.75" customHeight="1">
      <c r="A1" s="357" t="s">
        <v>289</v>
      </c>
      <c r="J1" s="358" t="s">
        <v>4611</v>
      </c>
      <c r="R1" s="358"/>
      <c r="U1" s="358" t="s">
        <v>4612</v>
      </c>
    </row>
    <row r="2" ht="15.75" customHeight="1">
      <c r="A2" s="359" t="s">
        <v>4613</v>
      </c>
      <c r="B2" s="360" t="s">
        <v>4614</v>
      </c>
      <c r="C2" s="235"/>
      <c r="D2" s="235"/>
      <c r="E2" s="235"/>
      <c r="F2" s="236"/>
      <c r="G2" s="359" t="s">
        <v>4615</v>
      </c>
      <c r="J2" s="361" t="s">
        <v>4613</v>
      </c>
      <c r="K2" s="363" t="s">
        <v>4616</v>
      </c>
      <c r="L2" s="235"/>
      <c r="M2" s="235"/>
      <c r="N2" s="235"/>
      <c r="O2" s="235"/>
      <c r="P2" s="235"/>
      <c r="Q2" s="236"/>
      <c r="R2" s="364"/>
      <c r="U2" s="361" t="s">
        <v>4613</v>
      </c>
      <c r="V2" s="363" t="s">
        <v>4616</v>
      </c>
      <c r="W2" s="235"/>
      <c r="X2" s="235"/>
      <c r="Y2" s="235"/>
      <c r="Z2" s="235"/>
      <c r="AA2" s="235"/>
      <c r="AB2" s="235"/>
      <c r="AC2" s="236"/>
      <c r="AF2" s="358" t="s">
        <v>4617</v>
      </c>
    </row>
    <row r="3" ht="15.75" customHeight="1">
      <c r="A3" s="11"/>
      <c r="B3" s="365" t="s">
        <v>412</v>
      </c>
      <c r="C3" s="365" t="s">
        <v>66</v>
      </c>
      <c r="D3" s="365" t="s">
        <v>48</v>
      </c>
      <c r="E3" s="365" t="s">
        <v>111</v>
      </c>
      <c r="F3" s="365" t="s">
        <v>4618</v>
      </c>
      <c r="G3" s="11"/>
      <c r="J3" s="11"/>
      <c r="K3" s="366" t="s">
        <v>4620</v>
      </c>
      <c r="L3" s="367" t="s">
        <v>4621</v>
      </c>
      <c r="M3" s="368" t="s">
        <v>73</v>
      </c>
      <c r="N3" s="369" t="s">
        <v>201</v>
      </c>
      <c r="O3" s="370" t="s">
        <v>84</v>
      </c>
      <c r="P3" s="371" t="s">
        <v>60</v>
      </c>
      <c r="Q3" s="371" t="s">
        <v>703</v>
      </c>
      <c r="R3" s="371" t="s">
        <v>539</v>
      </c>
      <c r="U3" s="11"/>
      <c r="V3" s="366" t="s">
        <v>4620</v>
      </c>
      <c r="W3" s="367" t="s">
        <v>4621</v>
      </c>
      <c r="X3" s="368" t="s">
        <v>73</v>
      </c>
      <c r="Y3" s="369" t="s">
        <v>201</v>
      </c>
      <c r="Z3" s="370" t="s">
        <v>84</v>
      </c>
      <c r="AA3" s="371" t="s">
        <v>60</v>
      </c>
      <c r="AB3" s="371" t="s">
        <v>539</v>
      </c>
      <c r="AC3" s="371" t="s">
        <v>703</v>
      </c>
      <c r="AF3" s="361" t="s">
        <v>4613</v>
      </c>
      <c r="AG3" s="363" t="s">
        <v>4616</v>
      </c>
      <c r="AH3" s="235"/>
      <c r="AI3" s="235"/>
      <c r="AJ3" s="235"/>
      <c r="AK3" s="235"/>
      <c r="AL3" s="235"/>
      <c r="AM3" s="235"/>
      <c r="AN3" s="236"/>
    </row>
    <row r="4" ht="15.75" customHeight="1">
      <c r="A4" s="372">
        <v>45231.0</v>
      </c>
      <c r="B4" s="373">
        <f>sumifs('KIDS&amp;ADULTS'!$Z$3:$Z$1015,'KIDS&amp;ADULTS'!$V$3:$V$1015,A4,'KIDS&amp;ADULTS'!$M$3:$M$1015,$B$3)</f>
        <v>0</v>
      </c>
      <c r="C4" s="373">
        <f>sumifs('KIDS&amp;ADULTS'!$Z$3:$Z$1015,'KIDS&amp;ADULTS'!$V$3:$V$1015,A4,'KIDS&amp;ADULTS'!$M$3:$M$1015,"phương")</f>
        <v>0</v>
      </c>
      <c r="D4" s="373">
        <f>sumifs('KIDS&amp;ADULTS'!$Z$3:$Z$1015,'KIDS&amp;ADULTS'!$V$3:$V$1015,A4,'KIDS&amp;ADULTS'!$M$3:$M$1015,$D$3)</f>
        <v>0</v>
      </c>
      <c r="E4" s="373">
        <f>sumifs('KIDS&amp;ADULTS'!$Z$3:$Z$1015,'KIDS&amp;ADULTS'!$V$3:$V$1015,A4,'KIDS&amp;ADULTS'!$M$3:$M$1015,"Ánh")</f>
        <v>0</v>
      </c>
      <c r="F4" s="373">
        <f>sumifs('KIDS&amp;ADULTS'!$Z$3:$Z$1015,'KIDS&amp;ADULTS'!$V$3:$V$1015,A4,'KIDS&amp;ADULTS'!$M$3:$M$1015,"Loan")</f>
        <v>0</v>
      </c>
      <c r="G4" s="373">
        <f t="shared" ref="G4:G33" si="1">sum(B4:F4)</f>
        <v>0</v>
      </c>
      <c r="J4" s="372">
        <v>45231.0</v>
      </c>
      <c r="K4" s="374">
        <f>COUNTIFS('KIDS&amp;ADULTS'!$A$3:$A$12008,J4,'KIDS&amp;ADULTS'!$B$3:$B$12008,$K$3)</f>
        <v>0</v>
      </c>
      <c r="L4" s="374">
        <f>COUNTIFS('KIDS&amp;ADULTS'!$A$3:$A$12008,J4,'KIDS&amp;ADULTS'!$B$3:$B$12008,$L$3)</f>
        <v>0</v>
      </c>
      <c r="M4" s="374">
        <f>COUNTIFS('KIDS&amp;ADULTS'!$A$3:$A$12008,J4,'KIDS&amp;ADULTS'!$B$3:$B$12008,$M$3)</f>
        <v>0</v>
      </c>
      <c r="N4" s="375">
        <f>COUNTIFS('KIDS&amp;ADULTS'!$A$3:$A$12008,J4,'KIDS&amp;ADULTS'!$B$3:$B$12008,$N$3)</f>
        <v>2</v>
      </c>
      <c r="O4" s="375">
        <f>COUNTIFS('KIDS&amp;ADULTS'!$A$3:$A$12008,J4,'KIDS&amp;ADULTS'!$B$3:$B$12008,$O$3)</f>
        <v>0</v>
      </c>
      <c r="P4" s="375">
        <f>COUNTIFS('KIDS&amp;ADULTS'!$A$3:$A$12008,J4,'KIDS&amp;ADULTS'!$B$3:$B$12008,$P$3)</f>
        <v>0</v>
      </c>
      <c r="Q4" s="375">
        <f>COUNTIFS('KIDS&amp;ADULTS'!$A$3:$A$1008,J4,'KIDS&amp;ADULTS'!$B$3:$B$1008,$Q$3)</f>
        <v>0</v>
      </c>
      <c r="R4" s="374">
        <f>COUNTIFS('KIDS&amp;ADULTS'!$A$3:$A$12008,J4,'KIDS&amp;ADULTS'!$B$3:$B$12008,$R$3)</f>
        <v>0</v>
      </c>
      <c r="U4" s="372">
        <v>45231.0</v>
      </c>
      <c r="V4" s="376">
        <f>COUNTIFS('KIDS&amp;ADULTS'!$V$3:$V$12006,U4,'KIDS&amp;ADULTS'!$B$3:$B$12006,$K$3,'KIDS&amp;ADULTS'!$N$3:$N$12006,"Đã đóng học phí")</f>
        <v>0</v>
      </c>
      <c r="W4" s="376">
        <f>COUNTIFS('KIDS&amp;ADULTS'!$V$3:$V$12006,U4,'KIDS&amp;ADULTS'!$B$3:$B12006,$W$3,'KIDS&amp;ADULTS'!$N$3:$N$12006,"Đã đóng học phí")</f>
        <v>0</v>
      </c>
      <c r="X4" s="376">
        <f>COUNTIFS('KIDS&amp;ADULTS'!$V$3:$V$12006,U4,'KIDS&amp;ADULTS'!$B$3:$B$12006,$X$3,'KIDS&amp;ADULTS'!$N$3:$N$12006,"Đã đóng học phí")</f>
        <v>0</v>
      </c>
      <c r="Y4" s="376">
        <f>COUNTIFS('KIDS&amp;ADULTS'!$V$3:$V$12006,U4,'KIDS&amp;ADULTS'!$B$3:$B$12006,$Y$3,'KIDS&amp;ADULTS'!$N$3:$N$12006,"Đã đóng học phí")</f>
        <v>0</v>
      </c>
      <c r="Z4" s="376">
        <f>COUNTIFS('KIDS&amp;ADULTS'!$V$3:$V$12006,U4,'KIDS&amp;ADULTS'!$B$3:$B$12006,$Z$3,'KIDS&amp;ADULTS'!$N$3:$N$12006,"Đã đóng học phí")</f>
        <v>0</v>
      </c>
      <c r="AA4" s="376">
        <f>COUNTIFS('KIDS&amp;ADULTS'!$V$3:$V$12006,U4,'KIDS&amp;ADULTS'!$B$3:$B$12006,$AA$3,'KIDS&amp;ADULTS'!$N$3:$N$12006,"Đã đóng học phí")</f>
        <v>0</v>
      </c>
      <c r="AB4" s="376">
        <f>COUNTIFS('KIDS&amp;ADULTS'!$V$3:$V$12006,U4,'KIDS&amp;ADULTS'!$B$3:$B$12006,$AB$3,'KIDS&amp;ADULTS'!$N$3:$N$12006,"Đã đóng học phí")</f>
        <v>0</v>
      </c>
      <c r="AC4" s="376">
        <f>COUNTIFS('KIDS&amp;ADULTS'!$V$3:$V$12006,U4,'KIDS&amp;ADULTS'!$B$3:$B$12006,$AC$3,'KIDS&amp;ADULTS'!$N$3:$N$12006,"Đã đóng học phí")</f>
        <v>0</v>
      </c>
      <c r="AF4" s="11"/>
      <c r="AG4" s="366" t="s">
        <v>4620</v>
      </c>
      <c r="AH4" s="367" t="s">
        <v>4621</v>
      </c>
      <c r="AI4" s="377" t="s">
        <v>73</v>
      </c>
      <c r="AJ4" s="378" t="s">
        <v>201</v>
      </c>
      <c r="AK4" s="379" t="s">
        <v>84</v>
      </c>
      <c r="AL4" s="380" t="s">
        <v>60</v>
      </c>
      <c r="AM4" s="371" t="s">
        <v>539</v>
      </c>
      <c r="AN4" s="380" t="s">
        <v>703</v>
      </c>
    </row>
    <row r="5" ht="15.75" customHeight="1">
      <c r="A5" s="372">
        <v>45232.0</v>
      </c>
      <c r="B5" s="373">
        <f>sumifs('KIDS&amp;ADULTS'!$Z$3:$Z$1015,'KIDS&amp;ADULTS'!$V$3:$V$1015,A5,'KIDS&amp;ADULTS'!$M$3:$M$1015,$B$3)</f>
        <v>0</v>
      </c>
      <c r="C5" s="373">
        <f>sumifs('KIDS&amp;ADULTS'!$Z$3:$Z$1015,'KIDS&amp;ADULTS'!$V$3:$V$1015,A5,'KIDS&amp;ADULTS'!$M$3:$M$1015,"phương")</f>
        <v>0</v>
      </c>
      <c r="D5" s="373">
        <f>sumifs('KIDS&amp;ADULTS'!$Z$3:$Z$1015,'KIDS&amp;ADULTS'!$V$3:$V$1015,A5,'KIDS&amp;ADULTS'!$M$3:$M$1015,$D$3)</f>
        <v>0</v>
      </c>
      <c r="E5" s="373">
        <f>sumifs('KIDS&amp;ADULTS'!$Z$3:$Z$1015,'KIDS&amp;ADULTS'!$V$3:$V$1015,A5,'KIDS&amp;ADULTS'!$M$3:$M$1015,"Ánh")</f>
        <v>0</v>
      </c>
      <c r="F5" s="373">
        <f>sumifs('KIDS&amp;ADULTS'!$Z$3:$Z$1015,'KIDS&amp;ADULTS'!$V$3:$V$1015,A5,'KIDS&amp;ADULTS'!$M$3:$M$1015,"Loan")</f>
        <v>0</v>
      </c>
      <c r="G5" s="373">
        <f t="shared" si="1"/>
        <v>0</v>
      </c>
      <c r="J5" s="372">
        <v>45232.0</v>
      </c>
      <c r="K5" s="374">
        <f>COUNTIFS('KIDS&amp;ADULTS'!$A$3:$A$12008,J5,'KIDS&amp;ADULTS'!$B$3:$B$12008,$K$3)</f>
        <v>0</v>
      </c>
      <c r="L5" s="374">
        <f>COUNTIFS('KIDS&amp;ADULTS'!$A$3:$A$12008,J5,'KIDS&amp;ADULTS'!$B$3:$B$12008,$L$3)</f>
        <v>0</v>
      </c>
      <c r="M5" s="374">
        <f>COUNTIFS('KIDS&amp;ADULTS'!$A$3:$A$12008,J5,'KIDS&amp;ADULTS'!$B$3:$B$12008,$M$3)</f>
        <v>0</v>
      </c>
      <c r="N5" s="375">
        <f>COUNTIFS('KIDS&amp;ADULTS'!$A$3:$A$12008,J5,'KIDS&amp;ADULTS'!$B$3:$B$12008,$N$3)</f>
        <v>0</v>
      </c>
      <c r="O5" s="375">
        <f>COUNTIFS('KIDS&amp;ADULTS'!$A$3:$A$12008,J5,'KIDS&amp;ADULTS'!$B$3:$B$12008,$O$3)</f>
        <v>0</v>
      </c>
      <c r="P5" s="375">
        <f>COUNTIFS('KIDS&amp;ADULTS'!$A$3:$A$12008,J5,'KIDS&amp;ADULTS'!$B$3:$B$12008,$P$3)</f>
        <v>0</v>
      </c>
      <c r="Q5" s="375">
        <f>COUNTIFS('KIDS&amp;ADULTS'!$A$3:$A$1008,J5,'KIDS&amp;ADULTS'!$B$3:$B$1008,$Q$3)</f>
        <v>0</v>
      </c>
      <c r="R5" s="374">
        <f>COUNTIFS('KIDS&amp;ADULTS'!$A$3:$A$12008,J5,'KIDS&amp;ADULTS'!$B$3:$B$12008,$R$3)</f>
        <v>0</v>
      </c>
      <c r="U5" s="372">
        <v>45232.0</v>
      </c>
      <c r="V5" s="376">
        <f>COUNTIFS('KIDS&amp;ADULTS'!$V$3:$V$12006,U5,'KIDS&amp;ADULTS'!$B$3:$B$12006,$K$3,'KIDS&amp;ADULTS'!$N$3:$N$12006,"Đã đóng học phí")</f>
        <v>0</v>
      </c>
      <c r="W5" s="376">
        <f>COUNTIFS('KIDS&amp;ADULTS'!$V$3:$V$12006,U5,'KIDS&amp;ADULTS'!$B$3:$B12007,$W$3,'KIDS&amp;ADULTS'!$N$3:$N$12006,"Đã đóng học phí")</f>
        <v>0</v>
      </c>
      <c r="X5" s="376">
        <f>COUNTIFS('KIDS&amp;ADULTS'!$V$3:$V$12006,U5,'KIDS&amp;ADULTS'!$B$3:$B$12006,$X$3,'KIDS&amp;ADULTS'!$N$3:$N$12006,"Đã đóng học phí")</f>
        <v>0</v>
      </c>
      <c r="Y5" s="376">
        <f>COUNTIFS('KIDS&amp;ADULTS'!$V$3:$V$12006,U5,'KIDS&amp;ADULTS'!$B$3:$B$12006,$Y$3,'KIDS&amp;ADULTS'!$N$3:$N$12006,"Đã đóng học phí")</f>
        <v>0</v>
      </c>
      <c r="Z5" s="376">
        <f>COUNTIFS('KIDS&amp;ADULTS'!$V$3:$V$12006,U5,'KIDS&amp;ADULTS'!$B$3:$B$12006,$Z$3,'KIDS&amp;ADULTS'!$N$3:$N$12006,"Đã đóng học phí")</f>
        <v>0</v>
      </c>
      <c r="AA5" s="376">
        <f>COUNTIFS('KIDS&amp;ADULTS'!$V$3:$V$12006,U5,'KIDS&amp;ADULTS'!$B$3:$B$12006,$AA$3,'KIDS&amp;ADULTS'!$N$3:$N$12006,"Đã đóng học phí")</f>
        <v>0</v>
      </c>
      <c r="AB5" s="376">
        <f>COUNTIFS('KIDS&amp;ADULTS'!$V$3:$V$12006,U5,'KIDS&amp;ADULTS'!$B$3:$B$12006,$AB$3,'KIDS&amp;ADULTS'!$N$3:$N$12006,"Đã đóng học phí")</f>
        <v>0</v>
      </c>
      <c r="AC5" s="376">
        <f>COUNTIFS('KIDS&amp;ADULTS'!$V$3:$V$12006,U5,'KIDS&amp;ADULTS'!$B$3:$B$12006,$AC$3,'KIDS&amp;ADULTS'!$N$3:$N$12006,"Đã đóng học phí")</f>
        <v>0</v>
      </c>
      <c r="AF5" s="381" t="s">
        <v>4622</v>
      </c>
      <c r="AG5" s="381">
        <f t="shared" ref="AG5:AN5" si="2">V34</f>
        <v>0</v>
      </c>
      <c r="AH5" s="381">
        <f t="shared" si="2"/>
        <v>0</v>
      </c>
      <c r="AI5" s="381">
        <f t="shared" si="2"/>
        <v>0</v>
      </c>
      <c r="AJ5" s="381">
        <f t="shared" si="2"/>
        <v>1</v>
      </c>
      <c r="AK5" s="381">
        <f t="shared" si="2"/>
        <v>1</v>
      </c>
      <c r="AL5" s="381">
        <f t="shared" si="2"/>
        <v>0</v>
      </c>
      <c r="AM5" s="381">
        <f t="shared" si="2"/>
        <v>0</v>
      </c>
      <c r="AN5" s="381">
        <f t="shared" si="2"/>
        <v>0</v>
      </c>
    </row>
    <row r="6" ht="15.75" customHeight="1">
      <c r="A6" s="372">
        <v>45233.0</v>
      </c>
      <c r="B6" s="373">
        <f>sumifs('KIDS&amp;ADULTS'!$Z$3:$Z$1015,'KIDS&amp;ADULTS'!$V$3:$V$1015,A6,'KIDS&amp;ADULTS'!$M$3:$M$1015,$B$3)</f>
        <v>0</v>
      </c>
      <c r="C6" s="373">
        <f>sumifs('KIDS&amp;ADULTS'!$Z$3:$Z$1015,'KIDS&amp;ADULTS'!$V$3:$V$1015,A6,'KIDS&amp;ADULTS'!$M$3:$M$1015,"phương")</f>
        <v>0</v>
      </c>
      <c r="D6" s="373">
        <f>sumifs('KIDS&amp;ADULTS'!$Z$3:$Z$1015,'KIDS&amp;ADULTS'!$V$3:$V$1015,A6,'KIDS&amp;ADULTS'!$M$3:$M$1015,$D$3)</f>
        <v>0</v>
      </c>
      <c r="E6" s="373">
        <f>sumifs('KIDS&amp;ADULTS'!$Z$3:$Z$1015,'KIDS&amp;ADULTS'!$V$3:$V$1015,A6,'KIDS&amp;ADULTS'!$M$3:$M$1015,"Ánh")</f>
        <v>0</v>
      </c>
      <c r="F6" s="373">
        <f>sumifs('KIDS&amp;ADULTS'!$Z$3:$Z$1015,'KIDS&amp;ADULTS'!$V$3:$V$1015,A6,'KIDS&amp;ADULTS'!$M$3:$M$1015,"Loan")</f>
        <v>0</v>
      </c>
      <c r="G6" s="373">
        <f t="shared" si="1"/>
        <v>0</v>
      </c>
      <c r="J6" s="372">
        <v>45233.0</v>
      </c>
      <c r="K6" s="374">
        <f>COUNTIFS('KIDS&amp;ADULTS'!$A$3:$A$12008,J6,'KIDS&amp;ADULTS'!$B$3:$B$12008,$K$3)</f>
        <v>0</v>
      </c>
      <c r="L6" s="374">
        <f>COUNTIFS('KIDS&amp;ADULTS'!$A$3:$A$12008,J6,'KIDS&amp;ADULTS'!$B$3:$B$12008,$L$3)</f>
        <v>0</v>
      </c>
      <c r="M6" s="374">
        <f>COUNTIFS('KIDS&amp;ADULTS'!$A$3:$A$12008,J6,'KIDS&amp;ADULTS'!$B$3:$B$12008,$M$3)</f>
        <v>0</v>
      </c>
      <c r="N6" s="375">
        <f>COUNTIFS('KIDS&amp;ADULTS'!$A$3:$A$12008,J6,'KIDS&amp;ADULTS'!$B$3:$B$12008,$N$3)</f>
        <v>0</v>
      </c>
      <c r="O6" s="375">
        <f>COUNTIFS('KIDS&amp;ADULTS'!$A$3:$A$12008,J6,'KIDS&amp;ADULTS'!$B$3:$B$12008,$O$3)</f>
        <v>0</v>
      </c>
      <c r="P6" s="375">
        <f>COUNTIFS('KIDS&amp;ADULTS'!$A$3:$A$12008,J6,'KIDS&amp;ADULTS'!$B$3:$B$12008,$P$3)</f>
        <v>0</v>
      </c>
      <c r="Q6" s="375">
        <f>COUNTIFS('KIDS&amp;ADULTS'!$A$3:$A$1008,J6,'KIDS&amp;ADULTS'!$B$3:$B$1008,$Q$3)</f>
        <v>0</v>
      </c>
      <c r="R6" s="374">
        <f>COUNTIFS('KIDS&amp;ADULTS'!$A$3:$A$12008,J6,'KIDS&amp;ADULTS'!$B$3:$B$12008,$R$3)</f>
        <v>0</v>
      </c>
      <c r="U6" s="372">
        <v>45233.0</v>
      </c>
      <c r="V6" s="376">
        <f>COUNTIFS('KIDS&amp;ADULTS'!$V$3:$V$12006,U6,'KIDS&amp;ADULTS'!$B$3:$B$12006,$K$3,'KIDS&amp;ADULTS'!$N$3:$N$12006,"Đã đóng học phí")</f>
        <v>0</v>
      </c>
      <c r="W6" s="376">
        <f>COUNTIFS('KIDS&amp;ADULTS'!$V$3:$V$12006,U6,'KIDS&amp;ADULTS'!$B$3:$B12008,$W$3,'KIDS&amp;ADULTS'!$N$3:$N$12006,"Đã đóng học phí")</f>
        <v>0</v>
      </c>
      <c r="X6" s="376">
        <f>COUNTIFS('KIDS&amp;ADULTS'!$V$3:$V$12006,U6,'KIDS&amp;ADULTS'!$B$3:$B$12006,$X$3,'KIDS&amp;ADULTS'!$N$3:$N$12006,"Đã đóng học phí")</f>
        <v>0</v>
      </c>
      <c r="Y6" s="376">
        <f>COUNTIFS('KIDS&amp;ADULTS'!$V$3:$V$12006,U6,'KIDS&amp;ADULTS'!$B$3:$B$12006,$Y$3,'KIDS&amp;ADULTS'!$N$3:$N$12006,"Đã đóng học phí")</f>
        <v>0</v>
      </c>
      <c r="Z6" s="376">
        <f>COUNTIFS('KIDS&amp;ADULTS'!$V$3:$V$12006,U6,'KIDS&amp;ADULTS'!$B$3:$B$12006,$Z$3,'KIDS&amp;ADULTS'!$N$3:$N$12006,"Đã đóng học phí")</f>
        <v>0</v>
      </c>
      <c r="AA6" s="376">
        <f>COUNTIFS('KIDS&amp;ADULTS'!$V$3:$V$12006,U6,'KIDS&amp;ADULTS'!$B$3:$B$12006,$AA$3,'KIDS&amp;ADULTS'!$N$3:$N$12006,"Đã đóng học phí")</f>
        <v>0</v>
      </c>
      <c r="AB6" s="376">
        <f>COUNTIFS('KIDS&amp;ADULTS'!$V$3:$V$12006,U6,'KIDS&amp;ADULTS'!$B$3:$B$12006,$AB$3,'KIDS&amp;ADULTS'!$N$3:$N$12006,"Đã đóng học phí")</f>
        <v>0</v>
      </c>
      <c r="AC6" s="376">
        <f>COUNTIFS('KIDS&amp;ADULTS'!$V$3:$V$12006,U6,'KIDS&amp;ADULTS'!$B$3:$B$12006,$AC$3,'KIDS&amp;ADULTS'!$N$3:$N$12006,"Đã đóng học phí")</f>
        <v>0</v>
      </c>
    </row>
    <row r="7" ht="15.75" customHeight="1">
      <c r="A7" s="372">
        <v>45234.0</v>
      </c>
      <c r="B7" s="373">
        <f>sumifs('KIDS&amp;ADULTS'!$Z$3:$Z$1015,'KIDS&amp;ADULTS'!$V$3:$V$1015,A7,'KIDS&amp;ADULTS'!$M$3:$M$1015,$B$3)</f>
        <v>0</v>
      </c>
      <c r="C7" s="373">
        <f>sumifs('KIDS&amp;ADULTS'!$Z$3:$Z$1015,'KIDS&amp;ADULTS'!$V$3:$V$1015,A7,'KIDS&amp;ADULTS'!$M$3:$M$1015,"phương")</f>
        <v>0</v>
      </c>
      <c r="D7" s="373">
        <f>sumifs('KIDS&amp;ADULTS'!$Z$3:$Z$1015,'KIDS&amp;ADULTS'!$V$3:$V$1015,A7,'KIDS&amp;ADULTS'!$M$3:$M$1015,$D$3)</f>
        <v>0</v>
      </c>
      <c r="E7" s="373">
        <f>sumifs('KIDS&amp;ADULTS'!$Z$3:$Z$1015,'KIDS&amp;ADULTS'!$V$3:$V$1015,A7,'KIDS&amp;ADULTS'!$M$3:$M$1015,"Ánh")</f>
        <v>0</v>
      </c>
      <c r="F7" s="373">
        <f>sumifs('KIDS&amp;ADULTS'!$Z$3:$Z$1015,'KIDS&amp;ADULTS'!$V$3:$V$1015,A7,'KIDS&amp;ADULTS'!$M$3:$M$1015,"Loan")</f>
        <v>0</v>
      </c>
      <c r="G7" s="373">
        <f t="shared" si="1"/>
        <v>0</v>
      </c>
      <c r="J7" s="372">
        <v>45234.0</v>
      </c>
      <c r="K7" s="374">
        <f>COUNTIFS('KIDS&amp;ADULTS'!$A$3:$A$12008,J7,'KIDS&amp;ADULTS'!$B$3:$B$12008,$K$3)</f>
        <v>0</v>
      </c>
      <c r="L7" s="374">
        <f>COUNTIFS('KIDS&amp;ADULTS'!$A$3:$A$12008,J7,'KIDS&amp;ADULTS'!$B$3:$B$12008,$L$3)</f>
        <v>0</v>
      </c>
      <c r="M7" s="374">
        <f>COUNTIFS('KIDS&amp;ADULTS'!$A$3:$A$12008,J7,'KIDS&amp;ADULTS'!$B$3:$B$12008,$M$3)</f>
        <v>0</v>
      </c>
      <c r="N7" s="375">
        <f>COUNTIFS('KIDS&amp;ADULTS'!$A$3:$A$12008,J7,'KIDS&amp;ADULTS'!$B$3:$B$12008,$N$3)</f>
        <v>0</v>
      </c>
      <c r="O7" s="375">
        <f>COUNTIFS('KIDS&amp;ADULTS'!$A$3:$A$12008,J7,'KIDS&amp;ADULTS'!$B$3:$B$12008,$O$3)</f>
        <v>0</v>
      </c>
      <c r="P7" s="375">
        <f>COUNTIFS('KIDS&amp;ADULTS'!$A$3:$A$12008,J7,'KIDS&amp;ADULTS'!$B$3:$B$12008,$P$3)</f>
        <v>0</v>
      </c>
      <c r="Q7" s="375">
        <f>COUNTIFS('KIDS&amp;ADULTS'!$A$3:$A$1008,J7,'KIDS&amp;ADULTS'!$B$3:$B$1008,$Q$3)</f>
        <v>0</v>
      </c>
      <c r="R7" s="374">
        <f>COUNTIFS('KIDS&amp;ADULTS'!$A$3:$A$12008,J7,'KIDS&amp;ADULTS'!$B$3:$B$12008,$R$3)</f>
        <v>0</v>
      </c>
      <c r="U7" s="372">
        <v>45234.0</v>
      </c>
      <c r="V7" s="376">
        <f>COUNTIFS('KIDS&amp;ADULTS'!$V$3:$V$12006,U7,'KIDS&amp;ADULTS'!$B$3:$B$12006,$K$3,'KIDS&amp;ADULTS'!$N$3:$N$12006,"Đã đóng học phí")</f>
        <v>0</v>
      </c>
      <c r="W7" s="376">
        <f>COUNTIFS('KIDS&amp;ADULTS'!$V$3:$V$12006,U7,'KIDS&amp;ADULTS'!$B$3:$B12009,$W$3,'KIDS&amp;ADULTS'!$N$3:$N$12006,"Đã đóng học phí")</f>
        <v>0</v>
      </c>
      <c r="X7" s="376">
        <f>COUNTIFS('KIDS&amp;ADULTS'!$V$3:$V$12006,U7,'KIDS&amp;ADULTS'!$B$3:$B$12006,$X$3,'KIDS&amp;ADULTS'!$N$3:$N$12006,"Đã đóng học phí")</f>
        <v>0</v>
      </c>
      <c r="Y7" s="376">
        <f>COUNTIFS('KIDS&amp;ADULTS'!$V$3:$V$12006,U7,'KIDS&amp;ADULTS'!$B$3:$B$12006,$Y$3,'KIDS&amp;ADULTS'!$N$3:$N$12006,"Đã đóng học phí")</f>
        <v>0</v>
      </c>
      <c r="Z7" s="376">
        <f>COUNTIFS('KIDS&amp;ADULTS'!$V$3:$V$12006,U7,'KIDS&amp;ADULTS'!$B$3:$B$12006,$Z$3,'KIDS&amp;ADULTS'!$N$3:$N$12006,"Đã đóng học phí")</f>
        <v>0</v>
      </c>
      <c r="AA7" s="376">
        <f>COUNTIFS('KIDS&amp;ADULTS'!$V$3:$V$12006,U7,'KIDS&amp;ADULTS'!$B$3:$B$12006,$AA$3,'KIDS&amp;ADULTS'!$N$3:$N$12006,"Đã đóng học phí")</f>
        <v>0</v>
      </c>
      <c r="AB7" s="376">
        <f>COUNTIFS('KIDS&amp;ADULTS'!$V$3:$V$12006,U7,'KIDS&amp;ADULTS'!$B$3:$B$12006,$AB$3,'KIDS&amp;ADULTS'!$N$3:$N$12006,"Đã đóng học phí")</f>
        <v>0</v>
      </c>
      <c r="AC7" s="376">
        <f>COUNTIFS('KIDS&amp;ADULTS'!$V$3:$V$12006,U7,'KIDS&amp;ADULTS'!$B$3:$B$12006,$AC$3,'KIDS&amp;ADULTS'!$N$3:$N$12006,"Đã đóng học phí")</f>
        <v>0</v>
      </c>
      <c r="AF7" s="358" t="s">
        <v>4623</v>
      </c>
    </row>
    <row r="8" ht="15.75" customHeight="1">
      <c r="A8" s="372">
        <v>45235.0</v>
      </c>
      <c r="B8" s="373">
        <f>sumifs('KIDS&amp;ADULTS'!$Z$3:$Z$1015,'KIDS&amp;ADULTS'!$V$3:$V$1015,A8,'KIDS&amp;ADULTS'!$M$3:$M$1015,$B$3)</f>
        <v>0</v>
      </c>
      <c r="C8" s="373">
        <f>sumifs('KIDS&amp;ADULTS'!$Z$3:$Z$1015,'KIDS&amp;ADULTS'!$V$3:$V$1015,A8,'KIDS&amp;ADULTS'!$M$3:$M$1015,"phương")</f>
        <v>0</v>
      </c>
      <c r="D8" s="373">
        <f>sumifs('KIDS&amp;ADULTS'!$Z$3:$Z$1015,'KIDS&amp;ADULTS'!$V$3:$V$1015,A8,'KIDS&amp;ADULTS'!$M$3:$M$1015,$D$3)</f>
        <v>0</v>
      </c>
      <c r="E8" s="373">
        <f>sumifs('KIDS&amp;ADULTS'!$Z$3:$Z$1015,'KIDS&amp;ADULTS'!$V$3:$V$1015,A8,'KIDS&amp;ADULTS'!$M$3:$M$1015,"Ánh")</f>
        <v>0</v>
      </c>
      <c r="F8" s="373">
        <f>sumifs('KIDS&amp;ADULTS'!$Z$3:$Z$1015,'KIDS&amp;ADULTS'!$V$3:$V$1015,A8,'KIDS&amp;ADULTS'!$M$3:$M$1015,"Loan")</f>
        <v>0</v>
      </c>
      <c r="G8" s="373">
        <f t="shared" si="1"/>
        <v>0</v>
      </c>
      <c r="J8" s="372">
        <v>45235.0</v>
      </c>
      <c r="K8" s="374">
        <f>COUNTIFS('KIDS&amp;ADULTS'!$A$3:$A$12008,J8,'KIDS&amp;ADULTS'!$B$3:$B$12008,$K$3)</f>
        <v>0</v>
      </c>
      <c r="L8" s="374">
        <f>COUNTIFS('KIDS&amp;ADULTS'!$A$3:$A$12008,J8,'KIDS&amp;ADULTS'!$B$3:$B$12008,$L$3)</f>
        <v>0</v>
      </c>
      <c r="M8" s="374">
        <f>COUNTIFS('KIDS&amp;ADULTS'!$A$3:$A$12008,J8,'KIDS&amp;ADULTS'!$B$3:$B$12008,$M$3)</f>
        <v>0</v>
      </c>
      <c r="N8" s="375">
        <f>COUNTIFS('KIDS&amp;ADULTS'!$A$3:$A$12008,J8,'KIDS&amp;ADULTS'!$B$3:$B$12008,$N$3)</f>
        <v>0</v>
      </c>
      <c r="O8" s="375">
        <f>COUNTIFS('KIDS&amp;ADULTS'!$A$3:$A$12008,J8,'KIDS&amp;ADULTS'!$B$3:$B$12008,$O$3)</f>
        <v>0</v>
      </c>
      <c r="P8" s="375">
        <f>COUNTIFS('KIDS&amp;ADULTS'!$A$3:$A$12008,J8,'KIDS&amp;ADULTS'!$B$3:$B$12008,$P$3)</f>
        <v>0</v>
      </c>
      <c r="Q8" s="375">
        <f>COUNTIFS('KIDS&amp;ADULTS'!$A$3:$A$1008,J8,'KIDS&amp;ADULTS'!$B$3:$B$1008,$Q$3)</f>
        <v>0</v>
      </c>
      <c r="R8" s="374">
        <f>COUNTIFS('KIDS&amp;ADULTS'!$A$3:$A$12008,J8,'KIDS&amp;ADULTS'!$B$3:$B$12008,$R$3)</f>
        <v>0</v>
      </c>
      <c r="U8" s="372">
        <v>45235.0</v>
      </c>
      <c r="V8" s="376">
        <f>COUNTIFS('KIDS&amp;ADULTS'!$V$3:$V$12006,U8,'KIDS&amp;ADULTS'!$B$3:$B$12006,$K$3,'KIDS&amp;ADULTS'!$N$3:$N$12006,"Đã đóng học phí")</f>
        <v>0</v>
      </c>
      <c r="W8" s="376">
        <f>COUNTIFS('KIDS&amp;ADULTS'!$V$3:$V$12006,U8,'KIDS&amp;ADULTS'!$B$3:$B12010,$W$3,'KIDS&amp;ADULTS'!$N$3:$N$12006,"Đã đóng học phí")</f>
        <v>0</v>
      </c>
      <c r="X8" s="376">
        <f>COUNTIFS('KIDS&amp;ADULTS'!$V$3:$V$12006,U8,'KIDS&amp;ADULTS'!$B$3:$B$12006,$X$3,'KIDS&amp;ADULTS'!$N$3:$N$12006,"Đã đóng học phí")</f>
        <v>0</v>
      </c>
      <c r="Y8" s="376">
        <f>COUNTIFS('KIDS&amp;ADULTS'!$V$3:$V$12006,U8,'KIDS&amp;ADULTS'!$B$3:$B$12006,$Y$3,'KIDS&amp;ADULTS'!$N$3:$N$12006,"Đã đóng học phí")</f>
        <v>0</v>
      </c>
      <c r="Z8" s="376">
        <f>COUNTIFS('KIDS&amp;ADULTS'!$V$3:$V$12006,U8,'KIDS&amp;ADULTS'!$B$3:$B$12006,$Z$3,'KIDS&amp;ADULTS'!$N$3:$N$12006,"Đã đóng học phí")</f>
        <v>0</v>
      </c>
      <c r="AA8" s="376">
        <f>COUNTIFS('KIDS&amp;ADULTS'!$V$3:$V$12006,U8,'KIDS&amp;ADULTS'!$B$3:$B$12006,$AA$3,'KIDS&amp;ADULTS'!$N$3:$N$12006,"Đã đóng học phí")</f>
        <v>0</v>
      </c>
      <c r="AB8" s="376">
        <f>COUNTIFS('KIDS&amp;ADULTS'!$V$3:$V$12006,U8,'KIDS&amp;ADULTS'!$B$3:$B$12006,$AB$3,'KIDS&amp;ADULTS'!$N$3:$N$12006,"Đã đóng học phí")</f>
        <v>0</v>
      </c>
      <c r="AC8" s="376">
        <f>COUNTIFS('KIDS&amp;ADULTS'!$V$3:$V$12006,U8,'KIDS&amp;ADULTS'!$B$3:$B$12006,$AC$3,'KIDS&amp;ADULTS'!$N$3:$N$12006,"Đã đóng học phí")</f>
        <v>0</v>
      </c>
      <c r="AF8" s="361" t="s">
        <v>4613</v>
      </c>
      <c r="AG8" s="363" t="s">
        <v>4616</v>
      </c>
      <c r="AH8" s="235"/>
      <c r="AI8" s="235"/>
      <c r="AJ8" s="235"/>
      <c r="AK8" s="235"/>
      <c r="AL8" s="235"/>
      <c r="AM8" s="235"/>
      <c r="AN8" s="236"/>
    </row>
    <row r="9" ht="15.75" customHeight="1">
      <c r="A9" s="372">
        <v>45236.0</v>
      </c>
      <c r="B9" s="373">
        <f>sumifs('KIDS&amp;ADULTS'!$Z$3:$Z$1015,'KIDS&amp;ADULTS'!$V$3:$V$1015,A9,'KIDS&amp;ADULTS'!$M$3:$M$1015,$B$3)</f>
        <v>0</v>
      </c>
      <c r="C9" s="373">
        <f>sumifs('KIDS&amp;ADULTS'!$Z$3:$Z$1015,'KIDS&amp;ADULTS'!$V$3:$V$1015,A9,'KIDS&amp;ADULTS'!$M$3:$M$1015,"phương")</f>
        <v>0</v>
      </c>
      <c r="D9" s="373">
        <f>sumifs('KIDS&amp;ADULTS'!$Z$3:$Z$1015,'KIDS&amp;ADULTS'!$V$3:$V$1015,A9,'KIDS&amp;ADULTS'!$M$3:$M$1015,$D$3)</f>
        <v>0</v>
      </c>
      <c r="E9" s="373">
        <f>sumifs('KIDS&amp;ADULTS'!$Z$3:$Z$1015,'KIDS&amp;ADULTS'!$V$3:$V$1015,A9,'KIDS&amp;ADULTS'!$M$3:$M$1015,"Ánh")</f>
        <v>0</v>
      </c>
      <c r="F9" s="373">
        <f>sumifs('KIDS&amp;ADULTS'!$Z$3:$Z$1015,'KIDS&amp;ADULTS'!$V$3:$V$1015,A9,'KIDS&amp;ADULTS'!$M$3:$M$1015,"Loan")</f>
        <v>0</v>
      </c>
      <c r="G9" s="373">
        <f t="shared" si="1"/>
        <v>0</v>
      </c>
      <c r="J9" s="372">
        <v>45236.0</v>
      </c>
      <c r="K9" s="374">
        <f>COUNTIFS('KIDS&amp;ADULTS'!$A$3:$A$12008,J9,'KIDS&amp;ADULTS'!$B$3:$B$12008,$K$3)</f>
        <v>0</v>
      </c>
      <c r="L9" s="374">
        <f>COUNTIFS('KIDS&amp;ADULTS'!$A$3:$A$12008,J9,'KIDS&amp;ADULTS'!$B$3:$B$12008,$L$3)</f>
        <v>0</v>
      </c>
      <c r="M9" s="374">
        <f>COUNTIFS('KIDS&amp;ADULTS'!$A$3:$A$12008,J9,'KIDS&amp;ADULTS'!$B$3:$B$12008,$M$3)</f>
        <v>0</v>
      </c>
      <c r="N9" s="375">
        <f>COUNTIFS('KIDS&amp;ADULTS'!$A$3:$A$12008,J9,'KIDS&amp;ADULTS'!$B$3:$B$12008,$N$3)</f>
        <v>0</v>
      </c>
      <c r="O9" s="375">
        <f>COUNTIFS('KIDS&amp;ADULTS'!$A$3:$A$12008,J9,'KIDS&amp;ADULTS'!$B$3:$B$12008,$O$3)</f>
        <v>1</v>
      </c>
      <c r="P9" s="375">
        <f>COUNTIFS('KIDS&amp;ADULTS'!$A$3:$A$12008,J9,'KIDS&amp;ADULTS'!$B$3:$B$12008,$P$3)</f>
        <v>0</v>
      </c>
      <c r="Q9" s="375">
        <f>COUNTIFS('KIDS&amp;ADULTS'!$A$3:$A$1008,J9,'KIDS&amp;ADULTS'!$B$3:$B$1008,$Q$3)</f>
        <v>0</v>
      </c>
      <c r="R9" s="374">
        <f>COUNTIFS('KIDS&amp;ADULTS'!$A$3:$A$12008,J9,'KIDS&amp;ADULTS'!$B$3:$B$12008,$R$3)</f>
        <v>0</v>
      </c>
      <c r="U9" s="372">
        <v>45236.0</v>
      </c>
      <c r="V9" s="376">
        <f>COUNTIFS('KIDS&amp;ADULTS'!$V$3:$V$12006,U9,'KIDS&amp;ADULTS'!$B$3:$B$12006,$K$3,'KIDS&amp;ADULTS'!$N$3:$N$12006,"Đã đóng học phí")</f>
        <v>0</v>
      </c>
      <c r="W9" s="376">
        <f>COUNTIFS('KIDS&amp;ADULTS'!$V$3:$V$12006,U9,'KIDS&amp;ADULTS'!$B$3:$B12011,$W$3,'KIDS&amp;ADULTS'!$N$3:$N$12006,"Đã đóng học phí")</f>
        <v>0</v>
      </c>
      <c r="X9" s="376">
        <f>COUNTIFS('KIDS&amp;ADULTS'!$V$3:$V$12006,U9,'KIDS&amp;ADULTS'!$B$3:$B$12006,$X$3,'KIDS&amp;ADULTS'!$N$3:$N$12006,"Đã đóng học phí")</f>
        <v>0</v>
      </c>
      <c r="Y9" s="376">
        <f>COUNTIFS('KIDS&amp;ADULTS'!$V$3:$V$12006,U9,'KIDS&amp;ADULTS'!$B$3:$B$12006,$Y$3,'KIDS&amp;ADULTS'!$N$3:$N$12006,"Đã đóng học phí")</f>
        <v>0</v>
      </c>
      <c r="Z9" s="376">
        <f>COUNTIFS('KIDS&amp;ADULTS'!$V$3:$V$12006,U9,'KIDS&amp;ADULTS'!$B$3:$B$12006,$Z$3,'KIDS&amp;ADULTS'!$N$3:$N$12006,"Đã đóng học phí")</f>
        <v>0</v>
      </c>
      <c r="AA9" s="376">
        <f>COUNTIFS('KIDS&amp;ADULTS'!$V$3:$V$12006,U9,'KIDS&amp;ADULTS'!$B$3:$B$12006,$AA$3,'KIDS&amp;ADULTS'!$N$3:$N$12006,"Đã đóng học phí")</f>
        <v>0</v>
      </c>
      <c r="AB9" s="376">
        <f>COUNTIFS('KIDS&amp;ADULTS'!$V$3:$V$12006,U9,'KIDS&amp;ADULTS'!$B$3:$B$12006,$AB$3,'KIDS&amp;ADULTS'!$N$3:$N$12006,"Đã đóng học phí")</f>
        <v>0</v>
      </c>
      <c r="AC9" s="376">
        <f>COUNTIFS('KIDS&amp;ADULTS'!$V$3:$V$12006,U9,'KIDS&amp;ADULTS'!$B$3:$B$12006,$AC$3,'KIDS&amp;ADULTS'!$N$3:$N$12006,"Đã đóng học phí")</f>
        <v>0</v>
      </c>
      <c r="AF9" s="11"/>
      <c r="AG9" s="366" t="s">
        <v>4620</v>
      </c>
      <c r="AH9" s="367" t="s">
        <v>4621</v>
      </c>
      <c r="AI9" s="368" t="s">
        <v>73</v>
      </c>
      <c r="AJ9" s="369" t="s">
        <v>201</v>
      </c>
      <c r="AK9" s="370" t="s">
        <v>84</v>
      </c>
      <c r="AL9" s="371" t="s">
        <v>60</v>
      </c>
      <c r="AM9" s="371" t="s">
        <v>539</v>
      </c>
      <c r="AN9" s="371" t="s">
        <v>703</v>
      </c>
    </row>
    <row r="10" ht="15.75" customHeight="1">
      <c r="A10" s="372">
        <v>45237.0</v>
      </c>
      <c r="B10" s="373">
        <f>sumifs('KIDS&amp;ADULTS'!$Z$3:$Z$1015,'KIDS&amp;ADULTS'!$V$3:$V$1015,A10,'KIDS&amp;ADULTS'!$M$3:$M$1015,$B$3)</f>
        <v>0</v>
      </c>
      <c r="C10" s="373">
        <f>sumifs('KIDS&amp;ADULTS'!$Z$3:$Z$1015,'KIDS&amp;ADULTS'!$V$3:$V$1015,A10,'KIDS&amp;ADULTS'!$M$3:$M$1015,"phương")</f>
        <v>0</v>
      </c>
      <c r="D10" s="373">
        <f>sumifs('KIDS&amp;ADULTS'!$Z$3:$Z$1015,'KIDS&amp;ADULTS'!$V$3:$V$1015,A10,'KIDS&amp;ADULTS'!$M$3:$M$1015,$D$3)</f>
        <v>0</v>
      </c>
      <c r="E10" s="373">
        <f>sumifs('KIDS&amp;ADULTS'!$Z$3:$Z$1015,'KIDS&amp;ADULTS'!$V$3:$V$1015,A10,'KIDS&amp;ADULTS'!$M$3:$M$1015,"Ánh")</f>
        <v>0</v>
      </c>
      <c r="F10" s="373">
        <f>sumifs('KIDS&amp;ADULTS'!$Z$3:$Z$1015,'KIDS&amp;ADULTS'!$V$3:$V$1015,A10,'KIDS&amp;ADULTS'!$M$3:$M$1015,"Loan")</f>
        <v>0</v>
      </c>
      <c r="G10" s="373">
        <f t="shared" si="1"/>
        <v>0</v>
      </c>
      <c r="J10" s="372">
        <v>45237.0</v>
      </c>
      <c r="K10" s="374">
        <f>COUNTIFS('KIDS&amp;ADULTS'!$A$3:$A$12008,J10,'KIDS&amp;ADULTS'!$B$3:$B$12008,$K$3)</f>
        <v>0</v>
      </c>
      <c r="L10" s="374">
        <f>COUNTIFS('KIDS&amp;ADULTS'!$A$3:$A$12008,J10,'KIDS&amp;ADULTS'!$B$3:$B$12008,$L$3)</f>
        <v>0</v>
      </c>
      <c r="M10" s="374">
        <f>COUNTIFS('KIDS&amp;ADULTS'!$A$3:$A$12008,J10,'KIDS&amp;ADULTS'!$B$3:$B$12008,$M$3)</f>
        <v>0</v>
      </c>
      <c r="N10" s="375">
        <f>COUNTIFS('KIDS&amp;ADULTS'!$A$3:$A$12008,J10,'KIDS&amp;ADULTS'!$B$3:$B$12008,$N$3)</f>
        <v>0</v>
      </c>
      <c r="O10" s="375">
        <f>COUNTIFS('KIDS&amp;ADULTS'!$A$3:$A$12008,J10,'KIDS&amp;ADULTS'!$B$3:$B$12008,$O$3)</f>
        <v>0</v>
      </c>
      <c r="P10" s="375">
        <f>COUNTIFS('KIDS&amp;ADULTS'!$A$3:$A$12008,J10,'KIDS&amp;ADULTS'!$B$3:$B$12008,$P$3)</f>
        <v>0</v>
      </c>
      <c r="Q10" s="375">
        <f>COUNTIFS('KIDS&amp;ADULTS'!$A$3:$A$1008,J10,'KIDS&amp;ADULTS'!$B$3:$B$1008,$Q$3)</f>
        <v>0</v>
      </c>
      <c r="R10" s="374">
        <f>COUNTIFS('KIDS&amp;ADULTS'!$A$3:$A$12008,J10,'KIDS&amp;ADULTS'!$B$3:$B$12008,$R$3)</f>
        <v>0</v>
      </c>
      <c r="U10" s="372">
        <v>45237.0</v>
      </c>
      <c r="V10" s="376">
        <f>COUNTIFS('KIDS&amp;ADULTS'!$V$3:$V$12006,U10,'KIDS&amp;ADULTS'!$B$3:$B$12006,$K$3,'KIDS&amp;ADULTS'!$N$3:$N$12006,"Đã đóng học phí")</f>
        <v>0</v>
      </c>
      <c r="W10" s="376">
        <f>COUNTIFS('KIDS&amp;ADULTS'!$V$3:$V$12006,U10,'KIDS&amp;ADULTS'!$B$3:$B12012,$W$3,'KIDS&amp;ADULTS'!$N$3:$N$12006,"Đã đóng học phí")</f>
        <v>0</v>
      </c>
      <c r="X10" s="376">
        <f>COUNTIFS('KIDS&amp;ADULTS'!$V$3:$V$12006,U10,'KIDS&amp;ADULTS'!$B$3:$B$12006,$X$3,'KIDS&amp;ADULTS'!$N$3:$N$12006,"Đã đóng học phí")</f>
        <v>0</v>
      </c>
      <c r="Y10" s="376">
        <f>COUNTIFS('KIDS&amp;ADULTS'!$V$3:$V$12006,U10,'KIDS&amp;ADULTS'!$B$3:$B$12006,$Y$3,'KIDS&amp;ADULTS'!$N$3:$N$12006,"Đã đóng học phí")</f>
        <v>0</v>
      </c>
      <c r="Z10" s="376">
        <f>COUNTIFS('KIDS&amp;ADULTS'!$V$3:$V$12006,U10,'KIDS&amp;ADULTS'!$B$3:$B$12006,$Z$3,'KIDS&amp;ADULTS'!$N$3:$N$12006,"Đã đóng học phí")</f>
        <v>0</v>
      </c>
      <c r="AA10" s="376">
        <f>COUNTIFS('KIDS&amp;ADULTS'!$V$3:$V$12006,U10,'KIDS&amp;ADULTS'!$B$3:$B$12006,$AA$3,'KIDS&amp;ADULTS'!$N$3:$N$12006,"Đã đóng học phí")</f>
        <v>0</v>
      </c>
      <c r="AB10" s="376">
        <f>COUNTIFS('KIDS&amp;ADULTS'!$V$3:$V$12006,U10,'KIDS&amp;ADULTS'!$B$3:$B$12006,$AB$3,'KIDS&amp;ADULTS'!$N$3:$N$12006,"Đã đóng học phí")</f>
        <v>0</v>
      </c>
      <c r="AC10" s="376">
        <f>COUNTIFS('KIDS&amp;ADULTS'!$V$3:$V$12006,U10,'KIDS&amp;ADULTS'!$B$3:$B$12006,$AC$3,'KIDS&amp;ADULTS'!$N$3:$N$12006,"Đã đóng học phí")</f>
        <v>0</v>
      </c>
      <c r="AF10" s="381" t="s">
        <v>4622</v>
      </c>
      <c r="AG10" s="382">
        <f t="shared" ref="AG10:AN10" si="3">V70</f>
        <v>0</v>
      </c>
      <c r="AH10" s="382">
        <f t="shared" si="3"/>
        <v>0</v>
      </c>
      <c r="AI10" s="382">
        <f t="shared" si="3"/>
        <v>0</v>
      </c>
      <c r="AJ10" s="382">
        <f t="shared" si="3"/>
        <v>3308000</v>
      </c>
      <c r="AK10" s="382">
        <f t="shared" si="3"/>
        <v>4916400</v>
      </c>
      <c r="AL10" s="382">
        <f t="shared" si="3"/>
        <v>0</v>
      </c>
      <c r="AM10" s="382">
        <f t="shared" si="3"/>
        <v>0</v>
      </c>
      <c r="AN10" s="382">
        <f t="shared" si="3"/>
        <v>0</v>
      </c>
    </row>
    <row r="11" ht="15.75" customHeight="1">
      <c r="A11" s="372">
        <v>45238.0</v>
      </c>
      <c r="B11" s="373">
        <f>sumifs('KIDS&amp;ADULTS'!$Z$3:$Z$1015,'KIDS&amp;ADULTS'!$V$3:$V$1015,A11,'KIDS&amp;ADULTS'!$M$3:$M$1015,$B$3)</f>
        <v>0</v>
      </c>
      <c r="C11" s="373">
        <f>sumifs('KIDS&amp;ADULTS'!$Z$3:$Z$1015,'KIDS&amp;ADULTS'!$V$3:$V$1015,A11,'KIDS&amp;ADULTS'!$M$3:$M$1015,"phương")</f>
        <v>0</v>
      </c>
      <c r="D11" s="373">
        <f>sumifs('KIDS&amp;ADULTS'!$Z$3:$Z$1015,'KIDS&amp;ADULTS'!$V$3:$V$1015,A11,'KIDS&amp;ADULTS'!$M$3:$M$1015,$D$3)</f>
        <v>0</v>
      </c>
      <c r="E11" s="373">
        <f>sumifs('KIDS&amp;ADULTS'!$Z$3:$Z$1015,'KIDS&amp;ADULTS'!$V$3:$V$1015,A11,'KIDS&amp;ADULTS'!$M$3:$M$1015,"Ánh")</f>
        <v>0</v>
      </c>
      <c r="F11" s="373">
        <f>sumifs('KIDS&amp;ADULTS'!$Z$3:$Z$1015,'KIDS&amp;ADULTS'!$V$3:$V$1015,A11,'KIDS&amp;ADULTS'!$M$3:$M$1015,"Loan")</f>
        <v>0</v>
      </c>
      <c r="G11" s="373">
        <f t="shared" si="1"/>
        <v>0</v>
      </c>
      <c r="J11" s="372">
        <v>45238.0</v>
      </c>
      <c r="K11" s="374">
        <f>COUNTIFS('KIDS&amp;ADULTS'!$A$3:$A$12008,J11,'KIDS&amp;ADULTS'!$B$3:$B$12008,$K$3)</f>
        <v>0</v>
      </c>
      <c r="L11" s="374">
        <f>COUNTIFS('KIDS&amp;ADULTS'!$A$3:$A$12008,J11,'KIDS&amp;ADULTS'!$B$3:$B$12008,$L$3)</f>
        <v>0</v>
      </c>
      <c r="M11" s="374">
        <f>COUNTIFS('KIDS&amp;ADULTS'!$A$3:$A$12008,J11,'KIDS&amp;ADULTS'!$B$3:$B$12008,$M$3)</f>
        <v>0</v>
      </c>
      <c r="N11" s="375">
        <f>COUNTIFS('KIDS&amp;ADULTS'!$A$3:$A$12008,J11,'KIDS&amp;ADULTS'!$B$3:$B$12008,$N$3)</f>
        <v>0</v>
      </c>
      <c r="O11" s="375">
        <f>COUNTIFS('KIDS&amp;ADULTS'!$A$3:$A$12008,J11,'KIDS&amp;ADULTS'!$B$3:$B$12008,$O$3)</f>
        <v>0</v>
      </c>
      <c r="P11" s="375">
        <f>COUNTIFS('KIDS&amp;ADULTS'!$A$3:$A$12008,J11,'KIDS&amp;ADULTS'!$B$3:$B$12008,$P$3)</f>
        <v>0</v>
      </c>
      <c r="Q11" s="375">
        <f>COUNTIFS('KIDS&amp;ADULTS'!$A$3:$A$1008,J11,'KIDS&amp;ADULTS'!$B$3:$B$1008,$Q$3)</f>
        <v>0</v>
      </c>
      <c r="R11" s="374">
        <f>COUNTIFS('KIDS&amp;ADULTS'!$A$3:$A$12008,J11,'KIDS&amp;ADULTS'!$B$3:$B$12008,$R$3)</f>
        <v>0</v>
      </c>
      <c r="U11" s="372">
        <v>45238.0</v>
      </c>
      <c r="V11" s="376">
        <f>COUNTIFS('KIDS&amp;ADULTS'!$V$3:$V$12006,U11,'KIDS&amp;ADULTS'!$B$3:$B$12006,$K$3,'KIDS&amp;ADULTS'!$N$3:$N$12006,"Đã đóng học phí")</f>
        <v>0</v>
      </c>
      <c r="W11" s="376">
        <f>COUNTIFS('KIDS&amp;ADULTS'!$V$3:$V$12006,U11,'KIDS&amp;ADULTS'!$B$3:$B12013,$W$3,'KIDS&amp;ADULTS'!$N$3:$N$12006,"Đã đóng học phí")</f>
        <v>0</v>
      </c>
      <c r="X11" s="376">
        <f>COUNTIFS('KIDS&amp;ADULTS'!$V$3:$V$12006,U11,'KIDS&amp;ADULTS'!$B$3:$B$12006,$X$3,'KIDS&amp;ADULTS'!$N$3:$N$12006,"Đã đóng học phí")</f>
        <v>0</v>
      </c>
      <c r="Y11" s="376">
        <f>COUNTIFS('KIDS&amp;ADULTS'!$V$3:$V$12006,U11,'KIDS&amp;ADULTS'!$B$3:$B$12006,$Y$3,'KIDS&amp;ADULTS'!$N$3:$N$12006,"Đã đóng học phí")</f>
        <v>0</v>
      </c>
      <c r="Z11" s="376">
        <f>COUNTIFS('KIDS&amp;ADULTS'!$V$3:$V$12006,U11,'KIDS&amp;ADULTS'!$B$3:$B$12006,$Z$3,'KIDS&amp;ADULTS'!$N$3:$N$12006,"Đã đóng học phí")</f>
        <v>0</v>
      </c>
      <c r="AA11" s="376">
        <f>COUNTIFS('KIDS&amp;ADULTS'!$V$3:$V$12006,U11,'KIDS&amp;ADULTS'!$B$3:$B$12006,$AA$3,'KIDS&amp;ADULTS'!$N$3:$N$12006,"Đã đóng học phí")</f>
        <v>0</v>
      </c>
      <c r="AB11" s="376">
        <f>COUNTIFS('KIDS&amp;ADULTS'!$V$3:$V$12006,U11,'KIDS&amp;ADULTS'!$B$3:$B$12006,$AB$3,'KIDS&amp;ADULTS'!$N$3:$N$12006,"Đã đóng học phí")</f>
        <v>0</v>
      </c>
      <c r="AC11" s="376">
        <f>COUNTIFS('KIDS&amp;ADULTS'!$V$3:$V$12006,U11,'KIDS&amp;ADULTS'!$B$3:$B$12006,$AC$3,'KIDS&amp;ADULTS'!$N$3:$N$12006,"Đã đóng học phí")</f>
        <v>0</v>
      </c>
    </row>
    <row r="12" ht="15.75" customHeight="1">
      <c r="A12" s="372">
        <v>45239.0</v>
      </c>
      <c r="B12" s="373">
        <f>sumifs('KIDS&amp;ADULTS'!$Z$3:$Z$1015,'KIDS&amp;ADULTS'!$V$3:$V$1015,A12,'KIDS&amp;ADULTS'!$M$3:$M$1015,$B$3)</f>
        <v>0</v>
      </c>
      <c r="C12" s="373">
        <f>sumifs('KIDS&amp;ADULTS'!$Z$3:$Z$1015,'KIDS&amp;ADULTS'!$V$3:$V$1015,A12,'KIDS&amp;ADULTS'!$M$3:$M$1015,"phương")</f>
        <v>0</v>
      </c>
      <c r="D12" s="373">
        <f>sumifs('KIDS&amp;ADULTS'!$Z$3:$Z$1015,'KIDS&amp;ADULTS'!$V$3:$V$1015,A12,'KIDS&amp;ADULTS'!$M$3:$M$1015,$D$3)</f>
        <v>0</v>
      </c>
      <c r="E12" s="373">
        <f>sumifs('KIDS&amp;ADULTS'!$Z$3:$Z$1015,'KIDS&amp;ADULTS'!$V$3:$V$1015,A12,'KIDS&amp;ADULTS'!$M$3:$M$1015,"Ánh")</f>
        <v>0</v>
      </c>
      <c r="F12" s="373">
        <f>sumifs('KIDS&amp;ADULTS'!$Z$3:$Z$1015,'KIDS&amp;ADULTS'!$V$3:$V$1015,A12,'KIDS&amp;ADULTS'!$M$3:$M$1015,"Loan")</f>
        <v>0</v>
      </c>
      <c r="G12" s="373">
        <f t="shared" si="1"/>
        <v>0</v>
      </c>
      <c r="J12" s="372">
        <v>45239.0</v>
      </c>
      <c r="K12" s="374">
        <f>COUNTIFS('KIDS&amp;ADULTS'!$A$3:$A$12008,J12,'KIDS&amp;ADULTS'!$B$3:$B$12008,$K$3)</f>
        <v>0</v>
      </c>
      <c r="L12" s="374">
        <f>COUNTIFS('KIDS&amp;ADULTS'!$A$3:$A$12008,J12,'KIDS&amp;ADULTS'!$B$3:$B$12008,$L$3)</f>
        <v>0</v>
      </c>
      <c r="M12" s="374">
        <f>COUNTIFS('KIDS&amp;ADULTS'!$A$3:$A$12008,J12,'KIDS&amp;ADULTS'!$B$3:$B$12008,$M$3)</f>
        <v>0</v>
      </c>
      <c r="N12" s="375">
        <f>COUNTIFS('KIDS&amp;ADULTS'!$A$3:$A$12008,J12,'KIDS&amp;ADULTS'!$B$3:$B$12008,$N$3)</f>
        <v>0</v>
      </c>
      <c r="O12" s="375">
        <f>COUNTIFS('KIDS&amp;ADULTS'!$A$3:$A$12008,J12,'KIDS&amp;ADULTS'!$B$3:$B$12008,$O$3)</f>
        <v>0</v>
      </c>
      <c r="P12" s="375">
        <f>COUNTIFS('KIDS&amp;ADULTS'!$A$3:$A$12008,J12,'KIDS&amp;ADULTS'!$B$3:$B$12008,$P$3)</f>
        <v>0</v>
      </c>
      <c r="Q12" s="375">
        <f>COUNTIFS('KIDS&amp;ADULTS'!$A$3:$A$1008,J12,'KIDS&amp;ADULTS'!$B$3:$B$1008,$Q$3)</f>
        <v>0</v>
      </c>
      <c r="R12" s="374">
        <f>COUNTIFS('KIDS&amp;ADULTS'!$A$3:$A$12008,J12,'KIDS&amp;ADULTS'!$B$3:$B$12008,$R$3)</f>
        <v>0</v>
      </c>
      <c r="U12" s="372">
        <v>45239.0</v>
      </c>
      <c r="V12" s="376">
        <f>COUNTIFS('KIDS&amp;ADULTS'!$V$3:$V$12006,U12,'KIDS&amp;ADULTS'!$B$3:$B$12006,$K$3,'KIDS&amp;ADULTS'!$N$3:$N$12006,"Đã đóng học phí")</f>
        <v>0</v>
      </c>
      <c r="W12" s="376">
        <f>COUNTIFS('KIDS&amp;ADULTS'!$V$3:$V$12006,U12,'KIDS&amp;ADULTS'!$B$3:$B12014,$W$3,'KIDS&amp;ADULTS'!$N$3:$N$12006,"Đã đóng học phí")</f>
        <v>0</v>
      </c>
      <c r="X12" s="376">
        <f>COUNTIFS('KIDS&amp;ADULTS'!$V$3:$V$12006,U12,'KIDS&amp;ADULTS'!$B$3:$B$12006,$X$3,'KIDS&amp;ADULTS'!$N$3:$N$12006,"Đã đóng học phí")</f>
        <v>0</v>
      </c>
      <c r="Y12" s="376">
        <f>COUNTIFS('KIDS&amp;ADULTS'!$V$3:$V$12006,U12,'KIDS&amp;ADULTS'!$B$3:$B$12006,$Y$3,'KIDS&amp;ADULTS'!$N$3:$N$12006,"Đã đóng học phí")</f>
        <v>0</v>
      </c>
      <c r="Z12" s="376">
        <f>COUNTIFS('KIDS&amp;ADULTS'!$V$3:$V$12006,U12,'KIDS&amp;ADULTS'!$B$3:$B$12006,$Z$3,'KIDS&amp;ADULTS'!$N$3:$N$12006,"Đã đóng học phí")</f>
        <v>0</v>
      </c>
      <c r="AA12" s="376">
        <f>COUNTIFS('KIDS&amp;ADULTS'!$V$3:$V$12006,U12,'KIDS&amp;ADULTS'!$B$3:$B$12006,$AA$3,'KIDS&amp;ADULTS'!$N$3:$N$12006,"Đã đóng học phí")</f>
        <v>0</v>
      </c>
      <c r="AB12" s="376">
        <f>COUNTIFS('KIDS&amp;ADULTS'!$V$3:$V$12006,U12,'KIDS&amp;ADULTS'!$B$3:$B$12006,$AB$3,'KIDS&amp;ADULTS'!$N$3:$N$12006,"Đã đóng học phí")</f>
        <v>0</v>
      </c>
      <c r="AC12" s="376">
        <f>COUNTIFS('KIDS&amp;ADULTS'!$V$3:$V$12006,U12,'KIDS&amp;ADULTS'!$B$3:$B$12006,$AC$3,'KIDS&amp;ADULTS'!$N$3:$N$12006,"Đã đóng học phí")</f>
        <v>0</v>
      </c>
    </row>
    <row r="13" ht="15.75" customHeight="1">
      <c r="A13" s="372">
        <v>45240.0</v>
      </c>
      <c r="B13" s="373">
        <f>sumifs('KIDS&amp;ADULTS'!$Z$3:$Z$1015,'KIDS&amp;ADULTS'!$V$3:$V$1015,A13,'KIDS&amp;ADULTS'!$M$3:$M$1015,$B$3)</f>
        <v>0</v>
      </c>
      <c r="C13" s="373">
        <f>sumifs('KIDS&amp;ADULTS'!$Z$3:$Z$1015,'KIDS&amp;ADULTS'!$V$3:$V$1015,A13,'KIDS&amp;ADULTS'!$M$3:$M$1015,"phương")</f>
        <v>0</v>
      </c>
      <c r="D13" s="373">
        <f>sumifs('KIDS&amp;ADULTS'!$Z$3:$Z$1015,'KIDS&amp;ADULTS'!$V$3:$V$1015,A13,'KIDS&amp;ADULTS'!$M$3:$M$1015,$D$3)</f>
        <v>0</v>
      </c>
      <c r="E13" s="373">
        <f>sumifs('KIDS&amp;ADULTS'!$Z$3:$Z$1015,'KIDS&amp;ADULTS'!$V$3:$V$1015,A13,'KIDS&amp;ADULTS'!$M$3:$M$1015,"Ánh")</f>
        <v>0</v>
      </c>
      <c r="F13" s="373">
        <f>sumifs('KIDS&amp;ADULTS'!$Z$3:$Z$1015,'KIDS&amp;ADULTS'!$V$3:$V$1015,A13,'KIDS&amp;ADULTS'!$M$3:$M$1015,"Loan")</f>
        <v>0</v>
      </c>
      <c r="G13" s="373">
        <f t="shared" si="1"/>
        <v>0</v>
      </c>
      <c r="J13" s="372">
        <v>45240.0</v>
      </c>
      <c r="K13" s="374">
        <f>COUNTIFS('KIDS&amp;ADULTS'!$A$3:$A$12008,J13,'KIDS&amp;ADULTS'!$B$3:$B$12008,$K$3)</f>
        <v>0</v>
      </c>
      <c r="L13" s="374">
        <f>COUNTIFS('KIDS&amp;ADULTS'!$A$3:$A$12008,J13,'KIDS&amp;ADULTS'!$B$3:$B$12008,$L$3)</f>
        <v>0</v>
      </c>
      <c r="M13" s="374">
        <f>COUNTIFS('KIDS&amp;ADULTS'!$A$3:$A$12008,J13,'KIDS&amp;ADULTS'!$B$3:$B$12008,$M$3)</f>
        <v>0</v>
      </c>
      <c r="N13" s="375">
        <f>COUNTIFS('KIDS&amp;ADULTS'!$A$3:$A$12008,J13,'KIDS&amp;ADULTS'!$B$3:$B$12008,$N$3)</f>
        <v>0</v>
      </c>
      <c r="O13" s="375">
        <f>COUNTIFS('KIDS&amp;ADULTS'!$A$3:$A$12008,J13,'KIDS&amp;ADULTS'!$B$3:$B$12008,$O$3)</f>
        <v>1</v>
      </c>
      <c r="P13" s="375">
        <f>COUNTIFS('KIDS&amp;ADULTS'!$A$3:$A$12008,J13,'KIDS&amp;ADULTS'!$B$3:$B$12008,$P$3)</f>
        <v>0</v>
      </c>
      <c r="Q13" s="375">
        <f>COUNTIFS('KIDS&amp;ADULTS'!$A$3:$A$1008,J13,'KIDS&amp;ADULTS'!$B$3:$B$1008,$Q$3)</f>
        <v>0</v>
      </c>
      <c r="R13" s="374">
        <f>COUNTIFS('KIDS&amp;ADULTS'!$A$3:$A$12008,J13,'KIDS&amp;ADULTS'!$B$3:$B$12008,$R$3)</f>
        <v>0</v>
      </c>
      <c r="U13" s="372">
        <v>45240.0</v>
      </c>
      <c r="V13" s="376">
        <f>COUNTIFS('KIDS&amp;ADULTS'!$V$3:$V$12006,U13,'KIDS&amp;ADULTS'!$B$3:$B$12006,$K$3,'KIDS&amp;ADULTS'!$N$3:$N$12006,"Đã đóng học phí")</f>
        <v>0</v>
      </c>
      <c r="W13" s="376">
        <f>COUNTIFS('KIDS&amp;ADULTS'!$V$3:$V$12006,U13,'KIDS&amp;ADULTS'!$B$3:$B12015,$W$3,'KIDS&amp;ADULTS'!$N$3:$N$12006,"Đã đóng học phí")</f>
        <v>0</v>
      </c>
      <c r="X13" s="376">
        <f>COUNTIFS('KIDS&amp;ADULTS'!$V$3:$V$12006,U13,'KIDS&amp;ADULTS'!$B$3:$B$12006,$X$3,'KIDS&amp;ADULTS'!$N$3:$N$12006,"Đã đóng học phí")</f>
        <v>0</v>
      </c>
      <c r="Y13" s="376">
        <f>COUNTIFS('KIDS&amp;ADULTS'!$V$3:$V$12006,U13,'KIDS&amp;ADULTS'!$B$3:$B$12006,$Y$3,'KIDS&amp;ADULTS'!$N$3:$N$12006,"Đã đóng học phí")</f>
        <v>0</v>
      </c>
      <c r="Z13" s="376">
        <f>COUNTIFS('KIDS&amp;ADULTS'!$V$3:$V$12006,U13,'KIDS&amp;ADULTS'!$B$3:$B$12006,$Z$3,'KIDS&amp;ADULTS'!$N$3:$N$12006,"Đã đóng học phí")</f>
        <v>0</v>
      </c>
      <c r="AA13" s="376">
        <f>COUNTIFS('KIDS&amp;ADULTS'!$V$3:$V$12006,U13,'KIDS&amp;ADULTS'!$B$3:$B$12006,$AA$3,'KIDS&amp;ADULTS'!$N$3:$N$12006,"Đã đóng học phí")</f>
        <v>0</v>
      </c>
      <c r="AB13" s="376">
        <f>COUNTIFS('KIDS&amp;ADULTS'!$V$3:$V$12006,U13,'KIDS&amp;ADULTS'!$B$3:$B$12006,$AB$3,'KIDS&amp;ADULTS'!$N$3:$N$12006,"Đã đóng học phí")</f>
        <v>0</v>
      </c>
      <c r="AC13" s="376">
        <f>COUNTIFS('KIDS&amp;ADULTS'!$V$3:$V$12006,U13,'KIDS&amp;ADULTS'!$B$3:$B$12006,$AC$3,'KIDS&amp;ADULTS'!$N$3:$N$12006,"Đã đóng học phí")</f>
        <v>0</v>
      </c>
    </row>
    <row r="14" ht="15.75" customHeight="1">
      <c r="A14" s="372">
        <v>45241.0</v>
      </c>
      <c r="B14" s="373">
        <f>sumifs('KIDS&amp;ADULTS'!$Z$3:$Z$1015,'KIDS&amp;ADULTS'!$V$3:$V$1015,A14,'KIDS&amp;ADULTS'!$M$3:$M$1015,$B$3)</f>
        <v>0</v>
      </c>
      <c r="C14" s="373">
        <f>sumifs('KIDS&amp;ADULTS'!$Z$3:$Z$1015,'KIDS&amp;ADULTS'!$V$3:$V$1015,A14,'KIDS&amp;ADULTS'!$M$3:$M$1015,"phương")</f>
        <v>0</v>
      </c>
      <c r="D14" s="373">
        <f>sumifs('KIDS&amp;ADULTS'!$Z$3:$Z$1015,'KIDS&amp;ADULTS'!$V$3:$V$1015,A14,'KIDS&amp;ADULTS'!$M$3:$M$1015,$D$3)</f>
        <v>0</v>
      </c>
      <c r="E14" s="373">
        <f>sumifs('KIDS&amp;ADULTS'!$Z$3:$Z$1015,'KIDS&amp;ADULTS'!$V$3:$V$1015,A14,'KIDS&amp;ADULTS'!$M$3:$M$1015,"Ánh")</f>
        <v>0</v>
      </c>
      <c r="F14" s="373">
        <f>sumifs('KIDS&amp;ADULTS'!$Z$3:$Z$1015,'KIDS&amp;ADULTS'!$V$3:$V$1015,A14,'KIDS&amp;ADULTS'!$M$3:$M$1015,"Loan")</f>
        <v>0</v>
      </c>
      <c r="G14" s="373">
        <f t="shared" si="1"/>
        <v>0</v>
      </c>
      <c r="J14" s="372">
        <v>45241.0</v>
      </c>
      <c r="K14" s="374">
        <f>COUNTIFS('KIDS&amp;ADULTS'!$A$3:$A$12008,J14,'KIDS&amp;ADULTS'!$B$3:$B$12008,$K$3)</f>
        <v>0</v>
      </c>
      <c r="L14" s="374">
        <f>COUNTIFS('KIDS&amp;ADULTS'!$A$3:$A$12008,J14,'KIDS&amp;ADULTS'!$B$3:$B$12008,$L$3)</f>
        <v>0</v>
      </c>
      <c r="M14" s="374">
        <f>COUNTIFS('KIDS&amp;ADULTS'!$A$3:$A$12008,J14,'KIDS&amp;ADULTS'!$B$3:$B$12008,$M$3)</f>
        <v>0</v>
      </c>
      <c r="N14" s="375">
        <f>COUNTIFS('KIDS&amp;ADULTS'!$A$3:$A$12008,J14,'KIDS&amp;ADULTS'!$B$3:$B$12008,$N$3)</f>
        <v>0</v>
      </c>
      <c r="O14" s="375">
        <f>COUNTIFS('KIDS&amp;ADULTS'!$A$3:$A$12008,J14,'KIDS&amp;ADULTS'!$B$3:$B$12008,$O$3)</f>
        <v>0</v>
      </c>
      <c r="P14" s="375">
        <f>COUNTIFS('KIDS&amp;ADULTS'!$A$3:$A$12008,J14,'KIDS&amp;ADULTS'!$B$3:$B$12008,$P$3)</f>
        <v>0</v>
      </c>
      <c r="Q14" s="375">
        <f>COUNTIFS('KIDS&amp;ADULTS'!$A$3:$A$1008,J14,'KIDS&amp;ADULTS'!$B$3:$B$1008,$Q$3)</f>
        <v>0</v>
      </c>
      <c r="R14" s="374">
        <f>COUNTIFS('KIDS&amp;ADULTS'!$A$3:$A$12008,J14,'KIDS&amp;ADULTS'!$B$3:$B$12008,$R$3)</f>
        <v>0</v>
      </c>
      <c r="U14" s="372">
        <v>45241.0</v>
      </c>
      <c r="V14" s="376">
        <f>COUNTIFS('KIDS&amp;ADULTS'!$V$3:$V$12006,U14,'KIDS&amp;ADULTS'!$B$3:$B$12006,$K$3,'KIDS&amp;ADULTS'!$N$3:$N$12006,"Đã đóng học phí")</f>
        <v>0</v>
      </c>
      <c r="W14" s="376">
        <f>COUNTIFS('KIDS&amp;ADULTS'!$V$3:$V$12006,U14,'KIDS&amp;ADULTS'!$B$3:$B12016,$W$3,'KIDS&amp;ADULTS'!$N$3:$N$12006,"Đã đóng học phí")</f>
        <v>0</v>
      </c>
      <c r="X14" s="376">
        <f>COUNTIFS('KIDS&amp;ADULTS'!$V$3:$V$12006,U14,'KIDS&amp;ADULTS'!$B$3:$B$12006,$X$3,'KIDS&amp;ADULTS'!$N$3:$N$12006,"Đã đóng học phí")</f>
        <v>0</v>
      </c>
      <c r="Y14" s="376">
        <f>COUNTIFS('KIDS&amp;ADULTS'!$V$3:$V$12006,U14,'KIDS&amp;ADULTS'!$B$3:$B$12006,$Y$3,'KIDS&amp;ADULTS'!$N$3:$N$12006,"Đã đóng học phí")</f>
        <v>0</v>
      </c>
      <c r="Z14" s="376">
        <f>COUNTIFS('KIDS&amp;ADULTS'!$V$3:$V$12006,U14,'KIDS&amp;ADULTS'!$B$3:$B$12006,$Z$3,'KIDS&amp;ADULTS'!$N$3:$N$12006,"Đã đóng học phí")</f>
        <v>0</v>
      </c>
      <c r="AA14" s="376">
        <f>COUNTIFS('KIDS&amp;ADULTS'!$V$3:$V$12006,U14,'KIDS&amp;ADULTS'!$B$3:$B$12006,$AA$3,'KIDS&amp;ADULTS'!$N$3:$N$12006,"Đã đóng học phí")</f>
        <v>0</v>
      </c>
      <c r="AB14" s="376">
        <f>COUNTIFS('KIDS&amp;ADULTS'!$V$3:$V$12006,U14,'KIDS&amp;ADULTS'!$B$3:$B$12006,$AB$3,'KIDS&amp;ADULTS'!$N$3:$N$12006,"Đã đóng học phí")</f>
        <v>0</v>
      </c>
      <c r="AC14" s="376">
        <f>COUNTIFS('KIDS&amp;ADULTS'!$V$3:$V$12006,U14,'KIDS&amp;ADULTS'!$B$3:$B$12006,$AC$3,'KIDS&amp;ADULTS'!$N$3:$N$12006,"Đã đóng học phí")</f>
        <v>0</v>
      </c>
    </row>
    <row r="15" ht="15.75" customHeight="1">
      <c r="A15" s="372">
        <v>45242.0</v>
      </c>
      <c r="B15" s="373">
        <f>sumifs('KIDS&amp;ADULTS'!$Z$3:$Z$1015,'KIDS&amp;ADULTS'!$V$3:$V$1015,A15,'KIDS&amp;ADULTS'!$M$3:$M$1015,$B$3)</f>
        <v>0</v>
      </c>
      <c r="C15" s="373">
        <f>sumifs('KIDS&amp;ADULTS'!$Z$3:$Z$1015,'KIDS&amp;ADULTS'!$V$3:$V$1015,A15,'KIDS&amp;ADULTS'!$M$3:$M$1015,"phương")</f>
        <v>0</v>
      </c>
      <c r="D15" s="373">
        <f>sumifs('KIDS&amp;ADULTS'!$Z$3:$Z$1015,'KIDS&amp;ADULTS'!$V$3:$V$1015,A15,'KIDS&amp;ADULTS'!$M$3:$M$1015,$D$3)</f>
        <v>0</v>
      </c>
      <c r="E15" s="373">
        <f>sumifs('KIDS&amp;ADULTS'!$Z$3:$Z$1015,'KIDS&amp;ADULTS'!$V$3:$V$1015,A15,'KIDS&amp;ADULTS'!$M$3:$M$1015,"Ánh")</f>
        <v>0</v>
      </c>
      <c r="F15" s="373">
        <f>sumifs('KIDS&amp;ADULTS'!$Z$3:$Z$1015,'KIDS&amp;ADULTS'!$V$3:$V$1015,A15,'KIDS&amp;ADULTS'!$M$3:$M$1015,"Loan")</f>
        <v>0</v>
      </c>
      <c r="G15" s="373">
        <f t="shared" si="1"/>
        <v>0</v>
      </c>
      <c r="J15" s="372">
        <v>45242.0</v>
      </c>
      <c r="K15" s="374">
        <f>COUNTIFS('KIDS&amp;ADULTS'!$A$3:$A$12008,J15,'KIDS&amp;ADULTS'!$B$3:$B$12008,$K$3)</f>
        <v>0</v>
      </c>
      <c r="L15" s="374">
        <f>COUNTIFS('KIDS&amp;ADULTS'!$A$3:$A$12008,J15,'KIDS&amp;ADULTS'!$B$3:$B$12008,$L$3)</f>
        <v>0</v>
      </c>
      <c r="M15" s="374">
        <f>COUNTIFS('KIDS&amp;ADULTS'!$A$3:$A$12008,J15,'KIDS&amp;ADULTS'!$B$3:$B$12008,$M$3)</f>
        <v>0</v>
      </c>
      <c r="N15" s="375">
        <f>COUNTIFS('KIDS&amp;ADULTS'!$A$3:$A$12008,J15,'KIDS&amp;ADULTS'!$B$3:$B$12008,$N$3)</f>
        <v>0</v>
      </c>
      <c r="O15" s="375">
        <f>COUNTIFS('KIDS&amp;ADULTS'!$A$3:$A$12008,J15,'KIDS&amp;ADULTS'!$B$3:$B$12008,$O$3)</f>
        <v>0</v>
      </c>
      <c r="P15" s="375">
        <f>COUNTIFS('KIDS&amp;ADULTS'!$A$3:$A$12008,J15,'KIDS&amp;ADULTS'!$B$3:$B$12008,$P$3)</f>
        <v>0</v>
      </c>
      <c r="Q15" s="375">
        <f>COUNTIFS('KIDS&amp;ADULTS'!$A$3:$A$1008,J15,'KIDS&amp;ADULTS'!$B$3:$B$1008,$Q$3)</f>
        <v>0</v>
      </c>
      <c r="R15" s="374">
        <f>COUNTIFS('KIDS&amp;ADULTS'!$A$3:$A$12008,J15,'KIDS&amp;ADULTS'!$B$3:$B$12008,$R$3)</f>
        <v>0</v>
      </c>
      <c r="U15" s="372">
        <v>45242.0</v>
      </c>
      <c r="V15" s="376">
        <f>COUNTIFS('KIDS&amp;ADULTS'!$V$3:$V$12006,U15,'KIDS&amp;ADULTS'!$B$3:$B$12006,$K$3,'KIDS&amp;ADULTS'!$N$3:$N$12006,"Đã đóng học phí")</f>
        <v>0</v>
      </c>
      <c r="W15" s="376">
        <f>COUNTIFS('KIDS&amp;ADULTS'!$V$3:$V$12006,U15,'KIDS&amp;ADULTS'!$B$3:$B12017,$W$3,'KIDS&amp;ADULTS'!$N$3:$N$12006,"Đã đóng học phí")</f>
        <v>0</v>
      </c>
      <c r="X15" s="376">
        <f>COUNTIFS('KIDS&amp;ADULTS'!$V$3:$V$12006,U15,'KIDS&amp;ADULTS'!$B$3:$B$12006,$X$3,'KIDS&amp;ADULTS'!$N$3:$N$12006,"Đã đóng học phí")</f>
        <v>0</v>
      </c>
      <c r="Y15" s="376">
        <f>COUNTIFS('KIDS&amp;ADULTS'!$V$3:$V$12006,U15,'KIDS&amp;ADULTS'!$B$3:$B$12006,$Y$3,'KIDS&amp;ADULTS'!$N$3:$N$12006,"Đã đóng học phí")</f>
        <v>0</v>
      </c>
      <c r="Z15" s="376">
        <f>COUNTIFS('KIDS&amp;ADULTS'!$V$3:$V$12006,U15,'KIDS&amp;ADULTS'!$B$3:$B$12006,$Z$3,'KIDS&amp;ADULTS'!$N$3:$N$12006,"Đã đóng học phí")</f>
        <v>0</v>
      </c>
      <c r="AA15" s="376">
        <f>COUNTIFS('KIDS&amp;ADULTS'!$V$3:$V$12006,U15,'KIDS&amp;ADULTS'!$B$3:$B$12006,$AA$3,'KIDS&amp;ADULTS'!$N$3:$N$12006,"Đã đóng học phí")</f>
        <v>0</v>
      </c>
      <c r="AB15" s="376">
        <f>COUNTIFS('KIDS&amp;ADULTS'!$V$3:$V$12006,U15,'KIDS&amp;ADULTS'!$B$3:$B$12006,$AB$3,'KIDS&amp;ADULTS'!$N$3:$N$12006,"Đã đóng học phí")</f>
        <v>0</v>
      </c>
      <c r="AC15" s="376">
        <f>COUNTIFS('KIDS&amp;ADULTS'!$V$3:$V$12006,U15,'KIDS&amp;ADULTS'!$B$3:$B$12006,$AC$3,'KIDS&amp;ADULTS'!$N$3:$N$12006,"Đã đóng học phí")</f>
        <v>0</v>
      </c>
    </row>
    <row r="16" ht="15.75" customHeight="1">
      <c r="A16" s="372">
        <v>45243.0</v>
      </c>
      <c r="B16" s="373">
        <f>sumifs('KIDS&amp;ADULTS'!$Z$3:$Z$1015,'KIDS&amp;ADULTS'!$V$3:$V$1015,A16,'KIDS&amp;ADULTS'!$M$3:$M$1015,$B$3)</f>
        <v>0</v>
      </c>
      <c r="C16" s="373">
        <f>sumifs('KIDS&amp;ADULTS'!$Z$3:$Z$1015,'KIDS&amp;ADULTS'!$V$3:$V$1015,A16,'KIDS&amp;ADULTS'!$M$3:$M$1015,"phương")</f>
        <v>0</v>
      </c>
      <c r="D16" s="373">
        <f>sumifs('KIDS&amp;ADULTS'!$Z$3:$Z$1015,'KIDS&amp;ADULTS'!$V$3:$V$1015,A16,'KIDS&amp;ADULTS'!$M$3:$M$1015,$D$3)</f>
        <v>0</v>
      </c>
      <c r="E16" s="373">
        <f>sumifs('KIDS&amp;ADULTS'!$Z$3:$Z$1015,'KIDS&amp;ADULTS'!$V$3:$V$1015,A16,'KIDS&amp;ADULTS'!$M$3:$M$1015,"Ánh")</f>
        <v>0</v>
      </c>
      <c r="F16" s="373">
        <f>sumifs('KIDS&amp;ADULTS'!$Z$3:$Z$1015,'KIDS&amp;ADULTS'!$V$3:$V$1015,A16,'KIDS&amp;ADULTS'!$M$3:$M$1015,"Loan")</f>
        <v>0</v>
      </c>
      <c r="G16" s="373">
        <f t="shared" si="1"/>
        <v>0</v>
      </c>
      <c r="J16" s="372">
        <v>45243.0</v>
      </c>
      <c r="K16" s="374">
        <f>COUNTIFS('KIDS&amp;ADULTS'!$A$3:$A$12008,J16,'KIDS&amp;ADULTS'!$B$3:$B$12008,$K$3)</f>
        <v>0</v>
      </c>
      <c r="L16" s="374">
        <f>COUNTIFS('KIDS&amp;ADULTS'!$A$3:$A$12008,J16,'KIDS&amp;ADULTS'!$B$3:$B$12008,$L$3)</f>
        <v>0</v>
      </c>
      <c r="M16" s="374">
        <f>COUNTIFS('KIDS&amp;ADULTS'!$A$3:$A$12008,J16,'KIDS&amp;ADULTS'!$B$3:$B$12008,$M$3)</f>
        <v>0</v>
      </c>
      <c r="N16" s="375">
        <f>COUNTIFS('KIDS&amp;ADULTS'!$A$3:$A$12008,J16,'KIDS&amp;ADULTS'!$B$3:$B$12008,$N$3)</f>
        <v>0</v>
      </c>
      <c r="O16" s="375">
        <f>COUNTIFS('KIDS&amp;ADULTS'!$A$3:$A$12008,J16,'KIDS&amp;ADULTS'!$B$3:$B$12008,$O$3)</f>
        <v>0</v>
      </c>
      <c r="P16" s="375">
        <f>COUNTIFS('KIDS&amp;ADULTS'!$A$3:$A$12008,J16,'KIDS&amp;ADULTS'!$B$3:$B$12008,$P$3)</f>
        <v>0</v>
      </c>
      <c r="Q16" s="375">
        <f>COUNTIFS('KIDS&amp;ADULTS'!$A$3:$A$1008,J16,'KIDS&amp;ADULTS'!$B$3:$B$1008,$Q$3)</f>
        <v>0</v>
      </c>
      <c r="R16" s="374">
        <f>COUNTIFS('KIDS&amp;ADULTS'!$A$3:$A$12008,J16,'KIDS&amp;ADULTS'!$B$3:$B$12008,$R$3)</f>
        <v>0</v>
      </c>
      <c r="U16" s="372">
        <v>45243.0</v>
      </c>
      <c r="V16" s="376">
        <f>COUNTIFS('KIDS&amp;ADULTS'!$V$3:$V$12006,U16,'KIDS&amp;ADULTS'!$B$3:$B$12006,$K$3,'KIDS&amp;ADULTS'!$N$3:$N$12006,"Đã đóng học phí")</f>
        <v>0</v>
      </c>
      <c r="W16" s="376">
        <f>COUNTIFS('KIDS&amp;ADULTS'!$V$3:$V$12006,U16,'KIDS&amp;ADULTS'!$B$3:$B12018,$W$3,'KIDS&amp;ADULTS'!$N$3:$N$12006,"Đã đóng học phí")</f>
        <v>0</v>
      </c>
      <c r="X16" s="376">
        <f>COUNTIFS('KIDS&amp;ADULTS'!$V$3:$V$12006,U16,'KIDS&amp;ADULTS'!$B$3:$B$12006,$X$3,'KIDS&amp;ADULTS'!$N$3:$N$12006,"Đã đóng học phí")</f>
        <v>0</v>
      </c>
      <c r="Y16" s="376">
        <f>COUNTIFS('KIDS&amp;ADULTS'!$V$3:$V$12006,U16,'KIDS&amp;ADULTS'!$B$3:$B$12006,$Y$3,'KIDS&amp;ADULTS'!$N$3:$N$12006,"Đã đóng học phí")</f>
        <v>0</v>
      </c>
      <c r="Z16" s="376">
        <f>COUNTIFS('KIDS&amp;ADULTS'!$V$3:$V$12006,U16,'KIDS&amp;ADULTS'!$B$3:$B$12006,$Z$3,'KIDS&amp;ADULTS'!$N$3:$N$12006,"Đã đóng học phí")</f>
        <v>0</v>
      </c>
      <c r="AA16" s="376">
        <f>COUNTIFS('KIDS&amp;ADULTS'!$V$3:$V$12006,U16,'KIDS&amp;ADULTS'!$B$3:$B$12006,$AA$3,'KIDS&amp;ADULTS'!$N$3:$N$12006,"Đã đóng học phí")</f>
        <v>0</v>
      </c>
      <c r="AB16" s="376">
        <f>COUNTIFS('KIDS&amp;ADULTS'!$V$3:$V$12006,U16,'KIDS&amp;ADULTS'!$B$3:$B$12006,$AB$3,'KIDS&amp;ADULTS'!$N$3:$N$12006,"Đã đóng học phí")</f>
        <v>0</v>
      </c>
      <c r="AC16" s="376">
        <f>COUNTIFS('KIDS&amp;ADULTS'!$V$3:$V$12006,U16,'KIDS&amp;ADULTS'!$B$3:$B$12006,$AC$3,'KIDS&amp;ADULTS'!$N$3:$N$12006,"Đã đóng học phí")</f>
        <v>0</v>
      </c>
    </row>
    <row r="17" ht="15.75" customHeight="1">
      <c r="A17" s="372">
        <v>45244.0</v>
      </c>
      <c r="B17" s="373">
        <f>sumifs('KIDS&amp;ADULTS'!$Z$3:$Z$1015,'KIDS&amp;ADULTS'!$V$3:$V$1015,A17,'KIDS&amp;ADULTS'!$M$3:$M$1015,$B$3)</f>
        <v>0</v>
      </c>
      <c r="C17" s="373">
        <f>sumifs('KIDS&amp;ADULTS'!$Z$3:$Z$1015,'KIDS&amp;ADULTS'!$V$3:$V$1015,A17,'KIDS&amp;ADULTS'!$M$3:$M$1015,"phương")</f>
        <v>0</v>
      </c>
      <c r="D17" s="373">
        <f>sumifs('KIDS&amp;ADULTS'!$Z$3:$Z$1015,'KIDS&amp;ADULTS'!$V$3:$V$1015,A17,'KIDS&amp;ADULTS'!$M$3:$M$1015,$D$3)</f>
        <v>0</v>
      </c>
      <c r="E17" s="373">
        <f>sumifs('KIDS&amp;ADULTS'!$Z$3:$Z$1015,'KIDS&amp;ADULTS'!$V$3:$V$1015,A17,'KIDS&amp;ADULTS'!$M$3:$M$1015,"Ánh")</f>
        <v>0</v>
      </c>
      <c r="F17" s="373">
        <f>sumifs('KIDS&amp;ADULTS'!$Z$3:$Z$1015,'KIDS&amp;ADULTS'!$V$3:$V$1015,A17,'KIDS&amp;ADULTS'!$M$3:$M$1015,"Loan")</f>
        <v>0</v>
      </c>
      <c r="G17" s="373">
        <f t="shared" si="1"/>
        <v>0</v>
      </c>
      <c r="J17" s="372">
        <v>45244.0</v>
      </c>
      <c r="K17" s="374">
        <f>COUNTIFS('KIDS&amp;ADULTS'!$A$3:$A$12008,J17,'KIDS&amp;ADULTS'!$B$3:$B$12008,$K$3)</f>
        <v>0</v>
      </c>
      <c r="L17" s="374">
        <f>COUNTIFS('KIDS&amp;ADULTS'!$A$3:$A$12008,J17,'KIDS&amp;ADULTS'!$B$3:$B$12008,$L$3)</f>
        <v>0</v>
      </c>
      <c r="M17" s="374">
        <f>COUNTIFS('KIDS&amp;ADULTS'!$A$3:$A$12008,J17,'KIDS&amp;ADULTS'!$B$3:$B$12008,$M$3)</f>
        <v>0</v>
      </c>
      <c r="N17" s="375">
        <f>COUNTIFS('KIDS&amp;ADULTS'!$A$3:$A$12008,J17,'KIDS&amp;ADULTS'!$B$3:$B$12008,$N$3)</f>
        <v>0</v>
      </c>
      <c r="O17" s="375">
        <f>COUNTIFS('KIDS&amp;ADULTS'!$A$3:$A$12008,J17,'KIDS&amp;ADULTS'!$B$3:$B$12008,$O$3)</f>
        <v>0</v>
      </c>
      <c r="P17" s="375">
        <f>COUNTIFS('KIDS&amp;ADULTS'!$A$3:$A$12008,J17,'KIDS&amp;ADULTS'!$B$3:$B$12008,$P$3)</f>
        <v>0</v>
      </c>
      <c r="Q17" s="375">
        <f>COUNTIFS('KIDS&amp;ADULTS'!$A$3:$A$1008,J17,'KIDS&amp;ADULTS'!$B$3:$B$1008,$Q$3)</f>
        <v>0</v>
      </c>
      <c r="R17" s="374">
        <f>COUNTIFS('KIDS&amp;ADULTS'!$A$3:$A$12008,J17,'KIDS&amp;ADULTS'!$B$3:$B$12008,$R$3)</f>
        <v>0</v>
      </c>
      <c r="U17" s="372">
        <v>45244.0</v>
      </c>
      <c r="V17" s="376">
        <f>COUNTIFS('KIDS&amp;ADULTS'!$V$3:$V$12006,U17,'KIDS&amp;ADULTS'!$B$3:$B$12006,$K$3,'KIDS&amp;ADULTS'!$N$3:$N$12006,"Đã đóng học phí")</f>
        <v>0</v>
      </c>
      <c r="W17" s="376">
        <f>COUNTIFS('KIDS&amp;ADULTS'!$V$3:$V$12006,U17,'KIDS&amp;ADULTS'!$B$3:$B12019,$W$3,'KIDS&amp;ADULTS'!$N$3:$N$12006,"Đã đóng học phí")</f>
        <v>0</v>
      </c>
      <c r="X17" s="376">
        <f>COUNTIFS('KIDS&amp;ADULTS'!$V$3:$V$12006,U17,'KIDS&amp;ADULTS'!$B$3:$B$12006,$X$3,'KIDS&amp;ADULTS'!$N$3:$N$12006,"Đã đóng học phí")</f>
        <v>0</v>
      </c>
      <c r="Y17" s="376">
        <f>COUNTIFS('KIDS&amp;ADULTS'!$V$3:$V$12006,U17,'KIDS&amp;ADULTS'!$B$3:$B$12006,$Y$3,'KIDS&amp;ADULTS'!$N$3:$N$12006,"Đã đóng học phí")</f>
        <v>0</v>
      </c>
      <c r="Z17" s="376">
        <f>COUNTIFS('KIDS&amp;ADULTS'!$V$3:$V$12006,U17,'KIDS&amp;ADULTS'!$B$3:$B$12006,$Z$3,'KIDS&amp;ADULTS'!$N$3:$N$12006,"Đã đóng học phí")</f>
        <v>0</v>
      </c>
      <c r="AA17" s="376">
        <f>COUNTIFS('KIDS&amp;ADULTS'!$V$3:$V$12006,U17,'KIDS&amp;ADULTS'!$B$3:$B$12006,$AA$3,'KIDS&amp;ADULTS'!$N$3:$N$12006,"Đã đóng học phí")</f>
        <v>0</v>
      </c>
      <c r="AB17" s="376">
        <f>COUNTIFS('KIDS&amp;ADULTS'!$V$3:$V$12006,U17,'KIDS&amp;ADULTS'!$B$3:$B$12006,$AB$3,'KIDS&amp;ADULTS'!$N$3:$N$12006,"Đã đóng học phí")</f>
        <v>0</v>
      </c>
      <c r="AC17" s="376">
        <f>COUNTIFS('KIDS&amp;ADULTS'!$V$3:$V$12006,U17,'KIDS&amp;ADULTS'!$B$3:$B$12006,$AC$3,'KIDS&amp;ADULTS'!$N$3:$N$12006,"Đã đóng học phí")</f>
        <v>0</v>
      </c>
    </row>
    <row r="18" ht="15.75" customHeight="1">
      <c r="A18" s="372">
        <v>45245.0</v>
      </c>
      <c r="B18" s="373">
        <f>sumifs('KIDS&amp;ADULTS'!$Z$3:$Z$1015,'KIDS&amp;ADULTS'!$V$3:$V$1015,A18,'KIDS&amp;ADULTS'!$M$3:$M$1015,$B$3)</f>
        <v>0</v>
      </c>
      <c r="C18" s="373">
        <f>sumifs('KIDS&amp;ADULTS'!$Z$3:$Z$1015,'KIDS&amp;ADULTS'!$V$3:$V$1015,A18,'KIDS&amp;ADULTS'!$M$3:$M$1015,"phương")</f>
        <v>0</v>
      </c>
      <c r="D18" s="373">
        <f>sumifs('KIDS&amp;ADULTS'!$Z$3:$Z$1015,'KIDS&amp;ADULTS'!$V$3:$V$1015,A18,'KIDS&amp;ADULTS'!$M$3:$M$1015,$D$3)</f>
        <v>0</v>
      </c>
      <c r="E18" s="373">
        <f>sumifs('KIDS&amp;ADULTS'!$Z$3:$Z$1015,'KIDS&amp;ADULTS'!$V$3:$V$1015,A18,'KIDS&amp;ADULTS'!$M$3:$M$1015,"Ánh")</f>
        <v>0</v>
      </c>
      <c r="F18" s="373">
        <f>sumifs('KIDS&amp;ADULTS'!$Z$3:$Z$1015,'KIDS&amp;ADULTS'!$V$3:$V$1015,A18,'KIDS&amp;ADULTS'!$M$3:$M$1015,"Loan")</f>
        <v>0</v>
      </c>
      <c r="G18" s="373">
        <f t="shared" si="1"/>
        <v>0</v>
      </c>
      <c r="J18" s="372">
        <v>45245.0</v>
      </c>
      <c r="K18" s="374">
        <f>COUNTIFS('KIDS&amp;ADULTS'!$A$3:$A$12008,J18,'KIDS&amp;ADULTS'!$B$3:$B$12008,$K$3)</f>
        <v>0</v>
      </c>
      <c r="L18" s="374">
        <f>COUNTIFS('KIDS&amp;ADULTS'!$A$3:$A$12008,J18,'KIDS&amp;ADULTS'!$B$3:$B$12008,$L$3)</f>
        <v>0</v>
      </c>
      <c r="M18" s="374">
        <f>COUNTIFS('KIDS&amp;ADULTS'!$A$3:$A$12008,J18,'KIDS&amp;ADULTS'!$B$3:$B$12008,$M$3)</f>
        <v>0</v>
      </c>
      <c r="N18" s="375">
        <f>COUNTIFS('KIDS&amp;ADULTS'!$A$3:$A$12008,J18,'KIDS&amp;ADULTS'!$B$3:$B$12008,$N$3)</f>
        <v>0</v>
      </c>
      <c r="O18" s="375">
        <f>COUNTIFS('KIDS&amp;ADULTS'!$A$3:$A$12008,J18,'KIDS&amp;ADULTS'!$B$3:$B$12008,$O$3)</f>
        <v>0</v>
      </c>
      <c r="P18" s="375">
        <f>COUNTIFS('KIDS&amp;ADULTS'!$A$3:$A$12008,J18,'KIDS&amp;ADULTS'!$B$3:$B$12008,$P$3)</f>
        <v>0</v>
      </c>
      <c r="Q18" s="375">
        <f>COUNTIFS('KIDS&amp;ADULTS'!$A$3:$A$1008,J18,'KIDS&amp;ADULTS'!$B$3:$B$1008,$Q$3)</f>
        <v>0</v>
      </c>
      <c r="R18" s="374">
        <f>COUNTIFS('KIDS&amp;ADULTS'!$A$3:$A$12008,J18,'KIDS&amp;ADULTS'!$B$3:$B$12008,$R$3)</f>
        <v>0</v>
      </c>
      <c r="U18" s="372">
        <v>45245.0</v>
      </c>
      <c r="V18" s="376">
        <f>COUNTIFS('KIDS&amp;ADULTS'!$V$3:$V$12006,U18,'KIDS&amp;ADULTS'!$B$3:$B$12006,$K$3,'KIDS&amp;ADULTS'!$N$3:$N$12006,"Đã đóng học phí")</f>
        <v>0</v>
      </c>
      <c r="W18" s="376">
        <f>COUNTIFS('KIDS&amp;ADULTS'!$V$3:$V$12006,U18,'KIDS&amp;ADULTS'!$B$3:$B12020,$W$3,'KIDS&amp;ADULTS'!$N$3:$N$12006,"Đã đóng học phí")</f>
        <v>0</v>
      </c>
      <c r="X18" s="376">
        <f>COUNTIFS('KIDS&amp;ADULTS'!$V$3:$V$12006,U18,'KIDS&amp;ADULTS'!$B$3:$B$12006,$X$3,'KIDS&amp;ADULTS'!$N$3:$N$12006,"Đã đóng học phí")</f>
        <v>0</v>
      </c>
      <c r="Y18" s="376">
        <f>COUNTIFS('KIDS&amp;ADULTS'!$V$3:$V$12006,U18,'KIDS&amp;ADULTS'!$B$3:$B$12006,$Y$3,'KIDS&amp;ADULTS'!$N$3:$N$12006,"Đã đóng học phí")</f>
        <v>0</v>
      </c>
      <c r="Z18" s="376">
        <f>COUNTIFS('KIDS&amp;ADULTS'!$V$3:$V$12006,U18,'KIDS&amp;ADULTS'!$B$3:$B$12006,$Z$3,'KIDS&amp;ADULTS'!$N$3:$N$12006,"Đã đóng học phí")</f>
        <v>0</v>
      </c>
      <c r="AA18" s="376">
        <f>COUNTIFS('KIDS&amp;ADULTS'!$V$3:$V$12006,U18,'KIDS&amp;ADULTS'!$B$3:$B$12006,$AA$3,'KIDS&amp;ADULTS'!$N$3:$N$12006,"Đã đóng học phí")</f>
        <v>0</v>
      </c>
      <c r="AB18" s="376">
        <f>COUNTIFS('KIDS&amp;ADULTS'!$V$3:$V$12006,U18,'KIDS&amp;ADULTS'!$B$3:$B$12006,$AB$3,'KIDS&amp;ADULTS'!$N$3:$N$12006,"Đã đóng học phí")</f>
        <v>0</v>
      </c>
      <c r="AC18" s="376">
        <f>COUNTIFS('KIDS&amp;ADULTS'!$V$3:$V$12006,U18,'KIDS&amp;ADULTS'!$B$3:$B$12006,$AC$3,'KIDS&amp;ADULTS'!$N$3:$N$12006,"Đã đóng học phí")</f>
        <v>0</v>
      </c>
    </row>
    <row r="19" ht="15.75" customHeight="1">
      <c r="A19" s="372">
        <v>45246.0</v>
      </c>
      <c r="B19" s="373">
        <f>sumifs('KIDS&amp;ADULTS'!$Z$3:$Z$1015,'KIDS&amp;ADULTS'!$V$3:$V$1015,A19,'KIDS&amp;ADULTS'!$M$3:$M$1015,$B$3)</f>
        <v>0</v>
      </c>
      <c r="C19" s="373">
        <f>sumifs('KIDS&amp;ADULTS'!$Z$3:$Z$1015,'KIDS&amp;ADULTS'!$V$3:$V$1015,A19,'KIDS&amp;ADULTS'!$M$3:$M$1015,"phương")</f>
        <v>0</v>
      </c>
      <c r="D19" s="373">
        <f>sumifs('KIDS&amp;ADULTS'!$Z$3:$Z$1015,'KIDS&amp;ADULTS'!$V$3:$V$1015,A19,'KIDS&amp;ADULTS'!$M$3:$M$1015,$D$3)</f>
        <v>0</v>
      </c>
      <c r="E19" s="373">
        <f>sumifs('KIDS&amp;ADULTS'!$Z$3:$Z$1015,'KIDS&amp;ADULTS'!$V$3:$V$1015,A19,'KIDS&amp;ADULTS'!$M$3:$M$1015,"Ánh")</f>
        <v>4916400</v>
      </c>
      <c r="F19" s="373">
        <f>sumifs('KIDS&amp;ADULTS'!$Z$3:$Z$1015,'KIDS&amp;ADULTS'!$V$3:$V$1015,A19,'KIDS&amp;ADULTS'!$M$3:$M$1015,"Loan")</f>
        <v>0</v>
      </c>
      <c r="G19" s="373">
        <f t="shared" si="1"/>
        <v>4916400</v>
      </c>
      <c r="J19" s="372">
        <v>45246.0</v>
      </c>
      <c r="K19" s="374">
        <f>COUNTIFS('KIDS&amp;ADULTS'!$A$3:$A$12008,J19,'KIDS&amp;ADULTS'!$B$3:$B$12008,$K$3)</f>
        <v>0</v>
      </c>
      <c r="L19" s="374">
        <f>COUNTIFS('KIDS&amp;ADULTS'!$A$3:$A$12008,J19,'KIDS&amp;ADULTS'!$B$3:$B$12008,$L$3)</f>
        <v>0</v>
      </c>
      <c r="M19" s="374">
        <f>COUNTIFS('KIDS&amp;ADULTS'!$A$3:$A$12008,J19,'KIDS&amp;ADULTS'!$B$3:$B$12008,$M$3)</f>
        <v>0</v>
      </c>
      <c r="N19" s="375">
        <f>COUNTIFS('KIDS&amp;ADULTS'!$A$3:$A$12008,J19,'KIDS&amp;ADULTS'!$B$3:$B$12008,$N$3)</f>
        <v>1</v>
      </c>
      <c r="O19" s="375">
        <f>COUNTIFS('KIDS&amp;ADULTS'!$A$3:$A$12008,J19,'KIDS&amp;ADULTS'!$B$3:$B$12008,$O$3)</f>
        <v>0</v>
      </c>
      <c r="P19" s="375">
        <f>COUNTIFS('KIDS&amp;ADULTS'!$A$3:$A$12008,J19,'KIDS&amp;ADULTS'!$B$3:$B$12008,$P$3)</f>
        <v>0</v>
      </c>
      <c r="Q19" s="375">
        <f>COUNTIFS('KIDS&amp;ADULTS'!$A$3:$A$1008,J19,'KIDS&amp;ADULTS'!$B$3:$B$1008,$Q$3)</f>
        <v>0</v>
      </c>
      <c r="R19" s="374">
        <f>COUNTIFS('KIDS&amp;ADULTS'!$A$3:$A$12008,J19,'KIDS&amp;ADULTS'!$B$3:$B$12008,$R$3)</f>
        <v>0</v>
      </c>
      <c r="U19" s="372">
        <v>45246.0</v>
      </c>
      <c r="V19" s="376">
        <f>COUNTIFS('KIDS&amp;ADULTS'!$V$3:$V$12006,U19,'KIDS&amp;ADULTS'!$B$3:$B$12006,$K$3,'KIDS&amp;ADULTS'!$N$3:$N$12006,"Đã đóng học phí")</f>
        <v>0</v>
      </c>
      <c r="W19" s="376">
        <f>COUNTIFS('KIDS&amp;ADULTS'!$V$3:$V$12006,U19,'KIDS&amp;ADULTS'!$B$3:$B12021,$W$3,'KIDS&amp;ADULTS'!$N$3:$N$12006,"Đã đóng học phí")</f>
        <v>0</v>
      </c>
      <c r="X19" s="376">
        <f>COUNTIFS('KIDS&amp;ADULTS'!$V$3:$V$12006,U19,'KIDS&amp;ADULTS'!$B$3:$B$12006,$X$3,'KIDS&amp;ADULTS'!$N$3:$N$12006,"Đã đóng học phí")</f>
        <v>0</v>
      </c>
      <c r="Y19" s="376">
        <f>COUNTIFS('KIDS&amp;ADULTS'!$V$3:$V$12006,U19,'KIDS&amp;ADULTS'!$B$3:$B$12006,$Y$3,'KIDS&amp;ADULTS'!$N$3:$N$12006,"Đã đóng học phí")</f>
        <v>0</v>
      </c>
      <c r="Z19" s="376">
        <f>COUNTIFS('KIDS&amp;ADULTS'!$V$3:$V$12006,U19,'KIDS&amp;ADULTS'!$B$3:$B$12006,$Z$3,'KIDS&amp;ADULTS'!$N$3:$N$12006,"Đã đóng học phí")</f>
        <v>1</v>
      </c>
      <c r="AA19" s="376">
        <f>COUNTIFS('KIDS&amp;ADULTS'!$V$3:$V$12006,U19,'KIDS&amp;ADULTS'!$B$3:$B$12006,$AA$3,'KIDS&amp;ADULTS'!$N$3:$N$12006,"Đã đóng học phí")</f>
        <v>0</v>
      </c>
      <c r="AB19" s="376">
        <f>COUNTIFS('KIDS&amp;ADULTS'!$V$3:$V$12006,U19,'KIDS&amp;ADULTS'!$B$3:$B$12006,$AB$3,'KIDS&amp;ADULTS'!$N$3:$N$12006,"Đã đóng học phí")</f>
        <v>0</v>
      </c>
      <c r="AC19" s="376">
        <f>COUNTIFS('KIDS&amp;ADULTS'!$V$3:$V$12006,U19,'KIDS&amp;ADULTS'!$B$3:$B$12006,$AC$3,'KIDS&amp;ADULTS'!$N$3:$N$12006,"Đã đóng học phí")</f>
        <v>0</v>
      </c>
    </row>
    <row r="20" ht="15.75" customHeight="1">
      <c r="A20" s="372">
        <v>45247.0</v>
      </c>
      <c r="B20" s="373">
        <f>sumifs('KIDS&amp;ADULTS'!$Z$3:$Z$1015,'KIDS&amp;ADULTS'!$V$3:$V$1015,A20,'KIDS&amp;ADULTS'!$M$3:$M$1015,$B$3)</f>
        <v>0</v>
      </c>
      <c r="C20" s="373">
        <f>sumifs('KIDS&amp;ADULTS'!$Z$3:$Z$1015,'KIDS&amp;ADULTS'!$V$3:$V$1015,A20,'KIDS&amp;ADULTS'!$M$3:$M$1015,"phương")</f>
        <v>0</v>
      </c>
      <c r="D20" s="373">
        <f>sumifs('KIDS&amp;ADULTS'!$Z$3:$Z$1015,'KIDS&amp;ADULTS'!$V$3:$V$1015,A20,'KIDS&amp;ADULTS'!$M$3:$M$1015,$D$3)</f>
        <v>0</v>
      </c>
      <c r="E20" s="373">
        <f>sumifs('KIDS&amp;ADULTS'!$Z$3:$Z$1015,'KIDS&amp;ADULTS'!$V$3:$V$1015,A20,'KIDS&amp;ADULTS'!$M$3:$M$1015,"Ánh")</f>
        <v>0</v>
      </c>
      <c r="F20" s="373">
        <f>sumifs('KIDS&amp;ADULTS'!$Z$3:$Z$1015,'KIDS&amp;ADULTS'!$V$3:$V$1015,A20,'KIDS&amp;ADULTS'!$M$3:$M$1015,"Loan")</f>
        <v>0</v>
      </c>
      <c r="G20" s="373">
        <f t="shared" si="1"/>
        <v>0</v>
      </c>
      <c r="J20" s="372">
        <v>45247.0</v>
      </c>
      <c r="K20" s="374">
        <f>COUNTIFS('KIDS&amp;ADULTS'!$A$3:$A$12008,J20,'KIDS&amp;ADULTS'!$B$3:$B$12008,$K$3)</f>
        <v>0</v>
      </c>
      <c r="L20" s="374">
        <f>COUNTIFS('KIDS&amp;ADULTS'!$A$3:$A$12008,J20,'KIDS&amp;ADULTS'!$B$3:$B$12008,$L$3)</f>
        <v>0</v>
      </c>
      <c r="M20" s="374">
        <f>COUNTIFS('KIDS&amp;ADULTS'!$A$3:$A$12008,J20,'KIDS&amp;ADULTS'!$B$3:$B$12008,$M$3)</f>
        <v>0</v>
      </c>
      <c r="N20" s="375">
        <f>COUNTIFS('KIDS&amp;ADULTS'!$A$3:$A$12008,J20,'KIDS&amp;ADULTS'!$B$3:$B$12008,$N$3)</f>
        <v>0</v>
      </c>
      <c r="O20" s="375">
        <f>COUNTIFS('KIDS&amp;ADULTS'!$A$3:$A$12008,J20,'KIDS&amp;ADULTS'!$B$3:$B$12008,$O$3)</f>
        <v>0</v>
      </c>
      <c r="P20" s="375">
        <f>COUNTIFS('KIDS&amp;ADULTS'!$A$3:$A$12008,J20,'KIDS&amp;ADULTS'!$B$3:$B$12008,$P$3)</f>
        <v>0</v>
      </c>
      <c r="Q20" s="375">
        <f>COUNTIFS('KIDS&amp;ADULTS'!$A$3:$A$1008,J20,'KIDS&amp;ADULTS'!$B$3:$B$1008,$Q$3)</f>
        <v>0</v>
      </c>
      <c r="R20" s="374">
        <f>COUNTIFS('KIDS&amp;ADULTS'!$A$3:$A$12008,J20,'KIDS&amp;ADULTS'!$B$3:$B$12008,$R$3)</f>
        <v>0</v>
      </c>
      <c r="U20" s="372">
        <v>45247.0</v>
      </c>
      <c r="V20" s="376">
        <f>COUNTIFS('KIDS&amp;ADULTS'!$V$3:$V$12006,U20,'KIDS&amp;ADULTS'!$B$3:$B$12006,$K$3,'KIDS&amp;ADULTS'!$N$3:$N$12006,"Đã đóng học phí")</f>
        <v>0</v>
      </c>
      <c r="W20" s="376">
        <f>COUNTIFS('KIDS&amp;ADULTS'!$V$3:$V$12006,U20,'KIDS&amp;ADULTS'!$B$3:$B12022,$W$3,'KIDS&amp;ADULTS'!$N$3:$N$12006,"Đã đóng học phí")</f>
        <v>0</v>
      </c>
      <c r="X20" s="376">
        <f>COUNTIFS('KIDS&amp;ADULTS'!$V$3:$V$12006,U20,'KIDS&amp;ADULTS'!$B$3:$B$12006,$X$3,'KIDS&amp;ADULTS'!$N$3:$N$12006,"Đã đóng học phí")</f>
        <v>0</v>
      </c>
      <c r="Y20" s="376">
        <f>COUNTIFS('KIDS&amp;ADULTS'!$V$3:$V$12006,U20,'KIDS&amp;ADULTS'!$B$3:$B$12006,$Y$3,'KIDS&amp;ADULTS'!$N$3:$N$12006,"Đã đóng học phí")</f>
        <v>0</v>
      </c>
      <c r="Z20" s="376">
        <f>COUNTIFS('KIDS&amp;ADULTS'!$V$3:$V$12006,U20,'KIDS&amp;ADULTS'!$B$3:$B$12006,$Z$3,'KIDS&amp;ADULTS'!$N$3:$N$12006,"Đã đóng học phí")</f>
        <v>0</v>
      </c>
      <c r="AA20" s="376">
        <f>COUNTIFS('KIDS&amp;ADULTS'!$V$3:$V$12006,U20,'KIDS&amp;ADULTS'!$B$3:$B$12006,$AA$3,'KIDS&amp;ADULTS'!$N$3:$N$12006,"Đã đóng học phí")</f>
        <v>0</v>
      </c>
      <c r="AB20" s="376">
        <f>COUNTIFS('KIDS&amp;ADULTS'!$V$3:$V$12006,U20,'KIDS&amp;ADULTS'!$B$3:$B$12006,$AB$3,'KIDS&amp;ADULTS'!$N$3:$N$12006,"Đã đóng học phí")</f>
        <v>0</v>
      </c>
      <c r="AC20" s="376">
        <f>COUNTIFS('KIDS&amp;ADULTS'!$V$3:$V$12006,U20,'KIDS&amp;ADULTS'!$B$3:$B$12006,$AC$3,'KIDS&amp;ADULTS'!$N$3:$N$12006,"Đã đóng học phí")</f>
        <v>0</v>
      </c>
    </row>
    <row r="21" ht="15.75" customHeight="1">
      <c r="A21" s="372">
        <v>45248.0</v>
      </c>
      <c r="B21" s="373">
        <f>sumifs('KIDS&amp;ADULTS'!$Z$3:$Z$1015,'KIDS&amp;ADULTS'!$V$3:$V$1015,A21,'KIDS&amp;ADULTS'!$M$3:$M$1015,$B$3)</f>
        <v>0</v>
      </c>
      <c r="C21" s="373">
        <f>sumifs('KIDS&amp;ADULTS'!$Z$3:$Z$1015,'KIDS&amp;ADULTS'!$V$3:$V$1015,A21,'KIDS&amp;ADULTS'!$M$3:$M$1015,"phương")</f>
        <v>0</v>
      </c>
      <c r="D21" s="373">
        <f>sumifs('KIDS&amp;ADULTS'!$Z$3:$Z$1015,'KIDS&amp;ADULTS'!$V$3:$V$1015,A21,'KIDS&amp;ADULTS'!$M$3:$M$1015,$D$3)</f>
        <v>0</v>
      </c>
      <c r="E21" s="373">
        <f>sumifs('KIDS&amp;ADULTS'!$Z$3:$Z$1015,'KIDS&amp;ADULTS'!$V$3:$V$1015,A21,'KIDS&amp;ADULTS'!$M$3:$M$1015,"Ánh")</f>
        <v>7355000</v>
      </c>
      <c r="F21" s="373">
        <f>sumifs('KIDS&amp;ADULTS'!$Z$3:$Z$1015,'KIDS&amp;ADULTS'!$V$3:$V$1015,A21,'KIDS&amp;ADULTS'!$M$3:$M$1015,"Loan")</f>
        <v>0</v>
      </c>
      <c r="G21" s="373">
        <f t="shared" si="1"/>
        <v>7355000</v>
      </c>
      <c r="J21" s="372">
        <v>45248.0</v>
      </c>
      <c r="K21" s="374">
        <f>COUNTIFS('KIDS&amp;ADULTS'!$A$3:$A$12008,J21,'KIDS&amp;ADULTS'!$B$3:$B$12008,$K$3)</f>
        <v>0</v>
      </c>
      <c r="L21" s="374">
        <f>COUNTIFS('KIDS&amp;ADULTS'!$A$3:$A$12008,J21,'KIDS&amp;ADULTS'!$B$3:$B$12008,$L$3)</f>
        <v>0</v>
      </c>
      <c r="M21" s="374">
        <f>COUNTIFS('KIDS&amp;ADULTS'!$A$3:$A$12008,J21,'KIDS&amp;ADULTS'!$B$3:$B$12008,$M$3)</f>
        <v>0</v>
      </c>
      <c r="N21" s="375">
        <f>COUNTIFS('KIDS&amp;ADULTS'!$A$3:$A$12008,J21,'KIDS&amp;ADULTS'!$B$3:$B$12008,$N$3)</f>
        <v>0</v>
      </c>
      <c r="O21" s="375">
        <f>COUNTIFS('KIDS&amp;ADULTS'!$A$3:$A$12008,J21,'KIDS&amp;ADULTS'!$B$3:$B$12008,$O$3)</f>
        <v>0</v>
      </c>
      <c r="P21" s="375">
        <f>COUNTIFS('KIDS&amp;ADULTS'!$A$3:$A$12008,J21,'KIDS&amp;ADULTS'!$B$3:$B$12008,$P$3)</f>
        <v>0</v>
      </c>
      <c r="Q21" s="375">
        <f>COUNTIFS('KIDS&amp;ADULTS'!$A$3:$A$1008,J21,'KIDS&amp;ADULTS'!$B$3:$B$1008,$Q$3)</f>
        <v>0</v>
      </c>
      <c r="R21" s="374">
        <f>COUNTIFS('KIDS&amp;ADULTS'!$A$3:$A$12008,J21,'KIDS&amp;ADULTS'!$B$3:$B$12008,$R$3)</f>
        <v>0</v>
      </c>
      <c r="U21" s="372">
        <v>45248.0</v>
      </c>
      <c r="V21" s="376">
        <f>COUNTIFS('KIDS&amp;ADULTS'!$V$3:$V$12006,U21,'KIDS&amp;ADULTS'!$B$3:$B$12006,$K$3,'KIDS&amp;ADULTS'!$N$3:$N$12006,"Đã đóng học phí")</f>
        <v>0</v>
      </c>
      <c r="W21" s="376">
        <f>COUNTIFS('KIDS&amp;ADULTS'!$V$3:$V$12006,U21,'KIDS&amp;ADULTS'!$B$3:$B12023,$W$3,'KIDS&amp;ADULTS'!$N$3:$N$12006,"Đã đóng học phí")</f>
        <v>0</v>
      </c>
      <c r="X21" s="376">
        <f>COUNTIFS('KIDS&amp;ADULTS'!$V$3:$V$12006,U21,'KIDS&amp;ADULTS'!$B$3:$B$12006,$X$3,'KIDS&amp;ADULTS'!$N$3:$N$12006,"Đã đóng học phí")</f>
        <v>0</v>
      </c>
      <c r="Y21" s="376">
        <f>COUNTIFS('KIDS&amp;ADULTS'!$V$3:$V$12006,U21,'KIDS&amp;ADULTS'!$B$3:$B$12006,$Y$3,'KIDS&amp;ADULTS'!$N$3:$N$12006,"Đã đóng học phí")</f>
        <v>0</v>
      </c>
      <c r="Z21" s="376">
        <f>COUNTIFS('KIDS&amp;ADULTS'!$V$3:$V$12006,U21,'KIDS&amp;ADULTS'!$B$3:$B$12006,$Z$3,'KIDS&amp;ADULTS'!$N$3:$N$12006,"Đã đóng học phí")</f>
        <v>0</v>
      </c>
      <c r="AA21" s="376">
        <f>COUNTIFS('KIDS&amp;ADULTS'!$V$3:$V$12006,U21,'KIDS&amp;ADULTS'!$B$3:$B$12006,$AA$3,'KIDS&amp;ADULTS'!$N$3:$N$12006,"Đã đóng học phí")</f>
        <v>0</v>
      </c>
      <c r="AB21" s="376">
        <f>COUNTIFS('KIDS&amp;ADULTS'!$V$3:$V$12006,U21,'KIDS&amp;ADULTS'!$B$3:$B$12006,$AB$3,'KIDS&amp;ADULTS'!$N$3:$N$12006,"Đã đóng học phí")</f>
        <v>0</v>
      </c>
      <c r="AC21" s="376">
        <f>COUNTIFS('KIDS&amp;ADULTS'!$V$3:$V$12006,U21,'KIDS&amp;ADULTS'!$B$3:$B$12006,$AC$3,'KIDS&amp;ADULTS'!$N$3:$N$12006,"Đã đóng học phí")</f>
        <v>0</v>
      </c>
    </row>
    <row r="22" ht="15.75" customHeight="1">
      <c r="A22" s="372">
        <v>45249.0</v>
      </c>
      <c r="B22" s="373">
        <f>sumifs('KIDS&amp;ADULTS'!$Z$3:$Z$1015,'KIDS&amp;ADULTS'!$V$3:$V$1015,A22,'KIDS&amp;ADULTS'!$M$3:$M$1015,$B$3)</f>
        <v>0</v>
      </c>
      <c r="C22" s="373">
        <f>sumifs('KIDS&amp;ADULTS'!$Z$3:$Z$1015,'KIDS&amp;ADULTS'!$V$3:$V$1015,A22,'KIDS&amp;ADULTS'!$M$3:$M$1015,"phương")</f>
        <v>0</v>
      </c>
      <c r="D22" s="373">
        <f>sumifs('KIDS&amp;ADULTS'!$Z$3:$Z$1015,'KIDS&amp;ADULTS'!$V$3:$V$1015,A22,'KIDS&amp;ADULTS'!$M$3:$M$1015,$D$3)</f>
        <v>0</v>
      </c>
      <c r="E22" s="373">
        <f>sumifs('KIDS&amp;ADULTS'!$Z$3:$Z$1015,'KIDS&amp;ADULTS'!$V$3:$V$1015,A22,'KIDS&amp;ADULTS'!$M$3:$M$1015,"Ánh")</f>
        <v>0</v>
      </c>
      <c r="F22" s="373">
        <f>sumifs('KIDS&amp;ADULTS'!$Z$3:$Z$1015,'KIDS&amp;ADULTS'!$V$3:$V$1015,A22,'KIDS&amp;ADULTS'!$M$3:$M$1015,"Loan")</f>
        <v>0</v>
      </c>
      <c r="G22" s="373">
        <f t="shared" si="1"/>
        <v>0</v>
      </c>
      <c r="J22" s="372">
        <v>45249.0</v>
      </c>
      <c r="K22" s="374">
        <f>COUNTIFS('KIDS&amp;ADULTS'!$A$3:$A$12008,J22,'KIDS&amp;ADULTS'!$B$3:$B$12008,$K$3)</f>
        <v>0</v>
      </c>
      <c r="L22" s="374">
        <f>COUNTIFS('KIDS&amp;ADULTS'!$A$3:$A$12008,J22,'KIDS&amp;ADULTS'!$B$3:$B$12008,$L$3)</f>
        <v>0</v>
      </c>
      <c r="M22" s="374">
        <f>COUNTIFS('KIDS&amp;ADULTS'!$A$3:$A$12008,J22,'KIDS&amp;ADULTS'!$B$3:$B$12008,$M$3)</f>
        <v>0</v>
      </c>
      <c r="N22" s="375">
        <f>COUNTIFS('KIDS&amp;ADULTS'!$A$3:$A$12008,J22,'KIDS&amp;ADULTS'!$B$3:$B$12008,$N$3)</f>
        <v>0</v>
      </c>
      <c r="O22" s="375">
        <f>COUNTIFS('KIDS&amp;ADULTS'!$A$3:$A$12008,J22,'KIDS&amp;ADULTS'!$B$3:$B$12008,$O$3)</f>
        <v>0</v>
      </c>
      <c r="P22" s="375">
        <f>COUNTIFS('KIDS&amp;ADULTS'!$A$3:$A$12008,J22,'KIDS&amp;ADULTS'!$B$3:$B$12008,$P$3)</f>
        <v>0</v>
      </c>
      <c r="Q22" s="375">
        <f>COUNTIFS('KIDS&amp;ADULTS'!$A$3:$A$1008,J22,'KIDS&amp;ADULTS'!$B$3:$B$1008,$Q$3)</f>
        <v>0</v>
      </c>
      <c r="R22" s="374">
        <f>COUNTIFS('KIDS&amp;ADULTS'!$A$3:$A$12008,J22,'KIDS&amp;ADULTS'!$B$3:$B$12008,$R$3)</f>
        <v>0</v>
      </c>
      <c r="U22" s="372">
        <v>45249.0</v>
      </c>
      <c r="V22" s="376">
        <f>COUNTIFS('KIDS&amp;ADULTS'!$V$3:$V$12006,U22,'KIDS&amp;ADULTS'!$B$3:$B$12006,$K$3,'KIDS&amp;ADULTS'!$N$3:$N$12006,"Đã đóng học phí")</f>
        <v>0</v>
      </c>
      <c r="W22" s="376">
        <f>COUNTIFS('KIDS&amp;ADULTS'!$V$3:$V$12006,U22,'KIDS&amp;ADULTS'!$B$3:$B12024,$W$3,'KIDS&amp;ADULTS'!$N$3:$N$12006,"Đã đóng học phí")</f>
        <v>0</v>
      </c>
      <c r="X22" s="376">
        <f>COUNTIFS('KIDS&amp;ADULTS'!$V$3:$V$12006,U22,'KIDS&amp;ADULTS'!$B$3:$B$12006,$X$3,'KIDS&amp;ADULTS'!$N$3:$N$12006,"Đã đóng học phí")</f>
        <v>0</v>
      </c>
      <c r="Y22" s="376">
        <f>COUNTIFS('KIDS&amp;ADULTS'!$V$3:$V$12006,U22,'KIDS&amp;ADULTS'!$B$3:$B$12006,$Y$3,'KIDS&amp;ADULTS'!$N$3:$N$12006,"Đã đóng học phí")</f>
        <v>0</v>
      </c>
      <c r="Z22" s="376">
        <f>COUNTIFS('KIDS&amp;ADULTS'!$V$3:$V$12006,U22,'KIDS&amp;ADULTS'!$B$3:$B$12006,$Z$3,'KIDS&amp;ADULTS'!$N$3:$N$12006,"Đã đóng học phí")</f>
        <v>0</v>
      </c>
      <c r="AA22" s="376">
        <f>COUNTIFS('KIDS&amp;ADULTS'!$V$3:$V$12006,U22,'KIDS&amp;ADULTS'!$B$3:$B$12006,$AA$3,'KIDS&amp;ADULTS'!$N$3:$N$12006,"Đã đóng học phí")</f>
        <v>0</v>
      </c>
      <c r="AB22" s="376">
        <f>COUNTIFS('KIDS&amp;ADULTS'!$V$3:$V$12006,U22,'KIDS&amp;ADULTS'!$B$3:$B$12006,$AB$3,'KIDS&amp;ADULTS'!$N$3:$N$12006,"Đã đóng học phí")</f>
        <v>0</v>
      </c>
      <c r="AC22" s="376">
        <f>COUNTIFS('KIDS&amp;ADULTS'!$V$3:$V$12006,U22,'KIDS&amp;ADULTS'!$B$3:$B$12006,$AC$3,'KIDS&amp;ADULTS'!$N$3:$N$12006,"Đã đóng học phí")</f>
        <v>0</v>
      </c>
    </row>
    <row r="23" ht="15.75" customHeight="1">
      <c r="A23" s="372">
        <v>45250.0</v>
      </c>
      <c r="B23" s="373">
        <f>sumifs('KIDS&amp;ADULTS'!$Z$3:$Z$1015,'KIDS&amp;ADULTS'!$V$3:$V$1015,A23,'KIDS&amp;ADULTS'!$M$3:$M$1015,$B$3)</f>
        <v>0</v>
      </c>
      <c r="C23" s="373">
        <f>sumifs('KIDS&amp;ADULTS'!$Z$3:$Z$1015,'KIDS&amp;ADULTS'!$V$3:$V$1015,A23,'KIDS&amp;ADULTS'!$M$3:$M$1015,"phương")</f>
        <v>0</v>
      </c>
      <c r="D23" s="373">
        <f>sumifs('KIDS&amp;ADULTS'!$Z$3:$Z$1015,'KIDS&amp;ADULTS'!$V$3:$V$1015,A23,'KIDS&amp;ADULTS'!$M$3:$M$1015,$D$3)</f>
        <v>0</v>
      </c>
      <c r="E23" s="373">
        <f>sumifs('KIDS&amp;ADULTS'!$Z$3:$Z$1015,'KIDS&amp;ADULTS'!$V$3:$V$1015,A23,'KIDS&amp;ADULTS'!$M$3:$M$1015,"Ánh")</f>
        <v>0</v>
      </c>
      <c r="F23" s="373">
        <f>sumifs('KIDS&amp;ADULTS'!$Z$3:$Z$1015,'KIDS&amp;ADULTS'!$V$3:$V$1015,A23,'KIDS&amp;ADULTS'!$M$3:$M$1015,"Loan")</f>
        <v>0</v>
      </c>
      <c r="G23" s="373">
        <f t="shared" si="1"/>
        <v>0</v>
      </c>
      <c r="J23" s="372">
        <v>45250.0</v>
      </c>
      <c r="K23" s="374">
        <f>COUNTIFS('KIDS&amp;ADULTS'!$A$3:$A$12008,J23,'KIDS&amp;ADULTS'!$B$3:$B$12008,$K$3)</f>
        <v>0</v>
      </c>
      <c r="L23" s="374">
        <f>COUNTIFS('KIDS&amp;ADULTS'!$A$3:$A$12008,J23,'KIDS&amp;ADULTS'!$B$3:$B$12008,$L$3)</f>
        <v>0</v>
      </c>
      <c r="M23" s="374">
        <f>COUNTIFS('KIDS&amp;ADULTS'!$A$3:$A$12008,J23,'KIDS&amp;ADULTS'!$B$3:$B$12008,$M$3)</f>
        <v>0</v>
      </c>
      <c r="N23" s="375">
        <f>COUNTIFS('KIDS&amp;ADULTS'!$A$3:$A$12008,J23,'KIDS&amp;ADULTS'!$B$3:$B$12008,$N$3)</f>
        <v>0</v>
      </c>
      <c r="O23" s="375">
        <f>COUNTIFS('KIDS&amp;ADULTS'!$A$3:$A$12008,J23,'KIDS&amp;ADULTS'!$B$3:$B$12008,$O$3)</f>
        <v>0</v>
      </c>
      <c r="P23" s="375">
        <f>COUNTIFS('KIDS&amp;ADULTS'!$A$3:$A$12008,J23,'KIDS&amp;ADULTS'!$B$3:$B$12008,$P$3)</f>
        <v>0</v>
      </c>
      <c r="Q23" s="375">
        <f>COUNTIFS('KIDS&amp;ADULTS'!$A$3:$A$1008,J23,'KIDS&amp;ADULTS'!$B$3:$B$1008,$Q$3)</f>
        <v>0</v>
      </c>
      <c r="R23" s="374">
        <f>COUNTIFS('KIDS&amp;ADULTS'!$A$3:$A$12008,J23,'KIDS&amp;ADULTS'!$B$3:$B$12008,$R$3)</f>
        <v>0</v>
      </c>
      <c r="U23" s="372">
        <v>45250.0</v>
      </c>
      <c r="V23" s="376">
        <f>COUNTIFS('KIDS&amp;ADULTS'!$V$3:$V$12006,U23,'KIDS&amp;ADULTS'!$B$3:$B$12006,$K$3,'KIDS&amp;ADULTS'!$N$3:$N$12006,"Đã đóng học phí")</f>
        <v>0</v>
      </c>
      <c r="W23" s="376">
        <f>COUNTIFS('KIDS&amp;ADULTS'!$V$3:$V$12006,U23,'KIDS&amp;ADULTS'!$B$3:$B12025,$W$3,'KIDS&amp;ADULTS'!$N$3:$N$12006,"Đã đóng học phí")</f>
        <v>0</v>
      </c>
      <c r="X23" s="376">
        <f>COUNTIFS('KIDS&amp;ADULTS'!$V$3:$V$12006,U23,'KIDS&amp;ADULTS'!$B$3:$B$12006,$X$3,'KIDS&amp;ADULTS'!$N$3:$N$12006,"Đã đóng học phí")</f>
        <v>0</v>
      </c>
      <c r="Y23" s="376">
        <f>COUNTIFS('KIDS&amp;ADULTS'!$V$3:$V$12006,U23,'KIDS&amp;ADULTS'!$B$3:$B$12006,$Y$3,'KIDS&amp;ADULTS'!$N$3:$N$12006,"Đã đóng học phí")</f>
        <v>0</v>
      </c>
      <c r="Z23" s="376">
        <f>COUNTIFS('KIDS&amp;ADULTS'!$V$3:$V$12006,U23,'KIDS&amp;ADULTS'!$B$3:$B$12006,$Z$3,'KIDS&amp;ADULTS'!$N$3:$N$12006,"Đã đóng học phí")</f>
        <v>0</v>
      </c>
      <c r="AA23" s="376">
        <f>COUNTIFS('KIDS&amp;ADULTS'!$V$3:$V$12006,U23,'KIDS&amp;ADULTS'!$B$3:$B$12006,$AA$3,'KIDS&amp;ADULTS'!$N$3:$N$12006,"Đã đóng học phí")</f>
        <v>0</v>
      </c>
      <c r="AB23" s="376">
        <f>COUNTIFS('KIDS&amp;ADULTS'!$V$3:$V$12006,U23,'KIDS&amp;ADULTS'!$B$3:$B$12006,$AB$3,'KIDS&amp;ADULTS'!$N$3:$N$12006,"Đã đóng học phí")</f>
        <v>0</v>
      </c>
      <c r="AC23" s="376">
        <f>COUNTIFS('KIDS&amp;ADULTS'!$V$3:$V$12006,U23,'KIDS&amp;ADULTS'!$B$3:$B$12006,$AC$3,'KIDS&amp;ADULTS'!$N$3:$N$12006,"Đã đóng học phí")</f>
        <v>0</v>
      </c>
    </row>
    <row r="24" ht="15.75" customHeight="1">
      <c r="A24" s="372">
        <v>45251.0</v>
      </c>
      <c r="B24" s="373">
        <f>sumifs('KIDS&amp;ADULTS'!$Z$3:$Z$1015,'KIDS&amp;ADULTS'!$V$3:$V$1015,A24,'KIDS&amp;ADULTS'!$M$3:$M$1015,$B$3)</f>
        <v>0</v>
      </c>
      <c r="C24" s="373">
        <f>sumifs('KIDS&amp;ADULTS'!$Z$3:$Z$1015,'KIDS&amp;ADULTS'!$V$3:$V$1015,A24,'KIDS&amp;ADULTS'!$M$3:$M$1015,"phương")</f>
        <v>0</v>
      </c>
      <c r="D24" s="373">
        <f>sumifs('KIDS&amp;ADULTS'!$Z$3:$Z$1015,'KIDS&amp;ADULTS'!$V$3:$V$1015,A24,'KIDS&amp;ADULTS'!$M$3:$M$1015,$D$3)</f>
        <v>0</v>
      </c>
      <c r="E24" s="373">
        <f>sumifs('KIDS&amp;ADULTS'!$Z$3:$Z$1015,'KIDS&amp;ADULTS'!$V$3:$V$1015,A24,'KIDS&amp;ADULTS'!$M$3:$M$1015,"Ánh")</f>
        <v>0</v>
      </c>
      <c r="F24" s="373">
        <f>sumifs('KIDS&amp;ADULTS'!$Z$3:$Z$1015,'KIDS&amp;ADULTS'!$V$3:$V$1015,A24,'KIDS&amp;ADULTS'!$M$3:$M$1015,"Loan")</f>
        <v>0</v>
      </c>
      <c r="G24" s="373">
        <f t="shared" si="1"/>
        <v>0</v>
      </c>
      <c r="J24" s="372">
        <v>45251.0</v>
      </c>
      <c r="K24" s="374">
        <f>COUNTIFS('KIDS&amp;ADULTS'!$A$3:$A$12008,J24,'KIDS&amp;ADULTS'!$B$3:$B$12008,$K$3)</f>
        <v>0</v>
      </c>
      <c r="L24" s="374">
        <f>COUNTIFS('KIDS&amp;ADULTS'!$A$3:$A$12008,J24,'KIDS&amp;ADULTS'!$B$3:$B$12008,$L$3)</f>
        <v>0</v>
      </c>
      <c r="M24" s="374">
        <f>COUNTIFS('KIDS&amp;ADULTS'!$A$3:$A$12008,J24,'KIDS&amp;ADULTS'!$B$3:$B$12008,$M$3)</f>
        <v>0</v>
      </c>
      <c r="N24" s="375">
        <f>COUNTIFS('KIDS&amp;ADULTS'!$A$3:$A$12008,J24,'KIDS&amp;ADULTS'!$B$3:$B$12008,$N$3)</f>
        <v>0</v>
      </c>
      <c r="O24" s="375">
        <f>COUNTIFS('KIDS&amp;ADULTS'!$A$3:$A$12008,J24,'KIDS&amp;ADULTS'!$B$3:$B$12008,$O$3)</f>
        <v>0</v>
      </c>
      <c r="P24" s="375">
        <f>COUNTIFS('KIDS&amp;ADULTS'!$A$3:$A$12008,J24,'KIDS&amp;ADULTS'!$B$3:$B$12008,$P$3)</f>
        <v>0</v>
      </c>
      <c r="Q24" s="375">
        <f>COUNTIFS('KIDS&amp;ADULTS'!$A$3:$A$1008,J24,'KIDS&amp;ADULTS'!$B$3:$B$1008,$Q$3)</f>
        <v>0</v>
      </c>
      <c r="R24" s="374">
        <f>COUNTIFS('KIDS&amp;ADULTS'!$A$3:$A$12008,J24,'KIDS&amp;ADULTS'!$B$3:$B$12008,$R$3)</f>
        <v>0</v>
      </c>
      <c r="U24" s="372">
        <v>45251.0</v>
      </c>
      <c r="V24" s="376">
        <f>COUNTIFS('KIDS&amp;ADULTS'!$V$3:$V$12006,U24,'KIDS&amp;ADULTS'!$B$3:$B$12006,$K$3,'KIDS&amp;ADULTS'!$N$3:$N$12006,"Đã đóng học phí")</f>
        <v>0</v>
      </c>
      <c r="W24" s="376">
        <f>COUNTIFS('KIDS&amp;ADULTS'!$V$3:$V$12006,U24,'KIDS&amp;ADULTS'!$B$3:$B12026,$W$3,'KIDS&amp;ADULTS'!$N$3:$N$12006,"Đã đóng học phí")</f>
        <v>0</v>
      </c>
      <c r="X24" s="376">
        <f>COUNTIFS('KIDS&amp;ADULTS'!$V$3:$V$12006,U24,'KIDS&amp;ADULTS'!$B$3:$B$12006,$X$3,'KIDS&amp;ADULTS'!$N$3:$N$12006,"Đã đóng học phí")</f>
        <v>0</v>
      </c>
      <c r="Y24" s="376">
        <f>COUNTIFS('KIDS&amp;ADULTS'!$V$3:$V$12006,U24,'KIDS&amp;ADULTS'!$B$3:$B$12006,$Y$3,'KIDS&amp;ADULTS'!$N$3:$N$12006,"Đã đóng học phí")</f>
        <v>0</v>
      </c>
      <c r="Z24" s="376">
        <f>COUNTIFS('KIDS&amp;ADULTS'!$V$3:$V$12006,U24,'KIDS&amp;ADULTS'!$B$3:$B$12006,$Z$3,'KIDS&amp;ADULTS'!$N$3:$N$12006,"Đã đóng học phí")</f>
        <v>0</v>
      </c>
      <c r="AA24" s="376">
        <f>COUNTIFS('KIDS&amp;ADULTS'!$V$3:$V$12006,U24,'KIDS&amp;ADULTS'!$B$3:$B$12006,$AA$3,'KIDS&amp;ADULTS'!$N$3:$N$12006,"Đã đóng học phí")</f>
        <v>0</v>
      </c>
      <c r="AB24" s="376">
        <f>COUNTIFS('KIDS&amp;ADULTS'!$V$3:$V$12006,U24,'KIDS&amp;ADULTS'!$B$3:$B$12006,$AB$3,'KIDS&amp;ADULTS'!$N$3:$N$12006,"Đã đóng học phí")</f>
        <v>0</v>
      </c>
      <c r="AC24" s="376">
        <f>COUNTIFS('KIDS&amp;ADULTS'!$V$3:$V$12006,U24,'KIDS&amp;ADULTS'!$B$3:$B$12006,$AC$3,'KIDS&amp;ADULTS'!$N$3:$N$12006,"Đã đóng học phí")</f>
        <v>0</v>
      </c>
    </row>
    <row r="25" ht="15.75" customHeight="1">
      <c r="A25" s="372">
        <v>45252.0</v>
      </c>
      <c r="B25" s="373">
        <f>sumifs('KIDS&amp;ADULTS'!$Z$3:$Z$1015,'KIDS&amp;ADULTS'!$V$3:$V$1015,A25,'KIDS&amp;ADULTS'!$M$3:$M$1015,$B$3)</f>
        <v>0</v>
      </c>
      <c r="C25" s="373">
        <f>sumifs('KIDS&amp;ADULTS'!$Z$3:$Z$1015,'KIDS&amp;ADULTS'!$V$3:$V$1015,A25,'KIDS&amp;ADULTS'!$M$3:$M$1015,"phương")</f>
        <v>0</v>
      </c>
      <c r="D25" s="373">
        <f>sumifs('KIDS&amp;ADULTS'!$Z$3:$Z$1015,'KIDS&amp;ADULTS'!$V$3:$V$1015,A25,'KIDS&amp;ADULTS'!$M$3:$M$1015,$D$3)</f>
        <v>0</v>
      </c>
      <c r="E25" s="373">
        <f>sumifs('KIDS&amp;ADULTS'!$Z$3:$Z$1015,'KIDS&amp;ADULTS'!$V$3:$V$1015,A25,'KIDS&amp;ADULTS'!$M$3:$M$1015,"Ánh")</f>
        <v>0</v>
      </c>
      <c r="F25" s="373">
        <f>sumifs('KIDS&amp;ADULTS'!$Z$3:$Z$1015,'KIDS&amp;ADULTS'!$V$3:$V$1015,A25,'KIDS&amp;ADULTS'!$M$3:$M$1015,"Loan")</f>
        <v>0</v>
      </c>
      <c r="G25" s="373">
        <f t="shared" si="1"/>
        <v>0</v>
      </c>
      <c r="J25" s="372">
        <v>45252.0</v>
      </c>
      <c r="K25" s="374">
        <f>COUNTIFS('KIDS&amp;ADULTS'!$A$3:$A$12008,J25,'KIDS&amp;ADULTS'!$B$3:$B$12008,$K$3)</f>
        <v>0</v>
      </c>
      <c r="L25" s="374">
        <f>COUNTIFS('KIDS&amp;ADULTS'!$A$3:$A$12008,J25,'KIDS&amp;ADULTS'!$B$3:$B$12008,$L$3)</f>
        <v>0</v>
      </c>
      <c r="M25" s="374">
        <f>COUNTIFS('KIDS&amp;ADULTS'!$A$3:$A$12008,J25,'KIDS&amp;ADULTS'!$B$3:$B$12008,$M$3)</f>
        <v>0</v>
      </c>
      <c r="N25" s="375">
        <f>COUNTIFS('KIDS&amp;ADULTS'!$A$3:$A$12008,J25,'KIDS&amp;ADULTS'!$B$3:$B$12008,$N$3)</f>
        <v>0</v>
      </c>
      <c r="O25" s="375">
        <f>COUNTIFS('KIDS&amp;ADULTS'!$A$3:$A$12008,J25,'KIDS&amp;ADULTS'!$B$3:$B$12008,$O$3)</f>
        <v>0</v>
      </c>
      <c r="P25" s="375">
        <f>COUNTIFS('KIDS&amp;ADULTS'!$A$3:$A$12008,J25,'KIDS&amp;ADULTS'!$B$3:$B$12008,$P$3)</f>
        <v>0</v>
      </c>
      <c r="Q25" s="375">
        <f>COUNTIFS('KIDS&amp;ADULTS'!$A$3:$A$1008,J25,'KIDS&amp;ADULTS'!$B$3:$B$1008,$Q$3)</f>
        <v>0</v>
      </c>
      <c r="R25" s="374">
        <f>COUNTIFS('KIDS&amp;ADULTS'!$A$3:$A$12008,J25,'KIDS&amp;ADULTS'!$B$3:$B$12008,$R$3)</f>
        <v>0</v>
      </c>
      <c r="U25" s="372">
        <v>45252.0</v>
      </c>
      <c r="V25" s="376">
        <f>COUNTIFS('KIDS&amp;ADULTS'!$V$3:$V$12006,U25,'KIDS&amp;ADULTS'!$B$3:$B$12006,$K$3,'KIDS&amp;ADULTS'!$N$3:$N$12006,"Đã đóng học phí")</f>
        <v>0</v>
      </c>
      <c r="W25" s="376">
        <f>COUNTIFS('KIDS&amp;ADULTS'!$V$3:$V$12006,U25,'KIDS&amp;ADULTS'!$B$3:$B12027,$W$3,'KIDS&amp;ADULTS'!$N$3:$N$12006,"Đã đóng học phí")</f>
        <v>0</v>
      </c>
      <c r="X25" s="376">
        <f>COUNTIFS('KIDS&amp;ADULTS'!$V$3:$V$12006,U25,'KIDS&amp;ADULTS'!$B$3:$B$12006,$X$3,'KIDS&amp;ADULTS'!$N$3:$N$12006,"Đã đóng học phí")</f>
        <v>0</v>
      </c>
      <c r="Y25" s="376">
        <f>COUNTIFS('KIDS&amp;ADULTS'!$V$3:$V$12006,U25,'KIDS&amp;ADULTS'!$B$3:$B$12006,$Y$3,'KIDS&amp;ADULTS'!$N$3:$N$12006,"Đã đóng học phí")</f>
        <v>0</v>
      </c>
      <c r="Z25" s="376">
        <f>COUNTIFS('KIDS&amp;ADULTS'!$V$3:$V$12006,U25,'KIDS&amp;ADULTS'!$B$3:$B$12006,$Z$3,'KIDS&amp;ADULTS'!$N$3:$N$12006,"Đã đóng học phí")</f>
        <v>0</v>
      </c>
      <c r="AA25" s="376">
        <f>COUNTIFS('KIDS&amp;ADULTS'!$V$3:$V$12006,U25,'KIDS&amp;ADULTS'!$B$3:$B$12006,$AA$3,'KIDS&amp;ADULTS'!$N$3:$N$12006,"Đã đóng học phí")</f>
        <v>0</v>
      </c>
      <c r="AB25" s="376">
        <f>COUNTIFS('KIDS&amp;ADULTS'!$V$3:$V$12006,U25,'KIDS&amp;ADULTS'!$B$3:$B$12006,$AB$3,'KIDS&amp;ADULTS'!$N$3:$N$12006,"Đã đóng học phí")</f>
        <v>0</v>
      </c>
      <c r="AC25" s="376">
        <f>COUNTIFS('KIDS&amp;ADULTS'!$V$3:$V$12006,U25,'KIDS&amp;ADULTS'!$B$3:$B$12006,$AC$3,'KIDS&amp;ADULTS'!$N$3:$N$12006,"Đã đóng học phí")</f>
        <v>0</v>
      </c>
    </row>
    <row r="26" ht="15.75" customHeight="1">
      <c r="A26" s="372">
        <v>45253.0</v>
      </c>
      <c r="B26" s="373">
        <f>sumifs('KIDS&amp;ADULTS'!$Z$3:$Z$1015,'KIDS&amp;ADULTS'!$V$3:$V$1015,A26,'KIDS&amp;ADULTS'!$M$3:$M$1015,$B$3)</f>
        <v>0</v>
      </c>
      <c r="C26" s="373">
        <f>sumifs('KIDS&amp;ADULTS'!$Z$3:$Z$1015,'KIDS&amp;ADULTS'!$V$3:$V$1015,A26,'KIDS&amp;ADULTS'!$M$3:$M$1015,"phương")</f>
        <v>0</v>
      </c>
      <c r="D26" s="373">
        <f>sumifs('KIDS&amp;ADULTS'!$Z$3:$Z$1015,'KIDS&amp;ADULTS'!$V$3:$V$1015,A26,'KIDS&amp;ADULTS'!$M$3:$M$1015,$D$3)</f>
        <v>0</v>
      </c>
      <c r="E26" s="373">
        <f>sumifs('KIDS&amp;ADULTS'!$Z$3:$Z$1015,'KIDS&amp;ADULTS'!$V$3:$V$1015,A26,'KIDS&amp;ADULTS'!$M$3:$M$1015,"Ánh")</f>
        <v>3308000</v>
      </c>
      <c r="F26" s="373">
        <f>sumifs('KIDS&amp;ADULTS'!$Z$3:$Z$1015,'KIDS&amp;ADULTS'!$V$3:$V$1015,A26,'KIDS&amp;ADULTS'!$M$3:$M$1015,"Loan")</f>
        <v>0</v>
      </c>
      <c r="G26" s="373">
        <f t="shared" si="1"/>
        <v>3308000</v>
      </c>
      <c r="J26" s="372">
        <v>45253.0</v>
      </c>
      <c r="K26" s="374">
        <f>COUNTIFS('KIDS&amp;ADULTS'!$A$3:$A$12008,J26,'KIDS&amp;ADULTS'!$B$3:$B$12008,$K$3)</f>
        <v>0</v>
      </c>
      <c r="L26" s="374">
        <f>COUNTIFS('KIDS&amp;ADULTS'!$A$3:$A$12008,J26,'KIDS&amp;ADULTS'!$B$3:$B$12008,$L$3)</f>
        <v>0</v>
      </c>
      <c r="M26" s="374">
        <f>COUNTIFS('KIDS&amp;ADULTS'!$A$3:$A$12008,J26,'KIDS&amp;ADULTS'!$B$3:$B$12008,$M$3)</f>
        <v>0</v>
      </c>
      <c r="N26" s="375">
        <f>COUNTIFS('KIDS&amp;ADULTS'!$A$3:$A$12008,J26,'KIDS&amp;ADULTS'!$B$3:$B$12008,$N$3)</f>
        <v>1</v>
      </c>
      <c r="O26" s="375">
        <f>COUNTIFS('KIDS&amp;ADULTS'!$A$3:$A$12008,J26,'KIDS&amp;ADULTS'!$B$3:$B$12008,$O$3)</f>
        <v>1</v>
      </c>
      <c r="P26" s="375">
        <f>COUNTIFS('KIDS&amp;ADULTS'!$A$3:$A$12008,J26,'KIDS&amp;ADULTS'!$B$3:$B$12008,$P$3)</f>
        <v>0</v>
      </c>
      <c r="Q26" s="375">
        <f>COUNTIFS('KIDS&amp;ADULTS'!$A$3:$A$1008,J26,'KIDS&amp;ADULTS'!$B$3:$B$1008,$Q$3)</f>
        <v>0</v>
      </c>
      <c r="R26" s="374">
        <f>COUNTIFS('KIDS&amp;ADULTS'!$A$3:$A$12008,J26,'KIDS&amp;ADULTS'!$B$3:$B$12008,$R$3)</f>
        <v>0</v>
      </c>
      <c r="U26" s="372">
        <v>45253.0</v>
      </c>
      <c r="V26" s="376">
        <f>COUNTIFS('KIDS&amp;ADULTS'!$V$3:$V$12006,U26,'KIDS&amp;ADULTS'!$B$3:$B$12006,$K$3,'KIDS&amp;ADULTS'!$N$3:$N$12006,"Đã đóng học phí")</f>
        <v>0</v>
      </c>
      <c r="W26" s="376">
        <f>COUNTIFS('KIDS&amp;ADULTS'!$V$3:$V$12006,U26,'KIDS&amp;ADULTS'!$B$3:$B12028,$W$3,'KIDS&amp;ADULTS'!$N$3:$N$12006,"Đã đóng học phí")</f>
        <v>0</v>
      </c>
      <c r="X26" s="376">
        <f>COUNTIFS('KIDS&amp;ADULTS'!$V$3:$V$12006,U26,'KIDS&amp;ADULTS'!$B$3:$B$12006,$X$3,'KIDS&amp;ADULTS'!$N$3:$N$12006,"Đã đóng học phí")</f>
        <v>0</v>
      </c>
      <c r="Y26" s="376">
        <f>COUNTIFS('KIDS&amp;ADULTS'!$V$3:$V$12006,U26,'KIDS&amp;ADULTS'!$B$3:$B$12006,$Y$3,'KIDS&amp;ADULTS'!$N$3:$N$12006,"Đã đóng học phí")</f>
        <v>1</v>
      </c>
      <c r="Z26" s="376">
        <f>COUNTIFS('KIDS&amp;ADULTS'!$V$3:$V$12006,U26,'KIDS&amp;ADULTS'!$B$3:$B$12006,$Z$3,'KIDS&amp;ADULTS'!$N$3:$N$12006,"Đã đóng học phí")</f>
        <v>0</v>
      </c>
      <c r="AA26" s="376">
        <f>COUNTIFS('KIDS&amp;ADULTS'!$V$3:$V$12006,U26,'KIDS&amp;ADULTS'!$B$3:$B$12006,$AA$3,'KIDS&amp;ADULTS'!$N$3:$N$12006,"Đã đóng học phí")</f>
        <v>0</v>
      </c>
      <c r="AB26" s="376">
        <f>COUNTIFS('KIDS&amp;ADULTS'!$V$3:$V$12006,U26,'KIDS&amp;ADULTS'!$B$3:$B$12006,$AB$3,'KIDS&amp;ADULTS'!$N$3:$N$12006,"Đã đóng học phí")</f>
        <v>0</v>
      </c>
      <c r="AC26" s="376">
        <f>COUNTIFS('KIDS&amp;ADULTS'!$V$3:$V$12006,U26,'KIDS&amp;ADULTS'!$B$3:$B$12006,$AC$3,'KIDS&amp;ADULTS'!$N$3:$N$12006,"Đã đóng học phí")</f>
        <v>0</v>
      </c>
    </row>
    <row r="27" ht="15.75" customHeight="1">
      <c r="A27" s="372">
        <v>45254.0</v>
      </c>
      <c r="B27" s="373">
        <f>sumifs('KIDS&amp;ADULTS'!$Z$3:$Z$1015,'KIDS&amp;ADULTS'!$V$3:$V$1015,A27,'KIDS&amp;ADULTS'!$M$3:$M$1015,$B$3)</f>
        <v>0</v>
      </c>
      <c r="C27" s="373">
        <f>sumifs('KIDS&amp;ADULTS'!$Z$3:$Z$1015,'KIDS&amp;ADULTS'!$V$3:$V$1015,A27,'KIDS&amp;ADULTS'!$M$3:$M$1015,"phương")</f>
        <v>0</v>
      </c>
      <c r="D27" s="373">
        <f>sumifs('KIDS&amp;ADULTS'!$Z$3:$Z$1015,'KIDS&amp;ADULTS'!$V$3:$V$1015,A27,'KIDS&amp;ADULTS'!$M$3:$M$1015,$D$3)</f>
        <v>0</v>
      </c>
      <c r="E27" s="373">
        <f>sumifs('KIDS&amp;ADULTS'!$Z$3:$Z$1015,'KIDS&amp;ADULTS'!$V$3:$V$1015,A27,'KIDS&amp;ADULTS'!$M$3:$M$1015,"Ánh")</f>
        <v>0</v>
      </c>
      <c r="F27" s="373">
        <f>sumifs('KIDS&amp;ADULTS'!$Z$3:$Z$1015,'KIDS&amp;ADULTS'!$V$3:$V$1015,A27,'KIDS&amp;ADULTS'!$M$3:$M$1015,"Loan")</f>
        <v>0</v>
      </c>
      <c r="G27" s="373">
        <f t="shared" si="1"/>
        <v>0</v>
      </c>
      <c r="J27" s="372">
        <v>45254.0</v>
      </c>
      <c r="K27" s="374">
        <f>COUNTIFS('KIDS&amp;ADULTS'!$A$3:$A$12008,J27,'KIDS&amp;ADULTS'!$B$3:$B$12008,$K$3)</f>
        <v>0</v>
      </c>
      <c r="L27" s="374">
        <f>COUNTIFS('KIDS&amp;ADULTS'!$A$3:$A$12008,J27,'KIDS&amp;ADULTS'!$B$3:$B$12008,$L$3)</f>
        <v>0</v>
      </c>
      <c r="M27" s="374">
        <f>COUNTIFS('KIDS&amp;ADULTS'!$A$3:$A$12008,J27,'KIDS&amp;ADULTS'!$B$3:$B$12008,$M$3)</f>
        <v>0</v>
      </c>
      <c r="N27" s="375">
        <f>COUNTIFS('KIDS&amp;ADULTS'!$A$3:$A$12008,J27,'KIDS&amp;ADULTS'!$B$3:$B$12008,$N$3)</f>
        <v>1</v>
      </c>
      <c r="O27" s="375">
        <f>COUNTIFS('KIDS&amp;ADULTS'!$A$3:$A$12008,J27,'KIDS&amp;ADULTS'!$B$3:$B$12008,$O$3)</f>
        <v>0</v>
      </c>
      <c r="P27" s="375">
        <f>COUNTIFS('KIDS&amp;ADULTS'!$A$3:$A$12008,J27,'KIDS&amp;ADULTS'!$B$3:$B$12008,$P$3)</f>
        <v>0</v>
      </c>
      <c r="Q27" s="375">
        <f>COUNTIFS('KIDS&amp;ADULTS'!$A$3:$A$1008,J27,'KIDS&amp;ADULTS'!$B$3:$B$1008,$Q$3)</f>
        <v>0</v>
      </c>
      <c r="R27" s="374">
        <f>COUNTIFS('KIDS&amp;ADULTS'!$A$3:$A$12008,J27,'KIDS&amp;ADULTS'!$B$3:$B$12008,$R$3)</f>
        <v>0</v>
      </c>
      <c r="U27" s="372">
        <v>45254.0</v>
      </c>
      <c r="V27" s="376">
        <f>COUNTIFS('KIDS&amp;ADULTS'!$V$3:$V$12006,U27,'KIDS&amp;ADULTS'!$B$3:$B$12006,$K$3,'KIDS&amp;ADULTS'!$N$3:$N$12006,"Đã đóng học phí")</f>
        <v>0</v>
      </c>
      <c r="W27" s="376">
        <f>COUNTIFS('KIDS&amp;ADULTS'!$V$3:$V$12006,U27,'KIDS&amp;ADULTS'!$B$3:$B12029,$W$3,'KIDS&amp;ADULTS'!$N$3:$N$12006,"Đã đóng học phí")</f>
        <v>0</v>
      </c>
      <c r="X27" s="376">
        <f>COUNTIFS('KIDS&amp;ADULTS'!$V$3:$V$12006,U27,'KIDS&amp;ADULTS'!$B$3:$B$12006,$X$3,'KIDS&amp;ADULTS'!$N$3:$N$12006,"Đã đóng học phí")</f>
        <v>0</v>
      </c>
      <c r="Y27" s="376">
        <f>COUNTIFS('KIDS&amp;ADULTS'!$V$3:$V$12006,U27,'KIDS&amp;ADULTS'!$B$3:$B$12006,$Y$3,'KIDS&amp;ADULTS'!$N$3:$N$12006,"Đã đóng học phí")</f>
        <v>0</v>
      </c>
      <c r="Z27" s="376">
        <f>COUNTIFS('KIDS&amp;ADULTS'!$V$3:$V$12006,U27,'KIDS&amp;ADULTS'!$B$3:$B$12006,$Z$3,'KIDS&amp;ADULTS'!$N$3:$N$12006,"Đã đóng học phí")</f>
        <v>0</v>
      </c>
      <c r="AA27" s="376">
        <f>COUNTIFS('KIDS&amp;ADULTS'!$V$3:$V$12006,U27,'KIDS&amp;ADULTS'!$B$3:$B$12006,$AA$3,'KIDS&amp;ADULTS'!$N$3:$N$12006,"Đã đóng học phí")</f>
        <v>0</v>
      </c>
      <c r="AB27" s="376">
        <f>COUNTIFS('KIDS&amp;ADULTS'!$V$3:$V$12006,U27,'KIDS&amp;ADULTS'!$B$3:$B$12006,$AB$3,'KIDS&amp;ADULTS'!$N$3:$N$12006,"Đã đóng học phí")</f>
        <v>0</v>
      </c>
      <c r="AC27" s="376">
        <f>COUNTIFS('KIDS&amp;ADULTS'!$V$3:$V$12006,U27,'KIDS&amp;ADULTS'!$B$3:$B$12006,$AC$3,'KIDS&amp;ADULTS'!$N$3:$N$12006,"Đã đóng học phí")</f>
        <v>0</v>
      </c>
    </row>
    <row r="28" ht="15.75" customHeight="1">
      <c r="A28" s="372">
        <v>45255.0</v>
      </c>
      <c r="B28" s="373">
        <f>sumifs('KIDS&amp;ADULTS'!$Z$3:$Z$1015,'KIDS&amp;ADULTS'!$V$3:$V$1015,A28,'KIDS&amp;ADULTS'!$M$3:$M$1015,$B$3)</f>
        <v>0</v>
      </c>
      <c r="C28" s="373">
        <f>sumifs('KIDS&amp;ADULTS'!$Z$3:$Z$1015,'KIDS&amp;ADULTS'!$V$3:$V$1015,A28,'KIDS&amp;ADULTS'!$M$3:$M$1015,"phương")</f>
        <v>0</v>
      </c>
      <c r="D28" s="373">
        <f>sumifs('KIDS&amp;ADULTS'!$Z$3:$Z$1015,'KIDS&amp;ADULTS'!$V$3:$V$1015,A28,'KIDS&amp;ADULTS'!$M$3:$M$1015,$D$3)</f>
        <v>0</v>
      </c>
      <c r="E28" s="373">
        <f>sumifs('KIDS&amp;ADULTS'!$Z$3:$Z$1015,'KIDS&amp;ADULTS'!$V$3:$V$1015,A28,'KIDS&amp;ADULTS'!$M$3:$M$1015,"Ánh")</f>
        <v>0</v>
      </c>
      <c r="F28" s="373">
        <f>sumifs('KIDS&amp;ADULTS'!$Z$3:$Z$1015,'KIDS&amp;ADULTS'!$V$3:$V$1015,A28,'KIDS&amp;ADULTS'!$M$3:$M$1015,"Loan")</f>
        <v>0</v>
      </c>
      <c r="G28" s="373">
        <f t="shared" si="1"/>
        <v>0</v>
      </c>
      <c r="J28" s="372">
        <v>45255.0</v>
      </c>
      <c r="K28" s="374">
        <f>COUNTIFS('KIDS&amp;ADULTS'!$A$3:$A$12008,J28,'KIDS&amp;ADULTS'!$B$3:$B$12008,$K$3)</f>
        <v>0</v>
      </c>
      <c r="L28" s="374">
        <f>COUNTIFS('KIDS&amp;ADULTS'!$A$3:$A$12008,J28,'KIDS&amp;ADULTS'!$B$3:$B$12008,$L$3)</f>
        <v>0</v>
      </c>
      <c r="M28" s="374">
        <f>COUNTIFS('KIDS&amp;ADULTS'!$A$3:$A$12008,J28,'KIDS&amp;ADULTS'!$B$3:$B$12008,$M$3)</f>
        <v>0</v>
      </c>
      <c r="N28" s="375">
        <f>COUNTIFS('KIDS&amp;ADULTS'!$A$3:$A$12008,J28,'KIDS&amp;ADULTS'!$B$3:$B$12008,$N$3)</f>
        <v>0</v>
      </c>
      <c r="O28" s="375">
        <f>COUNTIFS('KIDS&amp;ADULTS'!$A$3:$A$12008,J28,'KIDS&amp;ADULTS'!$B$3:$B$12008,$O$3)</f>
        <v>0</v>
      </c>
      <c r="P28" s="375">
        <f>COUNTIFS('KIDS&amp;ADULTS'!$A$3:$A$12008,J28,'KIDS&amp;ADULTS'!$B$3:$B$12008,$P$3)</f>
        <v>0</v>
      </c>
      <c r="Q28" s="375">
        <f>COUNTIFS('KIDS&amp;ADULTS'!$A$3:$A$1008,J28,'KIDS&amp;ADULTS'!$B$3:$B$1008,$Q$3)</f>
        <v>0</v>
      </c>
      <c r="R28" s="374">
        <f>COUNTIFS('KIDS&amp;ADULTS'!$A$3:$A$12008,J28,'KIDS&amp;ADULTS'!$B$3:$B$12008,$R$3)</f>
        <v>0</v>
      </c>
      <c r="U28" s="372">
        <v>45255.0</v>
      </c>
      <c r="V28" s="376">
        <f>COUNTIFS('KIDS&amp;ADULTS'!$V$3:$V$12006,U28,'KIDS&amp;ADULTS'!$B$3:$B$12006,$K$3,'KIDS&amp;ADULTS'!$N$3:$N$12006,"Đã đóng học phí")</f>
        <v>0</v>
      </c>
      <c r="W28" s="376">
        <f>COUNTIFS('KIDS&amp;ADULTS'!$V$3:$V$12006,U28,'KIDS&amp;ADULTS'!$B$3:$B12030,$W$3,'KIDS&amp;ADULTS'!$N$3:$N$12006,"Đã đóng học phí")</f>
        <v>0</v>
      </c>
      <c r="X28" s="376">
        <f>COUNTIFS('KIDS&amp;ADULTS'!$V$3:$V$12006,U28,'KIDS&amp;ADULTS'!$B$3:$B$12006,$X$3,'KIDS&amp;ADULTS'!$N$3:$N$12006,"Đã đóng học phí")</f>
        <v>0</v>
      </c>
      <c r="Y28" s="376">
        <f>COUNTIFS('KIDS&amp;ADULTS'!$V$3:$V$12006,U28,'KIDS&amp;ADULTS'!$B$3:$B$12006,$Y$3,'KIDS&amp;ADULTS'!$N$3:$N$12006,"Đã đóng học phí")</f>
        <v>0</v>
      </c>
      <c r="Z28" s="376">
        <f>COUNTIFS('KIDS&amp;ADULTS'!$V$3:$V$12006,U28,'KIDS&amp;ADULTS'!$B$3:$B$12006,$Z$3,'KIDS&amp;ADULTS'!$N$3:$N$12006,"Đã đóng học phí")</f>
        <v>0</v>
      </c>
      <c r="AA28" s="376">
        <f>COUNTIFS('KIDS&amp;ADULTS'!$V$3:$V$12006,U28,'KIDS&amp;ADULTS'!$B$3:$B$12006,$AA$3,'KIDS&amp;ADULTS'!$N$3:$N$12006,"Đã đóng học phí")</f>
        <v>0</v>
      </c>
      <c r="AB28" s="376">
        <f>COUNTIFS('KIDS&amp;ADULTS'!$V$3:$V$12006,U28,'KIDS&amp;ADULTS'!$B$3:$B$12006,$AB$3,'KIDS&amp;ADULTS'!$N$3:$N$12006,"Đã đóng học phí")</f>
        <v>0</v>
      </c>
      <c r="AC28" s="376">
        <f>COUNTIFS('KIDS&amp;ADULTS'!$V$3:$V$12006,U28,'KIDS&amp;ADULTS'!$B$3:$B$12006,$AC$3,'KIDS&amp;ADULTS'!$N$3:$N$12006,"Đã đóng học phí")</f>
        <v>0</v>
      </c>
    </row>
    <row r="29" ht="15.75" customHeight="1">
      <c r="A29" s="372">
        <v>45256.0</v>
      </c>
      <c r="B29" s="373">
        <f>sumifs('KIDS&amp;ADULTS'!$Z$3:$Z$1015,'KIDS&amp;ADULTS'!$V$3:$V$1015,A29,'KIDS&amp;ADULTS'!$M$3:$M$1015,$B$3)</f>
        <v>0</v>
      </c>
      <c r="C29" s="373">
        <f>sumifs('KIDS&amp;ADULTS'!$Z$3:$Z$1015,'KIDS&amp;ADULTS'!$V$3:$V$1015,A29,'KIDS&amp;ADULTS'!$M$3:$M$1015,"phương")</f>
        <v>0</v>
      </c>
      <c r="D29" s="373">
        <f>sumifs('KIDS&amp;ADULTS'!$Z$3:$Z$1015,'KIDS&amp;ADULTS'!$V$3:$V$1015,A29,'KIDS&amp;ADULTS'!$M$3:$M$1015,$D$3)</f>
        <v>0</v>
      </c>
      <c r="E29" s="373">
        <f>sumifs('KIDS&amp;ADULTS'!$Z$3:$Z$1015,'KIDS&amp;ADULTS'!$V$3:$V$1015,A29,'KIDS&amp;ADULTS'!$M$3:$M$1015,"Ánh")</f>
        <v>0</v>
      </c>
      <c r="F29" s="373">
        <f>sumifs('KIDS&amp;ADULTS'!$Z$3:$Z$1015,'KIDS&amp;ADULTS'!$V$3:$V$1015,A29,'KIDS&amp;ADULTS'!$M$3:$M$1015,"Loan")</f>
        <v>0</v>
      </c>
      <c r="G29" s="373">
        <f t="shared" si="1"/>
        <v>0</v>
      </c>
      <c r="J29" s="372">
        <v>45256.0</v>
      </c>
      <c r="K29" s="374">
        <f>COUNTIFS('KIDS&amp;ADULTS'!$A$3:$A$12008,J29,'KIDS&amp;ADULTS'!$B$3:$B$12008,$K$3)</f>
        <v>0</v>
      </c>
      <c r="L29" s="374">
        <f>COUNTIFS('KIDS&amp;ADULTS'!$A$3:$A$12008,J29,'KIDS&amp;ADULTS'!$B$3:$B$12008,$L$3)</f>
        <v>0</v>
      </c>
      <c r="M29" s="374">
        <f>COUNTIFS('KIDS&amp;ADULTS'!$A$3:$A$12008,J29,'KIDS&amp;ADULTS'!$B$3:$B$12008,$M$3)</f>
        <v>0</v>
      </c>
      <c r="N29" s="375">
        <f>COUNTIFS('KIDS&amp;ADULTS'!$A$3:$A$12008,J29,'KIDS&amp;ADULTS'!$B$3:$B$12008,$N$3)</f>
        <v>0</v>
      </c>
      <c r="O29" s="375">
        <f>COUNTIFS('KIDS&amp;ADULTS'!$A$3:$A$12008,J29,'KIDS&amp;ADULTS'!$B$3:$B$12008,$O$3)</f>
        <v>0</v>
      </c>
      <c r="P29" s="375">
        <f>COUNTIFS('KIDS&amp;ADULTS'!$A$3:$A$12008,J29,'KIDS&amp;ADULTS'!$B$3:$B$12008,$P$3)</f>
        <v>0</v>
      </c>
      <c r="Q29" s="375">
        <f>COUNTIFS('KIDS&amp;ADULTS'!$A$3:$A$1008,J29,'KIDS&amp;ADULTS'!$B$3:$B$1008,$Q$3)</f>
        <v>0</v>
      </c>
      <c r="R29" s="374">
        <f>COUNTIFS('KIDS&amp;ADULTS'!$A$3:$A$12008,J29,'KIDS&amp;ADULTS'!$B$3:$B$12008,$R$3)</f>
        <v>0</v>
      </c>
      <c r="U29" s="372">
        <v>45256.0</v>
      </c>
      <c r="V29" s="376">
        <f>COUNTIFS('KIDS&amp;ADULTS'!$V$3:$V$12006,U29,'KIDS&amp;ADULTS'!$B$3:$B$12006,$K$3,'KIDS&amp;ADULTS'!$N$3:$N$12006,"Đã đóng học phí")</f>
        <v>0</v>
      </c>
      <c r="W29" s="376">
        <f>COUNTIFS('KIDS&amp;ADULTS'!$V$3:$V$12006,U29,'KIDS&amp;ADULTS'!$B$3:$B12031,$W$3,'KIDS&amp;ADULTS'!$N$3:$N$12006,"Đã đóng học phí")</f>
        <v>0</v>
      </c>
      <c r="X29" s="376">
        <f>COUNTIFS('KIDS&amp;ADULTS'!$V$3:$V$12006,U29,'KIDS&amp;ADULTS'!$B$3:$B$12006,$X$3,'KIDS&amp;ADULTS'!$N$3:$N$12006,"Đã đóng học phí")</f>
        <v>0</v>
      </c>
      <c r="Y29" s="376">
        <f>COUNTIFS('KIDS&amp;ADULTS'!$V$3:$V$12006,U29,'KIDS&amp;ADULTS'!$B$3:$B$12006,$Y$3,'KIDS&amp;ADULTS'!$N$3:$N$12006,"Đã đóng học phí")</f>
        <v>0</v>
      </c>
      <c r="Z29" s="376">
        <f>COUNTIFS('KIDS&amp;ADULTS'!$V$3:$V$12006,U29,'KIDS&amp;ADULTS'!$B$3:$B$12006,$Z$3,'KIDS&amp;ADULTS'!$N$3:$N$12006,"Đã đóng học phí")</f>
        <v>0</v>
      </c>
      <c r="AA29" s="376">
        <f>COUNTIFS('KIDS&amp;ADULTS'!$V$3:$V$12006,U29,'KIDS&amp;ADULTS'!$B$3:$B$12006,$AA$3,'KIDS&amp;ADULTS'!$N$3:$N$12006,"Đã đóng học phí")</f>
        <v>0</v>
      </c>
      <c r="AB29" s="376">
        <f>COUNTIFS('KIDS&amp;ADULTS'!$V$3:$V$12006,U29,'KIDS&amp;ADULTS'!$B$3:$B$12006,$AB$3,'KIDS&amp;ADULTS'!$N$3:$N$12006,"Đã đóng học phí")</f>
        <v>0</v>
      </c>
      <c r="AC29" s="376">
        <f>COUNTIFS('KIDS&amp;ADULTS'!$V$3:$V$12006,U29,'KIDS&amp;ADULTS'!$B$3:$B$12006,$AC$3,'KIDS&amp;ADULTS'!$N$3:$N$12006,"Đã đóng học phí")</f>
        <v>0</v>
      </c>
    </row>
    <row r="30" ht="15.75" customHeight="1">
      <c r="A30" s="372">
        <v>45257.0</v>
      </c>
      <c r="B30" s="373">
        <f>sumifs('KIDS&amp;ADULTS'!$Z$3:$Z$1015,'KIDS&amp;ADULTS'!$V$3:$V$1015,A30,'KIDS&amp;ADULTS'!$M$3:$M$1015,$B$3)</f>
        <v>0</v>
      </c>
      <c r="C30" s="373">
        <f>sumifs('KIDS&amp;ADULTS'!$Z$3:$Z$1015,'KIDS&amp;ADULTS'!$V$3:$V$1015,A30,'KIDS&amp;ADULTS'!$M$3:$M$1015,"phương")</f>
        <v>0</v>
      </c>
      <c r="D30" s="373">
        <f>sumifs('KIDS&amp;ADULTS'!$Z$3:$Z$1015,'KIDS&amp;ADULTS'!$V$3:$V$1015,A30,'KIDS&amp;ADULTS'!$M$3:$M$1015,$D$3)</f>
        <v>0</v>
      </c>
      <c r="E30" s="373">
        <f>sumifs('KIDS&amp;ADULTS'!$Z$3:$Z$1015,'KIDS&amp;ADULTS'!$V$3:$V$1015,A30,'KIDS&amp;ADULTS'!$M$3:$M$1015,"Ánh")</f>
        <v>0</v>
      </c>
      <c r="F30" s="373">
        <f>sumifs('KIDS&amp;ADULTS'!$Z$3:$Z$1015,'KIDS&amp;ADULTS'!$V$3:$V$1015,A30,'KIDS&amp;ADULTS'!$M$3:$M$1015,"Loan")</f>
        <v>0</v>
      </c>
      <c r="G30" s="373">
        <f t="shared" si="1"/>
        <v>0</v>
      </c>
      <c r="J30" s="372">
        <v>45257.0</v>
      </c>
      <c r="K30" s="374">
        <f>COUNTIFS('KIDS&amp;ADULTS'!$A$3:$A$12008,J30,'KIDS&amp;ADULTS'!$B$3:$B$12008,$K$3)</f>
        <v>0</v>
      </c>
      <c r="L30" s="374">
        <f>COUNTIFS('KIDS&amp;ADULTS'!$A$3:$A$12008,J30,'KIDS&amp;ADULTS'!$B$3:$B$12008,$L$3)</f>
        <v>0</v>
      </c>
      <c r="M30" s="374">
        <f>COUNTIFS('KIDS&amp;ADULTS'!$A$3:$A$12008,J30,'KIDS&amp;ADULTS'!$B$3:$B$12008,$M$3)</f>
        <v>0</v>
      </c>
      <c r="N30" s="375">
        <f>COUNTIFS('KIDS&amp;ADULTS'!$A$3:$A$12008,J30,'KIDS&amp;ADULTS'!$B$3:$B$12008,$N$3)</f>
        <v>0</v>
      </c>
      <c r="O30" s="375">
        <f>COUNTIFS('KIDS&amp;ADULTS'!$A$3:$A$12008,J30,'KIDS&amp;ADULTS'!$B$3:$B$12008,$O$3)</f>
        <v>0</v>
      </c>
      <c r="P30" s="375">
        <f>COUNTIFS('KIDS&amp;ADULTS'!$A$3:$A$12008,J30,'KIDS&amp;ADULTS'!$B$3:$B$12008,$P$3)</f>
        <v>0</v>
      </c>
      <c r="Q30" s="375">
        <f>COUNTIFS('KIDS&amp;ADULTS'!$A$3:$A$1008,J30,'KIDS&amp;ADULTS'!$B$3:$B$1008,$Q$3)</f>
        <v>0</v>
      </c>
      <c r="R30" s="374">
        <f>COUNTIFS('KIDS&amp;ADULTS'!$A$3:$A$12008,J30,'KIDS&amp;ADULTS'!$B$3:$B$12008,$R$3)</f>
        <v>0</v>
      </c>
      <c r="U30" s="372">
        <v>45257.0</v>
      </c>
      <c r="V30" s="376">
        <f>COUNTIFS('KIDS&amp;ADULTS'!$V$3:$V$12006,U30,'KIDS&amp;ADULTS'!$B$3:$B$12006,$K$3,'KIDS&amp;ADULTS'!$N$3:$N$12006,"Đã đóng học phí")</f>
        <v>0</v>
      </c>
      <c r="W30" s="376">
        <f>COUNTIFS('KIDS&amp;ADULTS'!$V$3:$V$12006,U30,'KIDS&amp;ADULTS'!$B$3:$B12032,$W$3,'KIDS&amp;ADULTS'!$N$3:$N$12006,"Đã đóng học phí")</f>
        <v>0</v>
      </c>
      <c r="X30" s="376">
        <f>COUNTIFS('KIDS&amp;ADULTS'!$V$3:$V$12006,U30,'KIDS&amp;ADULTS'!$B$3:$B$12006,$X$3,'KIDS&amp;ADULTS'!$N$3:$N$12006,"Đã đóng học phí")</f>
        <v>0</v>
      </c>
      <c r="Y30" s="376">
        <f>COUNTIFS('KIDS&amp;ADULTS'!$V$3:$V$12006,U30,'KIDS&amp;ADULTS'!$B$3:$B$12006,$Y$3,'KIDS&amp;ADULTS'!$N$3:$N$12006,"Đã đóng học phí")</f>
        <v>0</v>
      </c>
      <c r="Z30" s="376">
        <f>COUNTIFS('KIDS&amp;ADULTS'!$V$3:$V$12006,U30,'KIDS&amp;ADULTS'!$B$3:$B$12006,$Z$3,'KIDS&amp;ADULTS'!$N$3:$N$12006,"Đã đóng học phí")</f>
        <v>0</v>
      </c>
      <c r="AA30" s="376">
        <f>COUNTIFS('KIDS&amp;ADULTS'!$V$3:$V$12006,U30,'KIDS&amp;ADULTS'!$B$3:$B$12006,$AA$3,'KIDS&amp;ADULTS'!$N$3:$N$12006,"Đã đóng học phí")</f>
        <v>0</v>
      </c>
      <c r="AB30" s="376">
        <f>COUNTIFS('KIDS&amp;ADULTS'!$V$3:$V$12006,U30,'KIDS&amp;ADULTS'!$B$3:$B$12006,$AB$3,'KIDS&amp;ADULTS'!$N$3:$N$12006,"Đã đóng học phí")</f>
        <v>0</v>
      </c>
      <c r="AC30" s="376">
        <f>COUNTIFS('KIDS&amp;ADULTS'!$V$3:$V$12006,U30,'KIDS&amp;ADULTS'!$B$3:$B$12006,$AC$3,'KIDS&amp;ADULTS'!$N$3:$N$12006,"Đã đóng học phí")</f>
        <v>0</v>
      </c>
    </row>
    <row r="31" ht="15.75" customHeight="1">
      <c r="A31" s="372">
        <v>45258.0</v>
      </c>
      <c r="B31" s="373">
        <f>sumifs('KIDS&amp;ADULTS'!$Z$3:$Z$1015,'KIDS&amp;ADULTS'!$V$3:$V$1015,A31,'KIDS&amp;ADULTS'!$M$3:$M$1015,$B$3)</f>
        <v>0</v>
      </c>
      <c r="C31" s="373">
        <f>sumifs('KIDS&amp;ADULTS'!$Z$3:$Z$1015,'KIDS&amp;ADULTS'!$V$3:$V$1015,A31,'KIDS&amp;ADULTS'!$M$3:$M$1015,"phương")</f>
        <v>0</v>
      </c>
      <c r="D31" s="373">
        <f>sumifs('KIDS&amp;ADULTS'!$Z$3:$Z$1015,'KIDS&amp;ADULTS'!$V$3:$V$1015,A31,'KIDS&amp;ADULTS'!$M$3:$M$1015,$D$3)</f>
        <v>0</v>
      </c>
      <c r="E31" s="373">
        <f>sumifs('KIDS&amp;ADULTS'!$Z$3:$Z$1015,'KIDS&amp;ADULTS'!$V$3:$V$1015,A31,'KIDS&amp;ADULTS'!$M$3:$M$1015,"Ánh")</f>
        <v>5205400</v>
      </c>
      <c r="F31" s="373">
        <f>sumifs('KIDS&amp;ADULTS'!$Z$3:$Z$1015,'KIDS&amp;ADULTS'!$V$3:$V$1015,A31,'KIDS&amp;ADULTS'!$M$3:$M$1015,"Loan")</f>
        <v>0</v>
      </c>
      <c r="G31" s="373">
        <f t="shared" si="1"/>
        <v>5205400</v>
      </c>
      <c r="J31" s="372">
        <v>45258.0</v>
      </c>
      <c r="K31" s="374">
        <f>COUNTIFS('KIDS&amp;ADULTS'!$A$3:$A$12008,J31,'KIDS&amp;ADULTS'!$B$3:$B$12008,$K$3)</f>
        <v>0</v>
      </c>
      <c r="L31" s="374">
        <f>COUNTIFS('KIDS&amp;ADULTS'!$A$3:$A$12008,J31,'KIDS&amp;ADULTS'!$B$3:$B$12008,$L$3)</f>
        <v>0</v>
      </c>
      <c r="M31" s="374">
        <f>COUNTIFS('KIDS&amp;ADULTS'!$A$3:$A$12008,J31,'KIDS&amp;ADULTS'!$B$3:$B$12008,$M$3)</f>
        <v>0</v>
      </c>
      <c r="N31" s="375">
        <f>COUNTIFS('KIDS&amp;ADULTS'!$A$3:$A$12008,J31,'KIDS&amp;ADULTS'!$B$3:$B$12008,$N$3)</f>
        <v>0</v>
      </c>
      <c r="O31" s="375">
        <f>COUNTIFS('KIDS&amp;ADULTS'!$A$3:$A$12008,J31,'KIDS&amp;ADULTS'!$B$3:$B$12008,$O$3)</f>
        <v>0</v>
      </c>
      <c r="P31" s="375">
        <f>COUNTIFS('KIDS&amp;ADULTS'!$A$3:$A$12008,J31,'KIDS&amp;ADULTS'!$B$3:$B$12008,$P$3)</f>
        <v>0</v>
      </c>
      <c r="Q31" s="375">
        <f>COUNTIFS('KIDS&amp;ADULTS'!$A$3:$A$1008,J31,'KIDS&amp;ADULTS'!$B$3:$B$1008,$Q$3)</f>
        <v>0</v>
      </c>
      <c r="R31" s="374">
        <f>COUNTIFS('KIDS&amp;ADULTS'!$A$3:$A$12008,J31,'KIDS&amp;ADULTS'!$B$3:$B$12008,$R$3)</f>
        <v>0</v>
      </c>
      <c r="U31" s="372">
        <v>45258.0</v>
      </c>
      <c r="V31" s="376">
        <f>COUNTIFS('KIDS&amp;ADULTS'!$V$3:$V$12006,U31,'KIDS&amp;ADULTS'!$B$3:$B$12006,$K$3,'KIDS&amp;ADULTS'!$N$3:$N$12006,"Đã đóng học phí")</f>
        <v>0</v>
      </c>
      <c r="W31" s="376">
        <f>COUNTIFS('KIDS&amp;ADULTS'!$V$3:$V$12006,U31,'KIDS&amp;ADULTS'!$B$3:$B12033,$W$3,'KIDS&amp;ADULTS'!$N$3:$N$12006,"Đã đóng học phí")</f>
        <v>0</v>
      </c>
      <c r="X31" s="376">
        <f>COUNTIFS('KIDS&amp;ADULTS'!$V$3:$V$12006,U31,'KIDS&amp;ADULTS'!$B$3:$B$12006,$X$3,'KIDS&amp;ADULTS'!$N$3:$N$12006,"Đã đóng học phí")</f>
        <v>0</v>
      </c>
      <c r="Y31" s="376">
        <f>COUNTIFS('KIDS&amp;ADULTS'!$V$3:$V$12006,U31,'KIDS&amp;ADULTS'!$B$3:$B$12006,$Y$3,'KIDS&amp;ADULTS'!$N$3:$N$12006,"Đã đóng học phí")</f>
        <v>0</v>
      </c>
      <c r="Z31" s="376">
        <f>COUNTIFS('KIDS&amp;ADULTS'!$V$3:$V$12006,U31,'KIDS&amp;ADULTS'!$B$3:$B$12006,$Z$3,'KIDS&amp;ADULTS'!$N$3:$N$12006,"Đã đóng học phí")</f>
        <v>0</v>
      </c>
      <c r="AA31" s="376">
        <f>COUNTIFS('KIDS&amp;ADULTS'!$V$3:$V$12006,U31,'KIDS&amp;ADULTS'!$B$3:$B$12006,$AA$3,'KIDS&amp;ADULTS'!$N$3:$N$12006,"Đã đóng học phí")</f>
        <v>0</v>
      </c>
      <c r="AB31" s="376">
        <f>COUNTIFS('KIDS&amp;ADULTS'!$V$3:$V$12006,U31,'KIDS&amp;ADULTS'!$B$3:$B$12006,$AB$3,'KIDS&amp;ADULTS'!$N$3:$N$12006,"Đã đóng học phí")</f>
        <v>0</v>
      </c>
      <c r="AC31" s="376">
        <f>COUNTIFS('KIDS&amp;ADULTS'!$V$3:$V$12006,U31,'KIDS&amp;ADULTS'!$B$3:$B$12006,$AC$3,'KIDS&amp;ADULTS'!$N$3:$N$12006,"Đã đóng học phí")</f>
        <v>0</v>
      </c>
    </row>
    <row r="32" ht="15.75" customHeight="1">
      <c r="A32" s="372">
        <v>45259.0</v>
      </c>
      <c r="B32" s="373">
        <f>sumifs('KIDS&amp;ADULTS'!$Z$3:$Z$1015,'KIDS&amp;ADULTS'!$V$3:$V$1015,A32,'KIDS&amp;ADULTS'!$M$3:$M$1015,$B$3)</f>
        <v>0</v>
      </c>
      <c r="C32" s="373">
        <f>sumifs('KIDS&amp;ADULTS'!$Z$3:$Z$1015,'KIDS&amp;ADULTS'!$V$3:$V$1015,A32,'KIDS&amp;ADULTS'!$M$3:$M$1015,"phương")</f>
        <v>0</v>
      </c>
      <c r="D32" s="373">
        <f>sumifs('KIDS&amp;ADULTS'!$Z$3:$Z$1015,'KIDS&amp;ADULTS'!$V$3:$V$1015,A32,'KIDS&amp;ADULTS'!$M$3:$M$1015,$D$3)</f>
        <v>0</v>
      </c>
      <c r="E32" s="373">
        <f>sumifs('KIDS&amp;ADULTS'!$Z$3:$Z$1015,'KIDS&amp;ADULTS'!$V$3:$V$1015,A32,'KIDS&amp;ADULTS'!$M$3:$M$1015,"Ánh")</f>
        <v>0</v>
      </c>
      <c r="F32" s="373">
        <f>sumifs('KIDS&amp;ADULTS'!$Z$3:$Z$1015,'KIDS&amp;ADULTS'!$V$3:$V$1015,A32,'KIDS&amp;ADULTS'!$M$3:$M$1015,"Loan")</f>
        <v>0</v>
      </c>
      <c r="G32" s="373">
        <f t="shared" si="1"/>
        <v>0</v>
      </c>
      <c r="J32" s="372">
        <v>45259.0</v>
      </c>
      <c r="K32" s="374">
        <f>COUNTIFS('KIDS&amp;ADULTS'!$A$3:$A$12008,J32,'KIDS&amp;ADULTS'!$B$3:$B$12008,$K$3)</f>
        <v>0</v>
      </c>
      <c r="L32" s="374">
        <f>COUNTIFS('KIDS&amp;ADULTS'!$A$3:$A$12008,J32,'KIDS&amp;ADULTS'!$B$3:$B$12008,$L$3)</f>
        <v>0</v>
      </c>
      <c r="M32" s="374">
        <f>COUNTIFS('KIDS&amp;ADULTS'!$A$3:$A$12008,J32,'KIDS&amp;ADULTS'!$B$3:$B$12008,$M$3)</f>
        <v>0</v>
      </c>
      <c r="N32" s="375">
        <f>COUNTIFS('KIDS&amp;ADULTS'!$A$3:$A$12008,J32,'KIDS&amp;ADULTS'!$B$3:$B$12008,$N$3)</f>
        <v>0</v>
      </c>
      <c r="O32" s="375">
        <f>COUNTIFS('KIDS&amp;ADULTS'!$A$3:$A$12008,J32,'KIDS&amp;ADULTS'!$B$3:$B$12008,$O$3)</f>
        <v>0</v>
      </c>
      <c r="P32" s="375">
        <f>COUNTIFS('KIDS&amp;ADULTS'!$A$3:$A$12008,J32,'KIDS&amp;ADULTS'!$B$3:$B$12008,$P$3)</f>
        <v>0</v>
      </c>
      <c r="Q32" s="375">
        <f>COUNTIFS('KIDS&amp;ADULTS'!$A$3:$A$1008,J32,'KIDS&amp;ADULTS'!$B$3:$B$1008,$Q$3)</f>
        <v>0</v>
      </c>
      <c r="R32" s="374">
        <f>COUNTIFS('KIDS&amp;ADULTS'!$A$3:$A$12008,J32,'KIDS&amp;ADULTS'!$B$3:$B$12008,$R$3)</f>
        <v>0</v>
      </c>
      <c r="U32" s="372">
        <v>45259.0</v>
      </c>
      <c r="V32" s="376">
        <f>COUNTIFS('KIDS&amp;ADULTS'!$V$3:$V$12006,U32,'KIDS&amp;ADULTS'!$B$3:$B$12006,$K$3,'KIDS&amp;ADULTS'!$N$3:$N$12006,"Đã đóng học phí")</f>
        <v>0</v>
      </c>
      <c r="W32" s="376">
        <f>COUNTIFS('KIDS&amp;ADULTS'!$V$3:$V$12006,U32,'KIDS&amp;ADULTS'!$B$3:$B12034,$W$3,'KIDS&amp;ADULTS'!$N$3:$N$12006,"Đã đóng học phí")</f>
        <v>0</v>
      </c>
      <c r="X32" s="376">
        <f>COUNTIFS('KIDS&amp;ADULTS'!$V$3:$V$12006,U32,'KIDS&amp;ADULTS'!$B$3:$B$12006,$X$3,'KIDS&amp;ADULTS'!$N$3:$N$12006,"Đã đóng học phí")</f>
        <v>0</v>
      </c>
      <c r="Y32" s="376">
        <f>COUNTIFS('KIDS&amp;ADULTS'!$V$3:$V$12006,U32,'KIDS&amp;ADULTS'!$B$3:$B$12006,$Y$3,'KIDS&amp;ADULTS'!$N$3:$N$12006,"Đã đóng học phí")</f>
        <v>0</v>
      </c>
      <c r="Z32" s="376">
        <f>COUNTIFS('KIDS&amp;ADULTS'!$V$3:$V$12006,U32,'KIDS&amp;ADULTS'!$B$3:$B$12006,$Z$3,'KIDS&amp;ADULTS'!$N$3:$N$12006,"Đã đóng học phí")</f>
        <v>0</v>
      </c>
      <c r="AA32" s="376">
        <f>COUNTIFS('KIDS&amp;ADULTS'!$V$3:$V$12006,U32,'KIDS&amp;ADULTS'!$B$3:$B$12006,$AA$3,'KIDS&amp;ADULTS'!$N$3:$N$12006,"Đã đóng học phí")</f>
        <v>0</v>
      </c>
      <c r="AB32" s="376">
        <f>COUNTIFS('KIDS&amp;ADULTS'!$V$3:$V$12006,U32,'KIDS&amp;ADULTS'!$B$3:$B$12006,$AB$3,'KIDS&amp;ADULTS'!$N$3:$N$12006,"Đã đóng học phí")</f>
        <v>0</v>
      </c>
      <c r="AC32" s="376">
        <f>COUNTIFS('KIDS&amp;ADULTS'!$V$3:$V$12006,U32,'KIDS&amp;ADULTS'!$B$3:$B$12006,$AC$3,'KIDS&amp;ADULTS'!$N$3:$N$12006,"Đã đóng học phí")</f>
        <v>0</v>
      </c>
    </row>
    <row r="33" ht="15.75" customHeight="1">
      <c r="A33" s="372">
        <v>45260.0</v>
      </c>
      <c r="B33" s="373">
        <f>sumifs('KIDS&amp;ADULTS'!$Z$3:$Z$1015,'KIDS&amp;ADULTS'!$V$3:$V$1015,A33,'KIDS&amp;ADULTS'!$M$3:$M$1015,$B$3)</f>
        <v>0</v>
      </c>
      <c r="C33" s="373">
        <f>sumifs('KIDS&amp;ADULTS'!$Z$3:$Z$1015,'KIDS&amp;ADULTS'!$V$3:$V$1015,A33,'KIDS&amp;ADULTS'!$M$3:$M$1015,"phương")</f>
        <v>0</v>
      </c>
      <c r="D33" s="373">
        <f>sumifs('KIDS&amp;ADULTS'!$Z$3:$Z$1015,'KIDS&amp;ADULTS'!$V$3:$V$1015,A33,'KIDS&amp;ADULTS'!$M$3:$M$1015,$D$3)</f>
        <v>0</v>
      </c>
      <c r="E33" s="373">
        <f>sumifs('KIDS&amp;ADULTS'!$Z$3:$Z$1015,'KIDS&amp;ADULTS'!$V$3:$V$1015,A33,'KIDS&amp;ADULTS'!$M$3:$M$1015,"Ánh")</f>
        <v>4675000</v>
      </c>
      <c r="F33" s="373">
        <f>sumifs('KIDS&amp;ADULTS'!$Z$3:$Z$1015,'KIDS&amp;ADULTS'!$V$3:$V$1015,A33,'KIDS&amp;ADULTS'!$M$3:$M$1015,"Loan")</f>
        <v>0</v>
      </c>
      <c r="G33" s="373">
        <f t="shared" si="1"/>
        <v>4675000</v>
      </c>
      <c r="J33" s="372">
        <v>45260.0</v>
      </c>
      <c r="K33" s="374">
        <f>COUNTIFS('KIDS&amp;ADULTS'!$A$3:$A$12008,J33,'KIDS&amp;ADULTS'!$B$3:$B$12008,$K$3)</f>
        <v>0</v>
      </c>
      <c r="L33" s="374">
        <f>COUNTIFS('KIDS&amp;ADULTS'!$A$3:$A$12008,J33,'KIDS&amp;ADULTS'!$B$3:$B$12008,$L$3)</f>
        <v>0</v>
      </c>
      <c r="M33" s="374">
        <f>COUNTIFS('KIDS&amp;ADULTS'!$A$3:$A$12008,J33,'KIDS&amp;ADULTS'!$B$3:$B$12008,$M$3)</f>
        <v>0</v>
      </c>
      <c r="N33" s="375">
        <f>COUNTIFS('KIDS&amp;ADULTS'!$A$3:$A$12008,J33,'KIDS&amp;ADULTS'!$B$3:$B$12008,$N$3)</f>
        <v>0</v>
      </c>
      <c r="O33" s="375">
        <f>COUNTIFS('KIDS&amp;ADULTS'!$A$3:$A$12008,J33,'KIDS&amp;ADULTS'!$B$3:$B$12008,$O$3)</f>
        <v>0</v>
      </c>
      <c r="P33" s="375">
        <f>COUNTIFS('KIDS&amp;ADULTS'!$A$3:$A$12008,J33,'KIDS&amp;ADULTS'!$B$3:$B$12008,$P$3)</f>
        <v>0</v>
      </c>
      <c r="Q33" s="375">
        <f>COUNTIFS('KIDS&amp;ADULTS'!$A$3:$A$1008,J33,'KIDS&amp;ADULTS'!$B$3:$B$1008,$Q$3)</f>
        <v>0</v>
      </c>
      <c r="R33" s="374">
        <f>COUNTIFS('KIDS&amp;ADULTS'!$A$3:$A$12008,J33,'KIDS&amp;ADULTS'!$B$3:$B$12008,$R$3)</f>
        <v>0</v>
      </c>
      <c r="U33" s="372">
        <v>45260.0</v>
      </c>
      <c r="V33" s="376">
        <f>COUNTIFS('KIDS&amp;ADULTS'!$V$3:$V$12006,U33,'KIDS&amp;ADULTS'!$B$3:$B$12006,$K$3,'KIDS&amp;ADULTS'!$N$3:$N$12006,"Đã đóng học phí")</f>
        <v>0</v>
      </c>
      <c r="W33" s="376">
        <f>COUNTIFS('KIDS&amp;ADULTS'!$V$3:$V$12006,U33,'KIDS&amp;ADULTS'!$B$3:$B12035,$W$3,'KIDS&amp;ADULTS'!$N$3:$N$12006,"Đã đóng học phí")</f>
        <v>0</v>
      </c>
      <c r="X33" s="376">
        <f>COUNTIFS('KIDS&amp;ADULTS'!$V$3:$V$12006,U33,'KIDS&amp;ADULTS'!$B$3:$B$12006,$X$3,'KIDS&amp;ADULTS'!$N$3:$N$12006,"Đã đóng học phí")</f>
        <v>0</v>
      </c>
      <c r="Y33" s="376">
        <f>COUNTIFS('KIDS&amp;ADULTS'!$V$3:$V$12006,U33,'KIDS&amp;ADULTS'!$B$3:$B$12006,$Y$3,'KIDS&amp;ADULTS'!$N$3:$N$12006,"Đã đóng học phí")</f>
        <v>0</v>
      </c>
      <c r="Z33" s="376">
        <f>COUNTIFS('KIDS&amp;ADULTS'!$V$3:$V$12006,U33,'KIDS&amp;ADULTS'!$B$3:$B$12006,$Z$3,'KIDS&amp;ADULTS'!$N$3:$N$12006,"Đã đóng học phí")</f>
        <v>0</v>
      </c>
      <c r="AA33" s="376">
        <f>COUNTIFS('KIDS&amp;ADULTS'!$V$3:$V$12006,U33,'KIDS&amp;ADULTS'!$B$3:$B$12006,$AA$3,'KIDS&amp;ADULTS'!$N$3:$N$12006,"Đã đóng học phí")</f>
        <v>0</v>
      </c>
      <c r="AB33" s="376">
        <f>COUNTIFS('KIDS&amp;ADULTS'!$V$3:$V$12006,U33,'KIDS&amp;ADULTS'!$B$3:$B$12006,$AB$3,'KIDS&amp;ADULTS'!$N$3:$N$12006,"Đã đóng học phí")</f>
        <v>0</v>
      </c>
      <c r="AC33" s="376">
        <f>COUNTIFS('KIDS&amp;ADULTS'!$V$3:$V$12006,U33,'KIDS&amp;ADULTS'!$B$3:$B$12006,$AC$3,'KIDS&amp;ADULTS'!$N$3:$N$12006,"Đã đóng học phí")</f>
        <v>0</v>
      </c>
    </row>
    <row r="34" ht="15.75" customHeight="1">
      <c r="B34" s="386">
        <f t="shared" ref="B34:F34" si="4">sum(B4:B33)</f>
        <v>0</v>
      </c>
      <c r="C34" s="386">
        <f t="shared" si="4"/>
        <v>0</v>
      </c>
      <c r="D34" s="386">
        <f t="shared" si="4"/>
        <v>0</v>
      </c>
      <c r="E34" s="386">
        <f t="shared" si="4"/>
        <v>25459800</v>
      </c>
      <c r="F34" s="386">
        <f t="shared" si="4"/>
        <v>0</v>
      </c>
      <c r="H34" s="387">
        <f>sum(G4:G33)</f>
        <v>25459800</v>
      </c>
      <c r="J34" s="388" t="s">
        <v>4622</v>
      </c>
      <c r="K34" s="389">
        <f t="shared" ref="K34:R34" si="5">SUM(K4:K33)</f>
        <v>0</v>
      </c>
      <c r="L34" s="389">
        <f t="shared" si="5"/>
        <v>0</v>
      </c>
      <c r="M34" s="389">
        <f t="shared" si="5"/>
        <v>0</v>
      </c>
      <c r="N34" s="380">
        <f t="shared" si="5"/>
        <v>5</v>
      </c>
      <c r="O34" s="380">
        <f t="shared" si="5"/>
        <v>3</v>
      </c>
      <c r="P34" s="380">
        <f t="shared" si="5"/>
        <v>0</v>
      </c>
      <c r="Q34" s="380">
        <f t="shared" si="5"/>
        <v>0</v>
      </c>
      <c r="R34" s="389">
        <f t="shared" si="5"/>
        <v>0</v>
      </c>
      <c r="S34" s="390">
        <f>SUM(K34:R35)</f>
        <v>8</v>
      </c>
      <c r="U34" s="388" t="s">
        <v>4622</v>
      </c>
      <c r="V34" s="366">
        <f t="shared" ref="V34:Z34" si="6">SUM(V4:V33)</f>
        <v>0</v>
      </c>
      <c r="W34" s="367">
        <f t="shared" si="6"/>
        <v>0</v>
      </c>
      <c r="X34" s="377">
        <f t="shared" si="6"/>
        <v>0</v>
      </c>
      <c r="Y34" s="377">
        <f t="shared" si="6"/>
        <v>1</v>
      </c>
      <c r="Z34" s="379">
        <f t="shared" si="6"/>
        <v>1</v>
      </c>
      <c r="AA34" s="380">
        <f t="shared" ref="AA34:AB34" si="7">SUM(AA2:AA33)</f>
        <v>0</v>
      </c>
      <c r="AB34" s="380">
        <f t="shared" si="7"/>
        <v>0</v>
      </c>
      <c r="AC34" s="380">
        <f>SUM(AC4:AC33)</f>
        <v>0</v>
      </c>
      <c r="AD34" s="391">
        <f>SUM(V34:AC34)</f>
        <v>2</v>
      </c>
    </row>
    <row r="35" ht="15.75" customHeight="1">
      <c r="F35" s="392"/>
    </row>
    <row r="36" ht="15.75" customHeight="1">
      <c r="H36" s="383"/>
    </row>
    <row r="37" ht="15.75" customHeight="1">
      <c r="I37" s="383" t="s">
        <v>3683</v>
      </c>
      <c r="J37" s="396" t="s">
        <v>4721</v>
      </c>
      <c r="K37" s="397">
        <f>COUNTIFS('KIDS&amp;ADULTS'!V:V,"&gt;"&amp;"31-10-2023",'KIDS&amp;ADULTS'!V:V,"&lt;"&amp;"1-12-2023")</f>
        <v>6</v>
      </c>
      <c r="M37" s="383">
        <f>K37/S34</f>
        <v>0.75</v>
      </c>
      <c r="U37" s="358" t="s">
        <v>4626</v>
      </c>
    </row>
    <row r="38" ht="15.75" customHeight="1">
      <c r="G38" s="386"/>
      <c r="U38" s="361" t="s">
        <v>4613</v>
      </c>
      <c r="V38" s="363" t="s">
        <v>4616</v>
      </c>
      <c r="W38" s="235"/>
      <c r="X38" s="235"/>
      <c r="Y38" s="235"/>
      <c r="Z38" s="235"/>
      <c r="AA38" s="235"/>
      <c r="AB38" s="235"/>
      <c r="AC38" s="236"/>
    </row>
    <row r="39" ht="15.75" customHeight="1">
      <c r="G39" s="386"/>
      <c r="U39" s="11"/>
      <c r="V39" s="366" t="s">
        <v>4620</v>
      </c>
      <c r="W39" s="367" t="s">
        <v>4621</v>
      </c>
      <c r="X39" s="368" t="s">
        <v>73</v>
      </c>
      <c r="Y39" s="369" t="s">
        <v>201</v>
      </c>
      <c r="Z39" s="370" t="s">
        <v>84</v>
      </c>
      <c r="AA39" s="371" t="s">
        <v>60</v>
      </c>
      <c r="AB39" s="371" t="s">
        <v>539</v>
      </c>
      <c r="AC39" s="371" t="s">
        <v>703</v>
      </c>
    </row>
    <row r="40" ht="15.75" customHeight="1">
      <c r="H40" s="123"/>
      <c r="U40" s="372">
        <v>45231.0</v>
      </c>
      <c r="V40" s="398">
        <f>SUMIFS('KIDS&amp;ADULTS'!$Z$3:$Z$12006,'KIDS&amp;ADULTS'!V$3:V$12006,U40,'KIDS&amp;ADULTS'!$B$3:$B$12006,$K$3,'KIDS&amp;ADULTS'!$N$3:$N$12006,"Đã đóng học phí")</f>
        <v>0</v>
      </c>
      <c r="W40" s="398">
        <f>SUMIFS('KIDS&amp;ADULTS'!$Z$3:$Z$12006,'KIDS&amp;ADULTS'!$V$3:$V$12006,U40,'KIDS&amp;ADULTS'!$B$3:$B$12006,$W$3,'KIDS&amp;ADULTS'!$N$3:$N$12006,"Đã đóng học phí")</f>
        <v>0</v>
      </c>
      <c r="X40" s="398">
        <f>SUMIFS('KIDS&amp;ADULTS'!$Z$3:$Z$12006,'KIDS&amp;ADULTS'!$V$3:$V$12006,U40,'KIDS&amp;ADULTS'!$B$3:$B$12006,$X$3,'KIDS&amp;ADULTS'!$N$3:$N$12006,"Đã đóng học phí")</f>
        <v>0</v>
      </c>
      <c r="Y40" s="398">
        <f>SUMIFS('KIDS&amp;ADULTS'!$Z$3:$Z$12006,'KIDS&amp;ADULTS'!$V$3:$V$12006,U40,'KIDS&amp;ADULTS'!$B$3:$B$12006,$Y$3,'KIDS&amp;ADULTS'!$N$3:$N$12006,"Đã đóng học phí")</f>
        <v>0</v>
      </c>
      <c r="Z40" s="398">
        <f>SUMIFS('KIDS&amp;ADULTS'!$Z$3:$Z$12006,'KIDS&amp;ADULTS'!$V$3:$V$12006,U40,'KIDS&amp;ADULTS'!$B$3:$B$12006,$Z$3,'KIDS&amp;ADULTS'!$N$3:$N$12006,"Đã đóng học phí")</f>
        <v>0</v>
      </c>
      <c r="AA40" s="398">
        <f>SUMIFS('KIDS&amp;ADULTS'!$Z$3:$Z$12006,'KIDS&amp;ADULTS'!$V$3:$V$12006,U40,'KIDS&amp;ADULTS'!$B$3:$B$12006,$AA$3,'KIDS&amp;ADULTS'!$N$3:$N$12006,"Đã đóng học phí")</f>
        <v>0</v>
      </c>
      <c r="AB40" s="398">
        <f>SUMIFS('KIDS&amp;ADULTS'!$Z$3:$Z$12006,'KIDS&amp;ADULTS'!$V$3:$V$12006,U40,'KIDS&amp;ADULTS'!$B$3:$B$12006,$AB$3,'KIDS&amp;ADULTS'!$N$3:$N$12006,"Đã đóng học phí")</f>
        <v>0</v>
      </c>
      <c r="AC40" s="398">
        <f>SUMIFS('KIDS&amp;ADULTS'!$Z$3:$Z$12006,'KIDS&amp;ADULTS'!$V$3:$V$12006,U40,'KIDS&amp;ADULTS'!$B$3:$B$12006,$AC$3,'KIDS&amp;ADULTS'!$N$3:$N$12006,"Đã đóng học phí")</f>
        <v>0</v>
      </c>
      <c r="AD40" s="398">
        <f t="shared" ref="AD40:AD70" si="8">SUM(V40:AC40)</f>
        <v>0</v>
      </c>
      <c r="AE40" s="373"/>
    </row>
    <row r="41" ht="15.75" customHeight="1">
      <c r="U41" s="372">
        <f t="shared" ref="U41:U69" si="9">U40+1</f>
        <v>45232</v>
      </c>
      <c r="V41" s="398">
        <f>SUMIFS('KIDS&amp;ADULTS'!$Z$3:$Z$12006,'KIDS&amp;ADULTS'!V$3:V$12006,U41,'KIDS&amp;ADULTS'!$B$3:$B$12006,$K$3,'KIDS&amp;ADULTS'!$N$3:$N$12006,"Đã đóng học phí")</f>
        <v>0</v>
      </c>
      <c r="W41" s="398">
        <f>SUMIFS('KIDS&amp;ADULTS'!$Z$3:$Z$12006,'KIDS&amp;ADULTS'!$V$3:$V$12006,U41,'KIDS&amp;ADULTS'!$B$3:$B$12006,$W$3,'KIDS&amp;ADULTS'!$N$3:$N$12006,"Đã đóng học phí")</f>
        <v>0</v>
      </c>
      <c r="X41" s="398">
        <f>SUMIFS('KIDS&amp;ADULTS'!$Z$3:$Z$12006,'KIDS&amp;ADULTS'!$V$3:$V$12006,U41,'KIDS&amp;ADULTS'!$B$3:$B$12006,$X$3,'KIDS&amp;ADULTS'!$N$3:$N$12006,"Đã đóng học phí")</f>
        <v>0</v>
      </c>
      <c r="Y41" s="398">
        <f>SUMIFS('KIDS&amp;ADULTS'!$Z$3:$Z$12006,'KIDS&amp;ADULTS'!$V$3:$V$12006,U41,'KIDS&amp;ADULTS'!$B$3:$B$12006,$Y$3,'KIDS&amp;ADULTS'!$N$3:$N$12006,"Đã đóng học phí")</f>
        <v>0</v>
      </c>
      <c r="Z41" s="398">
        <f>SUMIFS('KIDS&amp;ADULTS'!$Z$3:$Z$12006,'KIDS&amp;ADULTS'!$V$3:$V$12006,U41,'KIDS&amp;ADULTS'!$B$3:$B$12006,$Z$3,'KIDS&amp;ADULTS'!$N$3:$N$12006,"Đã đóng học phí")</f>
        <v>0</v>
      </c>
      <c r="AA41" s="398">
        <f>SUMIFS('KIDS&amp;ADULTS'!$Z$3:$Z$12006,'KIDS&amp;ADULTS'!$V$3:$V$12006,U41,'KIDS&amp;ADULTS'!$B$3:$B$12006,$AA$3,'KIDS&amp;ADULTS'!$N$3:$N$12006,"Đã đóng học phí")</f>
        <v>0</v>
      </c>
      <c r="AB41" s="398">
        <f>SUMIFS('KIDS&amp;ADULTS'!$Z$3:$Z$12006,'KIDS&amp;ADULTS'!$V$3:$V$12006,U41,'KIDS&amp;ADULTS'!$B$3:$B$12006,$AB$3,'KIDS&amp;ADULTS'!$N$3:$N$12006,"Đã đóng học phí")</f>
        <v>0</v>
      </c>
      <c r="AC41" s="398">
        <f>SUMIFS('KIDS&amp;ADULTS'!$Z$3:$Z$12006,'KIDS&amp;ADULTS'!$V$3:$V$12006,U41,'KIDS&amp;ADULTS'!$B$3:$B$12006,$AC$3,'KIDS&amp;ADULTS'!$N$3:$N$12006,"Đã đóng học phí")</f>
        <v>0</v>
      </c>
      <c r="AD41" s="398">
        <f t="shared" si="8"/>
        <v>0</v>
      </c>
      <c r="AE41" s="373"/>
    </row>
    <row r="42" ht="15.75" customHeight="1">
      <c r="U42" s="372">
        <f t="shared" si="9"/>
        <v>45233</v>
      </c>
      <c r="V42" s="398">
        <f>SUMIFS('KIDS&amp;ADULTS'!$Z$3:$Z$12006,'KIDS&amp;ADULTS'!V$3:V$12006,U42,'KIDS&amp;ADULTS'!$B$3:$B$12006,$K$3,'KIDS&amp;ADULTS'!$N$3:$N$12006,"Đã đóng học phí")</f>
        <v>0</v>
      </c>
      <c r="W42" s="398">
        <f>SUMIFS('KIDS&amp;ADULTS'!$Z$3:$Z$12006,'KIDS&amp;ADULTS'!$V$3:$V$12006,U42,'KIDS&amp;ADULTS'!$B$3:$B$12006,$W$3,'KIDS&amp;ADULTS'!$N$3:$N$12006,"Đã đóng học phí")</f>
        <v>0</v>
      </c>
      <c r="X42" s="398">
        <f>SUMIFS('KIDS&amp;ADULTS'!$Z$3:$Z$12006,'KIDS&amp;ADULTS'!$V$3:$V$12006,U42,'KIDS&amp;ADULTS'!$B$3:$B$12006,$X$3,'KIDS&amp;ADULTS'!$N$3:$N$12006,"Đã đóng học phí")</f>
        <v>0</v>
      </c>
      <c r="Y42" s="398">
        <f>SUMIFS('KIDS&amp;ADULTS'!$Z$3:$Z$12006,'KIDS&amp;ADULTS'!$V$3:$V$12006,U42,'KIDS&amp;ADULTS'!$B$3:$B$12006,$Y$3,'KIDS&amp;ADULTS'!$N$3:$N$12006,"Đã đóng học phí")</f>
        <v>0</v>
      </c>
      <c r="Z42" s="398">
        <f>SUMIFS('KIDS&amp;ADULTS'!$Z$3:$Z$12006,'KIDS&amp;ADULTS'!$V$3:$V$12006,U42,'KIDS&amp;ADULTS'!$B$3:$B$12006,$Z$3,'KIDS&amp;ADULTS'!$N$3:$N$12006,"Đã đóng học phí")</f>
        <v>0</v>
      </c>
      <c r="AA42" s="398">
        <f>SUMIFS('KIDS&amp;ADULTS'!$Z$3:$Z$12006,'KIDS&amp;ADULTS'!$V$3:$V$12006,U42,'KIDS&amp;ADULTS'!$B$3:$B$12006,$AA$3,'KIDS&amp;ADULTS'!$N$3:$N$12006,"Đã đóng học phí")</f>
        <v>0</v>
      </c>
      <c r="AB42" s="398">
        <f>SUMIFS('KIDS&amp;ADULTS'!$Z$3:$Z$12006,'KIDS&amp;ADULTS'!$V$3:$V$12006,U42,'KIDS&amp;ADULTS'!$B$3:$B$12006,$AB$3,'KIDS&amp;ADULTS'!$N$3:$N$12006,"Đã đóng học phí")</f>
        <v>0</v>
      </c>
      <c r="AC42" s="398">
        <f>SUMIFS('KIDS&amp;ADULTS'!$Z$3:$Z$12006,'KIDS&amp;ADULTS'!$V$3:$V$12006,U42,'KIDS&amp;ADULTS'!$B$3:$B$12006,$AC$3,'KIDS&amp;ADULTS'!$N$3:$N$12006,"Đã đóng học phí")</f>
        <v>0</v>
      </c>
      <c r="AD42" s="398">
        <f t="shared" si="8"/>
        <v>0</v>
      </c>
      <c r="AE42" s="373"/>
    </row>
    <row r="43" ht="15.75" customHeight="1">
      <c r="U43" s="372">
        <f t="shared" si="9"/>
        <v>45234</v>
      </c>
      <c r="V43" s="398">
        <f>SUMIFS('KIDS&amp;ADULTS'!$Z$3:$Z$12006,'KIDS&amp;ADULTS'!V$3:V$12006,U43,'KIDS&amp;ADULTS'!$B$3:$B$12006,$K$3,'KIDS&amp;ADULTS'!$N$3:$N$12006,"Đã đóng học phí")</f>
        <v>0</v>
      </c>
      <c r="W43" s="398">
        <f>SUMIFS('KIDS&amp;ADULTS'!$Z$3:$Z$12006,'KIDS&amp;ADULTS'!$V$3:$V$12006,U43,'KIDS&amp;ADULTS'!$B$3:$B$12006,$W$3,'KIDS&amp;ADULTS'!$N$3:$N$12006,"Đã đóng học phí")</f>
        <v>0</v>
      </c>
      <c r="X43" s="398">
        <f>SUMIFS('KIDS&amp;ADULTS'!$Z$3:$Z$12006,'KIDS&amp;ADULTS'!$V$3:$V$12006,U43,'KIDS&amp;ADULTS'!$B$3:$B$12006,$X$3,'KIDS&amp;ADULTS'!$N$3:$N$12006,"Đã đóng học phí")</f>
        <v>0</v>
      </c>
      <c r="Y43" s="398">
        <f>SUMIFS('KIDS&amp;ADULTS'!$Z$3:$Z$12006,'KIDS&amp;ADULTS'!$V$3:$V$12006,U43,'KIDS&amp;ADULTS'!$B$3:$B$12006,$Y$3,'KIDS&amp;ADULTS'!$N$3:$N$12006,"Đã đóng học phí")</f>
        <v>0</v>
      </c>
      <c r="Z43" s="398">
        <f>SUMIFS('KIDS&amp;ADULTS'!$Z$3:$Z$12006,'KIDS&amp;ADULTS'!$V$3:$V$12006,U43,'KIDS&amp;ADULTS'!$B$3:$B$12006,$Z$3,'KIDS&amp;ADULTS'!$N$3:$N$12006,"Đã đóng học phí")</f>
        <v>0</v>
      </c>
      <c r="AA43" s="398">
        <f>SUMIFS('KIDS&amp;ADULTS'!$Z$3:$Z$12006,'KIDS&amp;ADULTS'!$V$3:$V$12006,U43,'KIDS&amp;ADULTS'!$B$3:$B$12006,$AA$3,'KIDS&amp;ADULTS'!$N$3:$N$12006,"Đã đóng học phí")</f>
        <v>0</v>
      </c>
      <c r="AB43" s="398">
        <f>SUMIFS('KIDS&amp;ADULTS'!$Z$3:$Z$12006,'KIDS&amp;ADULTS'!$V$3:$V$12006,U43,'KIDS&amp;ADULTS'!$B$3:$B$12006,$AB$3,'KIDS&amp;ADULTS'!$N$3:$N$12006,"Đã đóng học phí")</f>
        <v>0</v>
      </c>
      <c r="AC43" s="398">
        <f>SUMIFS('KIDS&amp;ADULTS'!$Z$3:$Z$12006,'KIDS&amp;ADULTS'!$V$3:$V$12006,U43,'KIDS&amp;ADULTS'!$B$3:$B$12006,$AC$3,'KIDS&amp;ADULTS'!$N$3:$N$12006,"Đã đóng học phí")</f>
        <v>0</v>
      </c>
      <c r="AD43" s="398">
        <f t="shared" si="8"/>
        <v>0</v>
      </c>
      <c r="AE43" s="373"/>
    </row>
    <row r="44" ht="15.75" customHeight="1">
      <c r="K44" s="386"/>
      <c r="U44" s="372">
        <f t="shared" si="9"/>
        <v>45235</v>
      </c>
      <c r="V44" s="398">
        <f>SUMIFS('KIDS&amp;ADULTS'!$Z$3:$Z$12006,'KIDS&amp;ADULTS'!V$3:V$12006,U44,'KIDS&amp;ADULTS'!$B$3:$B$12006,$K$3,'KIDS&amp;ADULTS'!$N$3:$N$12006,"Đã đóng học phí")</f>
        <v>0</v>
      </c>
      <c r="W44" s="398">
        <f>SUMIFS('KIDS&amp;ADULTS'!$Z$3:$Z$12006,'KIDS&amp;ADULTS'!$V$3:$V$12006,U44,'KIDS&amp;ADULTS'!$B$3:$B$12006,$W$3,'KIDS&amp;ADULTS'!$N$3:$N$12006,"Đã đóng học phí")</f>
        <v>0</v>
      </c>
      <c r="X44" s="398">
        <f>SUMIFS('KIDS&amp;ADULTS'!$Z$3:$Z$12006,'KIDS&amp;ADULTS'!$V$3:$V$12006,U44,'KIDS&amp;ADULTS'!$B$3:$B$12006,$X$3,'KIDS&amp;ADULTS'!$N$3:$N$12006,"Đã đóng học phí")</f>
        <v>0</v>
      </c>
      <c r="Y44" s="398">
        <f>SUMIFS('KIDS&amp;ADULTS'!$Z$3:$Z$12006,'KIDS&amp;ADULTS'!$V$3:$V$12006,U44,'KIDS&amp;ADULTS'!$B$3:$B$12006,$Y$3,'KIDS&amp;ADULTS'!$N$3:$N$12006,"Đã đóng học phí")</f>
        <v>0</v>
      </c>
      <c r="Z44" s="398">
        <f>SUMIFS('KIDS&amp;ADULTS'!$Z$3:$Z$12006,'KIDS&amp;ADULTS'!$V$3:$V$12006,U44,'KIDS&amp;ADULTS'!$B$3:$B$12006,$Z$3,'KIDS&amp;ADULTS'!$N$3:$N$12006,"Đã đóng học phí")</f>
        <v>0</v>
      </c>
      <c r="AA44" s="398">
        <f>SUMIFS('KIDS&amp;ADULTS'!$Z$3:$Z$12006,'KIDS&amp;ADULTS'!$V$3:$V$12006,U44,'KIDS&amp;ADULTS'!$B$3:$B$12006,$AA$3,'KIDS&amp;ADULTS'!$N$3:$N$12006,"Đã đóng học phí")</f>
        <v>0</v>
      </c>
      <c r="AB44" s="398">
        <f>SUMIFS('KIDS&amp;ADULTS'!$Z$3:$Z$12006,'KIDS&amp;ADULTS'!$V$3:$V$12006,U44,'KIDS&amp;ADULTS'!$B$3:$B$12006,$AB$3,'KIDS&amp;ADULTS'!$N$3:$N$12006,"Đã đóng học phí")</f>
        <v>0</v>
      </c>
      <c r="AC44" s="398">
        <f>SUMIFS('KIDS&amp;ADULTS'!$Z$3:$Z$12006,'KIDS&amp;ADULTS'!$V$3:$V$12006,U44,'KIDS&amp;ADULTS'!$B$3:$B$12006,$AC$3,'KIDS&amp;ADULTS'!$N$3:$N$12006,"Đã đóng học phí")</f>
        <v>0</v>
      </c>
      <c r="AD44" s="398">
        <f t="shared" si="8"/>
        <v>0</v>
      </c>
      <c r="AE44" s="373"/>
    </row>
    <row r="45" ht="15.75" customHeight="1">
      <c r="K45" s="386"/>
      <c r="U45" s="372">
        <f t="shared" si="9"/>
        <v>45236</v>
      </c>
      <c r="V45" s="398">
        <f>SUMIFS('KIDS&amp;ADULTS'!$Z$3:$Z$12006,'KIDS&amp;ADULTS'!V$3:V$12006,U45,'KIDS&amp;ADULTS'!$B$3:$B$12006,$K$3,'KIDS&amp;ADULTS'!$N$3:$N$12006,"Đã đóng học phí")</f>
        <v>0</v>
      </c>
      <c r="W45" s="398">
        <f>SUMIFS('KIDS&amp;ADULTS'!$Z$3:$Z$12006,'KIDS&amp;ADULTS'!$V$3:$V$12006,U45,'KIDS&amp;ADULTS'!$B$3:$B$12006,$W$3,'KIDS&amp;ADULTS'!$N$3:$N$12006,"Đã đóng học phí")</f>
        <v>0</v>
      </c>
      <c r="X45" s="398">
        <f>SUMIFS('KIDS&amp;ADULTS'!$Z$3:$Z$12006,'KIDS&amp;ADULTS'!$V$3:$V$12006,U45,'KIDS&amp;ADULTS'!$B$3:$B$12006,$X$3,'KIDS&amp;ADULTS'!$N$3:$N$12006,"Đã đóng học phí")</f>
        <v>0</v>
      </c>
      <c r="Y45" s="398">
        <f>SUMIFS('KIDS&amp;ADULTS'!$Z$3:$Z$12006,'KIDS&amp;ADULTS'!$V$3:$V$12006,U45,'KIDS&amp;ADULTS'!$B$3:$B$12006,$Y$3,'KIDS&amp;ADULTS'!$N$3:$N$12006,"Đã đóng học phí")</f>
        <v>0</v>
      </c>
      <c r="Z45" s="398">
        <f>SUMIFS('KIDS&amp;ADULTS'!$Z$3:$Z$12006,'KIDS&amp;ADULTS'!$V$3:$V$12006,U45,'KIDS&amp;ADULTS'!$B$3:$B$12006,$Z$3,'KIDS&amp;ADULTS'!$N$3:$N$12006,"Đã đóng học phí")</f>
        <v>0</v>
      </c>
      <c r="AA45" s="398">
        <f>SUMIFS('KIDS&amp;ADULTS'!$Z$3:$Z$12006,'KIDS&amp;ADULTS'!$V$3:$V$12006,U45,'KIDS&amp;ADULTS'!$B$3:$B$12006,$AA$3,'KIDS&amp;ADULTS'!$N$3:$N$12006,"Đã đóng học phí")</f>
        <v>0</v>
      </c>
      <c r="AB45" s="398">
        <f>SUMIFS('KIDS&amp;ADULTS'!$Z$3:$Z$12006,'KIDS&amp;ADULTS'!$V$3:$V$12006,U45,'KIDS&amp;ADULTS'!$B$3:$B$12006,$AB$3,'KIDS&amp;ADULTS'!$N$3:$N$12006,"Đã đóng học phí")</f>
        <v>0</v>
      </c>
      <c r="AC45" s="398">
        <f>SUMIFS('KIDS&amp;ADULTS'!$Z$3:$Z$12006,'KIDS&amp;ADULTS'!$V$3:$V$12006,U45,'KIDS&amp;ADULTS'!$B$3:$B$12006,$AC$3,'KIDS&amp;ADULTS'!$N$3:$N$12006,"Đã đóng học phí")</f>
        <v>0</v>
      </c>
      <c r="AD45" s="398">
        <f t="shared" si="8"/>
        <v>0</v>
      </c>
      <c r="AE45" s="373"/>
    </row>
    <row r="46" ht="15.75" customHeight="1">
      <c r="U46" s="372">
        <f t="shared" si="9"/>
        <v>45237</v>
      </c>
      <c r="V46" s="398">
        <f>SUMIFS('KIDS&amp;ADULTS'!$Z$3:$Z$12006,'KIDS&amp;ADULTS'!V$3:V$12006,U46,'KIDS&amp;ADULTS'!$B$3:$B$12006,$K$3,'KIDS&amp;ADULTS'!$N$3:$N$12006,"Đã đóng học phí")</f>
        <v>0</v>
      </c>
      <c r="W46" s="398">
        <f>SUMIFS('KIDS&amp;ADULTS'!$Z$3:$Z$12006,'KIDS&amp;ADULTS'!$V$3:$V$12006,U46,'KIDS&amp;ADULTS'!$B$3:$B$12006,$W$3,'KIDS&amp;ADULTS'!$N$3:$N$12006,"Đã đóng học phí")</f>
        <v>0</v>
      </c>
      <c r="X46" s="398">
        <f>SUMIFS('KIDS&amp;ADULTS'!$Z$3:$Z$12006,'KIDS&amp;ADULTS'!$V$3:$V$12006,U46,'KIDS&amp;ADULTS'!$B$3:$B$12006,$X$3,'KIDS&amp;ADULTS'!$N$3:$N$12006,"Đã đóng học phí")</f>
        <v>0</v>
      </c>
      <c r="Y46" s="398">
        <f>SUMIFS('KIDS&amp;ADULTS'!$Z$3:$Z$12006,'KIDS&amp;ADULTS'!$V$3:$V$12006,U46,'KIDS&amp;ADULTS'!$B$3:$B$12006,$Y$3,'KIDS&amp;ADULTS'!$N$3:$N$12006,"Đã đóng học phí")</f>
        <v>0</v>
      </c>
      <c r="Z46" s="398">
        <f>SUMIFS('KIDS&amp;ADULTS'!$Z$3:$Z$12006,'KIDS&amp;ADULTS'!$V$3:$V$12006,U46,'KIDS&amp;ADULTS'!$B$3:$B$12006,$Z$3,'KIDS&amp;ADULTS'!$N$3:$N$12006,"Đã đóng học phí")</f>
        <v>0</v>
      </c>
      <c r="AA46" s="398">
        <f>SUMIFS('KIDS&amp;ADULTS'!$Z$3:$Z$12006,'KIDS&amp;ADULTS'!$V$3:$V$12006,U46,'KIDS&amp;ADULTS'!$B$3:$B$12006,$AA$3,'KIDS&amp;ADULTS'!$N$3:$N$12006,"Đã đóng học phí")</f>
        <v>0</v>
      </c>
      <c r="AB46" s="398">
        <f>SUMIFS('KIDS&amp;ADULTS'!$Z$3:$Z$12006,'KIDS&amp;ADULTS'!$V$3:$V$12006,U46,'KIDS&amp;ADULTS'!$B$3:$B$12006,$AB$3,'KIDS&amp;ADULTS'!$N$3:$N$12006,"Đã đóng học phí")</f>
        <v>0</v>
      </c>
      <c r="AC46" s="398">
        <f>SUMIFS('KIDS&amp;ADULTS'!$Z$3:$Z$12006,'KIDS&amp;ADULTS'!$V$3:$V$12006,U46,'KIDS&amp;ADULTS'!$B$3:$B$12006,$AC$3,'KIDS&amp;ADULTS'!$N$3:$N$12006,"Đã đóng học phí")</f>
        <v>0</v>
      </c>
      <c r="AD46" s="398">
        <f t="shared" si="8"/>
        <v>0</v>
      </c>
      <c r="AE46" s="373"/>
    </row>
    <row r="47" ht="15.75" customHeight="1">
      <c r="U47" s="372">
        <f t="shared" si="9"/>
        <v>45238</v>
      </c>
      <c r="V47" s="398">
        <f>SUMIFS('KIDS&amp;ADULTS'!$Z$3:$Z$12006,'KIDS&amp;ADULTS'!V$3:V$12006,U47,'KIDS&amp;ADULTS'!$B$3:$B$12006,$K$3,'KIDS&amp;ADULTS'!$N$3:$N$12006,"Đã đóng học phí")</f>
        <v>0</v>
      </c>
      <c r="W47" s="398">
        <f>SUMIFS('KIDS&amp;ADULTS'!$Z$3:$Z$12006,'KIDS&amp;ADULTS'!$V$3:$V$12006,U47,'KIDS&amp;ADULTS'!$B$3:$B$12006,$W$3,'KIDS&amp;ADULTS'!$N$3:$N$12006,"Đã đóng học phí")</f>
        <v>0</v>
      </c>
      <c r="X47" s="398">
        <f>SUMIFS('KIDS&amp;ADULTS'!$Z$3:$Z$12006,'KIDS&amp;ADULTS'!$V$3:$V$12006,U47,'KIDS&amp;ADULTS'!$B$3:$B$12006,$X$3,'KIDS&amp;ADULTS'!$N$3:$N$12006,"Đã đóng học phí")</f>
        <v>0</v>
      </c>
      <c r="Y47" s="398">
        <f>SUMIFS('KIDS&amp;ADULTS'!$Z$3:$Z$12006,'KIDS&amp;ADULTS'!$V$3:$V$12006,U47,'KIDS&amp;ADULTS'!$B$3:$B$12006,$Y$3,'KIDS&amp;ADULTS'!$N$3:$N$12006,"Đã đóng học phí")</f>
        <v>0</v>
      </c>
      <c r="Z47" s="398">
        <f>SUMIFS('KIDS&amp;ADULTS'!$Z$3:$Z$12006,'KIDS&amp;ADULTS'!$V$3:$V$12006,U47,'KIDS&amp;ADULTS'!$B$3:$B$12006,$Z$3,'KIDS&amp;ADULTS'!$N$3:$N$12006,"Đã đóng học phí")</f>
        <v>0</v>
      </c>
      <c r="AA47" s="398">
        <f>SUMIFS('KIDS&amp;ADULTS'!$Z$3:$Z$12006,'KIDS&amp;ADULTS'!$V$3:$V$12006,U47,'KIDS&amp;ADULTS'!$B$3:$B$12006,$AA$3,'KIDS&amp;ADULTS'!$N$3:$N$12006,"Đã đóng học phí")</f>
        <v>0</v>
      </c>
      <c r="AB47" s="398">
        <f>SUMIFS('KIDS&amp;ADULTS'!$Z$3:$Z$12006,'KIDS&amp;ADULTS'!$V$3:$V$12006,U47,'KIDS&amp;ADULTS'!$B$3:$B$12006,$AB$3,'KIDS&amp;ADULTS'!$N$3:$N$12006,"Đã đóng học phí")</f>
        <v>0</v>
      </c>
      <c r="AC47" s="398">
        <f>SUMIFS('KIDS&amp;ADULTS'!$Z$3:$Z$12006,'KIDS&amp;ADULTS'!$V$3:$V$12006,U47,'KIDS&amp;ADULTS'!$B$3:$B$12006,$AC$3,'KIDS&amp;ADULTS'!$N$3:$N$12006,"Đã đóng học phí")</f>
        <v>0</v>
      </c>
      <c r="AD47" s="398">
        <f t="shared" si="8"/>
        <v>0</v>
      </c>
      <c r="AE47" s="373"/>
    </row>
    <row r="48" ht="15.75" customHeight="1">
      <c r="U48" s="372">
        <f t="shared" si="9"/>
        <v>45239</v>
      </c>
      <c r="V48" s="398">
        <f>SUMIFS('KIDS&amp;ADULTS'!$Z$3:$Z$12006,'KIDS&amp;ADULTS'!V$3:V$12006,U48,'KIDS&amp;ADULTS'!$B$3:$B$12006,$K$3,'KIDS&amp;ADULTS'!$N$3:$N$12006,"Đã đóng học phí")</f>
        <v>0</v>
      </c>
      <c r="W48" s="398">
        <f>SUMIFS('KIDS&amp;ADULTS'!$Z$3:$Z$12006,'KIDS&amp;ADULTS'!$V$3:$V$12006,U48,'KIDS&amp;ADULTS'!$B$3:$B$12006,$W$3,'KIDS&amp;ADULTS'!$N$3:$N$12006,"Đã đóng học phí")</f>
        <v>0</v>
      </c>
      <c r="X48" s="398">
        <f>SUMIFS('KIDS&amp;ADULTS'!$Z$3:$Z$12006,'KIDS&amp;ADULTS'!$V$3:$V$12006,U48,'KIDS&amp;ADULTS'!$B$3:$B$12006,$X$3,'KIDS&amp;ADULTS'!$N$3:$N$12006,"Đã đóng học phí")</f>
        <v>0</v>
      </c>
      <c r="Y48" s="398">
        <f>SUMIFS('KIDS&amp;ADULTS'!$Z$3:$Z$12006,'KIDS&amp;ADULTS'!$V$3:$V$12006,U48,'KIDS&amp;ADULTS'!$B$3:$B$12006,$Y$3,'KIDS&amp;ADULTS'!$N$3:$N$12006,"Đã đóng học phí")</f>
        <v>0</v>
      </c>
      <c r="Z48" s="398">
        <f>SUMIFS('KIDS&amp;ADULTS'!$Z$3:$Z$12006,'KIDS&amp;ADULTS'!$V$3:$V$12006,U48,'KIDS&amp;ADULTS'!$B$3:$B$12006,$Z$3,'KIDS&amp;ADULTS'!$N$3:$N$12006,"Đã đóng học phí")</f>
        <v>0</v>
      </c>
      <c r="AA48" s="398">
        <f>SUMIFS('KIDS&amp;ADULTS'!$Z$3:$Z$12006,'KIDS&amp;ADULTS'!$V$3:$V$12006,U48,'KIDS&amp;ADULTS'!$B$3:$B$12006,$AA$3,'KIDS&amp;ADULTS'!$N$3:$N$12006,"Đã đóng học phí")</f>
        <v>0</v>
      </c>
      <c r="AB48" s="398">
        <f>SUMIFS('KIDS&amp;ADULTS'!$Z$3:$Z$12006,'KIDS&amp;ADULTS'!$V$3:$V$12006,U48,'KIDS&amp;ADULTS'!$B$3:$B$12006,$AB$3,'KIDS&amp;ADULTS'!$N$3:$N$12006,"Đã đóng học phí")</f>
        <v>0</v>
      </c>
      <c r="AC48" s="398">
        <f>SUMIFS('KIDS&amp;ADULTS'!$Z$3:$Z$12006,'KIDS&amp;ADULTS'!$V$3:$V$12006,U48,'KIDS&amp;ADULTS'!$B$3:$B$12006,$AC$3,'KIDS&amp;ADULTS'!$N$3:$N$12006,"Đã đóng học phí")</f>
        <v>0</v>
      </c>
      <c r="AD48" s="398">
        <f t="shared" si="8"/>
        <v>0</v>
      </c>
      <c r="AE48" s="373"/>
    </row>
    <row r="49" ht="15.75" customHeight="1">
      <c r="U49" s="372">
        <f t="shared" si="9"/>
        <v>45240</v>
      </c>
      <c r="V49" s="398">
        <f>SUMIFS('KIDS&amp;ADULTS'!$Z$3:$Z$12006,'KIDS&amp;ADULTS'!V$3:V$12006,U49,'KIDS&amp;ADULTS'!$B$3:$B$12006,$K$3,'KIDS&amp;ADULTS'!$N$3:$N$12006,"Đã đóng học phí")</f>
        <v>0</v>
      </c>
      <c r="W49" s="398">
        <f>SUMIFS('KIDS&amp;ADULTS'!$Z$3:$Z$12006,'KIDS&amp;ADULTS'!$V$3:$V$12006,U49,'KIDS&amp;ADULTS'!$B$3:$B$12006,$W$3,'KIDS&amp;ADULTS'!$N$3:$N$12006,"Đã đóng học phí")</f>
        <v>0</v>
      </c>
      <c r="X49" s="398">
        <f>SUMIFS('KIDS&amp;ADULTS'!$Z$3:$Z$12006,'KIDS&amp;ADULTS'!$V$3:$V$12006,U49,'KIDS&amp;ADULTS'!$B$3:$B$12006,$X$3,'KIDS&amp;ADULTS'!$N$3:$N$12006,"Đã đóng học phí")</f>
        <v>0</v>
      </c>
      <c r="Y49" s="398">
        <f>SUMIFS('KIDS&amp;ADULTS'!$Z$3:$Z$12006,'KIDS&amp;ADULTS'!$V$3:$V$12006,U49,'KIDS&amp;ADULTS'!$B$3:$B$12006,$Y$3,'KIDS&amp;ADULTS'!$N$3:$N$12006,"Đã đóng học phí")</f>
        <v>0</v>
      </c>
      <c r="Z49" s="398">
        <f>SUMIFS('KIDS&amp;ADULTS'!$Z$3:$Z$12006,'KIDS&amp;ADULTS'!$V$3:$V$12006,U49,'KIDS&amp;ADULTS'!$B$3:$B$12006,$Z$3,'KIDS&amp;ADULTS'!$N$3:$N$12006,"Đã đóng học phí")</f>
        <v>0</v>
      </c>
      <c r="AA49" s="398">
        <f>SUMIFS('KIDS&amp;ADULTS'!$Z$3:$Z$12006,'KIDS&amp;ADULTS'!$V$3:$V$12006,U49,'KIDS&amp;ADULTS'!$B$3:$B$12006,$AA$3,'KIDS&amp;ADULTS'!$N$3:$N$12006,"Đã đóng học phí")</f>
        <v>0</v>
      </c>
      <c r="AB49" s="398">
        <f>SUMIFS('KIDS&amp;ADULTS'!$Z$3:$Z$12006,'KIDS&amp;ADULTS'!$V$3:$V$12006,U49,'KIDS&amp;ADULTS'!$B$3:$B$12006,$AB$3,'KIDS&amp;ADULTS'!$N$3:$N$12006,"Đã đóng học phí")</f>
        <v>0</v>
      </c>
      <c r="AC49" s="398">
        <f>SUMIFS('KIDS&amp;ADULTS'!$Z$3:$Z$12006,'KIDS&amp;ADULTS'!$V$3:$V$12006,U49,'KIDS&amp;ADULTS'!$B$3:$B$12006,$AC$3,'KIDS&amp;ADULTS'!$N$3:$N$12006,"Đã đóng học phí")</f>
        <v>0</v>
      </c>
      <c r="AD49" s="398">
        <f t="shared" si="8"/>
        <v>0</v>
      </c>
      <c r="AE49" s="373"/>
    </row>
    <row r="50" ht="15.75" customHeight="1">
      <c r="U50" s="372">
        <f t="shared" si="9"/>
        <v>45241</v>
      </c>
      <c r="V50" s="398">
        <f>SUMIFS('KIDS&amp;ADULTS'!$Z$3:$Z$12006,'KIDS&amp;ADULTS'!V$3:V$12006,U50,'KIDS&amp;ADULTS'!$B$3:$B$12006,$K$3,'KIDS&amp;ADULTS'!$N$3:$N$12006,"Đã đóng học phí")</f>
        <v>0</v>
      </c>
      <c r="W50" s="398">
        <f>SUMIFS('KIDS&amp;ADULTS'!$Z$3:$Z$12006,'KIDS&amp;ADULTS'!$V$3:$V$12006,U50,'KIDS&amp;ADULTS'!$B$3:$B$12006,$W$3,'KIDS&amp;ADULTS'!$N$3:$N$12006,"Đã đóng học phí")</f>
        <v>0</v>
      </c>
      <c r="X50" s="398">
        <f>SUMIFS('KIDS&amp;ADULTS'!$Z$3:$Z$12006,'KIDS&amp;ADULTS'!$V$3:$V$12006,U50,'KIDS&amp;ADULTS'!$B$3:$B$12006,$X$3,'KIDS&amp;ADULTS'!$N$3:$N$12006,"Đã đóng học phí")</f>
        <v>0</v>
      </c>
      <c r="Y50" s="398">
        <f>SUMIFS('KIDS&amp;ADULTS'!$Z$3:$Z$12006,'KIDS&amp;ADULTS'!$V$3:$V$12006,U50,'KIDS&amp;ADULTS'!$B$3:$B$12006,$Y$3,'KIDS&amp;ADULTS'!$N$3:$N$12006,"Đã đóng học phí")</f>
        <v>0</v>
      </c>
      <c r="Z50" s="398">
        <f>SUMIFS('KIDS&amp;ADULTS'!$Z$3:$Z$12006,'KIDS&amp;ADULTS'!$V$3:$V$12006,U50,'KIDS&amp;ADULTS'!$B$3:$B$12006,$Z$3,'KIDS&amp;ADULTS'!$N$3:$N$12006,"Đã đóng học phí")</f>
        <v>0</v>
      </c>
      <c r="AA50" s="398">
        <f>SUMIFS('KIDS&amp;ADULTS'!$Z$3:$Z$12006,'KIDS&amp;ADULTS'!$V$3:$V$12006,U50,'KIDS&amp;ADULTS'!$B$3:$B$12006,$AA$3,'KIDS&amp;ADULTS'!$N$3:$N$12006,"Đã đóng học phí")</f>
        <v>0</v>
      </c>
      <c r="AB50" s="398">
        <f>SUMIFS('KIDS&amp;ADULTS'!$Z$3:$Z$12006,'KIDS&amp;ADULTS'!$V$3:$V$12006,U50,'KIDS&amp;ADULTS'!$B$3:$B$12006,$AB$3,'KIDS&amp;ADULTS'!$N$3:$N$12006,"Đã đóng học phí")</f>
        <v>0</v>
      </c>
      <c r="AC50" s="398">
        <f>SUMIFS('KIDS&amp;ADULTS'!$Z$3:$Z$12006,'KIDS&amp;ADULTS'!$V$3:$V$12006,U50,'KIDS&amp;ADULTS'!$B$3:$B$12006,$AC$3,'KIDS&amp;ADULTS'!$N$3:$N$12006,"Đã đóng học phí")</f>
        <v>0</v>
      </c>
      <c r="AD50" s="398">
        <f t="shared" si="8"/>
        <v>0</v>
      </c>
      <c r="AE50" s="373"/>
    </row>
    <row r="51" ht="15.75" customHeight="1">
      <c r="U51" s="372">
        <f t="shared" si="9"/>
        <v>45242</v>
      </c>
      <c r="V51" s="398">
        <f>SUMIFS('KIDS&amp;ADULTS'!$Z$3:$Z$12006,'KIDS&amp;ADULTS'!V$3:V$12006,U51,'KIDS&amp;ADULTS'!$B$3:$B$12006,$K$3,'KIDS&amp;ADULTS'!$N$3:$N$12006,"Đã đóng học phí")</f>
        <v>0</v>
      </c>
      <c r="W51" s="398">
        <f>SUMIFS('KIDS&amp;ADULTS'!$Z$3:$Z$12006,'KIDS&amp;ADULTS'!$V$3:$V$12006,U51,'KIDS&amp;ADULTS'!$B$3:$B$12006,$W$3,'KIDS&amp;ADULTS'!$N$3:$N$12006,"Đã đóng học phí")</f>
        <v>0</v>
      </c>
      <c r="X51" s="398">
        <f>SUMIFS('KIDS&amp;ADULTS'!$Z$3:$Z$12006,'KIDS&amp;ADULTS'!$V$3:$V$12006,U51,'KIDS&amp;ADULTS'!$B$3:$B$12006,$X$3,'KIDS&amp;ADULTS'!$N$3:$N$12006,"Đã đóng học phí")</f>
        <v>0</v>
      </c>
      <c r="Y51" s="398">
        <f>SUMIFS('KIDS&amp;ADULTS'!$Z$3:$Z$12006,'KIDS&amp;ADULTS'!$V$3:$V$12006,U51,'KIDS&amp;ADULTS'!$B$3:$B$12006,$Y$3,'KIDS&amp;ADULTS'!$N$3:$N$12006,"Đã đóng học phí")</f>
        <v>0</v>
      </c>
      <c r="Z51" s="398">
        <f>SUMIFS('KIDS&amp;ADULTS'!$Z$3:$Z$12006,'KIDS&amp;ADULTS'!$V$3:$V$12006,U51,'KIDS&amp;ADULTS'!$B$3:$B$12006,$Z$3,'KIDS&amp;ADULTS'!$N$3:$N$12006,"Đã đóng học phí")</f>
        <v>0</v>
      </c>
      <c r="AA51" s="398">
        <f>SUMIFS('KIDS&amp;ADULTS'!$Z$3:$Z$12006,'KIDS&amp;ADULTS'!$V$3:$V$12006,U51,'KIDS&amp;ADULTS'!$B$3:$B$12006,$AA$3,'KIDS&amp;ADULTS'!$N$3:$N$12006,"Đã đóng học phí")</f>
        <v>0</v>
      </c>
      <c r="AB51" s="398">
        <f>SUMIFS('KIDS&amp;ADULTS'!$Z$3:$Z$12006,'KIDS&amp;ADULTS'!$V$3:$V$12006,U51,'KIDS&amp;ADULTS'!$B$3:$B$12006,$AB$3,'KIDS&amp;ADULTS'!$N$3:$N$12006,"Đã đóng học phí")</f>
        <v>0</v>
      </c>
      <c r="AC51" s="398">
        <f>SUMIFS('KIDS&amp;ADULTS'!$Z$3:$Z$12006,'KIDS&amp;ADULTS'!$V$3:$V$12006,U51,'KIDS&amp;ADULTS'!$B$3:$B$12006,$AC$3,'KIDS&amp;ADULTS'!$N$3:$N$12006,"Đã đóng học phí")</f>
        <v>0</v>
      </c>
      <c r="AD51" s="398">
        <f t="shared" si="8"/>
        <v>0</v>
      </c>
      <c r="AE51" s="373"/>
    </row>
    <row r="52" ht="15.75" customHeight="1">
      <c r="U52" s="372">
        <f t="shared" si="9"/>
        <v>45243</v>
      </c>
      <c r="V52" s="398">
        <f>SUMIFS('KIDS&amp;ADULTS'!$Z$3:$Z$12006,'KIDS&amp;ADULTS'!V$3:V$12006,U52,'KIDS&amp;ADULTS'!$B$3:$B$12006,$K$3,'KIDS&amp;ADULTS'!$N$3:$N$12006,"Đã đóng học phí")</f>
        <v>0</v>
      </c>
      <c r="W52" s="398">
        <f>SUMIFS('KIDS&amp;ADULTS'!$Z$3:$Z$12006,'KIDS&amp;ADULTS'!$V$3:$V$12006,U52,'KIDS&amp;ADULTS'!$B$3:$B$12006,$W$3,'KIDS&amp;ADULTS'!$N$3:$N$12006,"Đã đóng học phí")</f>
        <v>0</v>
      </c>
      <c r="X52" s="398">
        <f>SUMIFS('KIDS&amp;ADULTS'!$Z$3:$Z$12006,'KIDS&amp;ADULTS'!$V$3:$V$12006,U52,'KIDS&amp;ADULTS'!$B$3:$B$12006,$X$3,'KIDS&amp;ADULTS'!$N$3:$N$12006,"Đã đóng học phí")</f>
        <v>0</v>
      </c>
      <c r="Y52" s="398">
        <f>SUMIFS('KIDS&amp;ADULTS'!$Z$3:$Z$12006,'KIDS&amp;ADULTS'!$V$3:$V$12006,U52,'KIDS&amp;ADULTS'!$B$3:$B$12006,$Y$3,'KIDS&amp;ADULTS'!$N$3:$N$12006,"Đã đóng học phí")</f>
        <v>0</v>
      </c>
      <c r="Z52" s="398">
        <f>SUMIFS('KIDS&amp;ADULTS'!$Z$3:$Z$12006,'KIDS&amp;ADULTS'!$V$3:$V$12006,U52,'KIDS&amp;ADULTS'!$B$3:$B$12006,$Z$3,'KIDS&amp;ADULTS'!$N$3:$N$12006,"Đã đóng học phí")</f>
        <v>0</v>
      </c>
      <c r="AA52" s="398">
        <f>SUMIFS('KIDS&amp;ADULTS'!$Z$3:$Z$12006,'KIDS&amp;ADULTS'!$V$3:$V$12006,U52,'KIDS&amp;ADULTS'!$B$3:$B$12006,$AA$3,'KIDS&amp;ADULTS'!$N$3:$N$12006,"Đã đóng học phí")</f>
        <v>0</v>
      </c>
      <c r="AB52" s="398">
        <f>SUMIFS('KIDS&amp;ADULTS'!$Z$3:$Z$12006,'KIDS&amp;ADULTS'!$V$3:$V$12006,U52,'KIDS&amp;ADULTS'!$B$3:$B$12006,$AB$3,'KIDS&amp;ADULTS'!$N$3:$N$12006,"Đã đóng học phí")</f>
        <v>0</v>
      </c>
      <c r="AC52" s="398">
        <f>SUMIFS('KIDS&amp;ADULTS'!$Z$3:$Z$12006,'KIDS&amp;ADULTS'!$V$3:$V$12006,U52,'KIDS&amp;ADULTS'!$B$3:$B$12006,$AC$3,'KIDS&amp;ADULTS'!$N$3:$N$12006,"Đã đóng học phí")</f>
        <v>0</v>
      </c>
      <c r="AD52" s="398">
        <f t="shared" si="8"/>
        <v>0</v>
      </c>
      <c r="AE52" s="373"/>
    </row>
    <row r="53" ht="15.75" customHeight="1">
      <c r="U53" s="372">
        <f t="shared" si="9"/>
        <v>45244</v>
      </c>
      <c r="V53" s="398">
        <f>SUMIFS('KIDS&amp;ADULTS'!$Z$3:$Z$12006,'KIDS&amp;ADULTS'!V$3:V$12006,U53,'KIDS&amp;ADULTS'!$B$3:$B$12006,$K$3,'KIDS&amp;ADULTS'!$N$3:$N$12006,"Đã đóng học phí")</f>
        <v>0</v>
      </c>
      <c r="W53" s="398">
        <f>SUMIFS('KIDS&amp;ADULTS'!$Z$3:$Z$12006,'KIDS&amp;ADULTS'!$V$3:$V$12006,U53,'KIDS&amp;ADULTS'!$B$3:$B$12006,$W$3,'KIDS&amp;ADULTS'!$N$3:$N$12006,"Đã đóng học phí")</f>
        <v>0</v>
      </c>
      <c r="X53" s="398">
        <f>SUMIFS('KIDS&amp;ADULTS'!$Z$3:$Z$12006,'KIDS&amp;ADULTS'!$V$3:$V$12006,U53,'KIDS&amp;ADULTS'!$B$3:$B$12006,$X$3,'KIDS&amp;ADULTS'!$N$3:$N$12006,"Đã đóng học phí")</f>
        <v>0</v>
      </c>
      <c r="Y53" s="398">
        <f>SUMIFS('KIDS&amp;ADULTS'!$Z$3:$Z$12006,'KIDS&amp;ADULTS'!$V$3:$V$12006,U53,'KIDS&amp;ADULTS'!$B$3:$B$12006,$Y$3,'KIDS&amp;ADULTS'!$N$3:$N$12006,"Đã đóng học phí")</f>
        <v>0</v>
      </c>
      <c r="Z53" s="398">
        <f>SUMIFS('KIDS&amp;ADULTS'!$Z$3:$Z$12006,'KIDS&amp;ADULTS'!$V$3:$V$12006,U53,'KIDS&amp;ADULTS'!$B$3:$B$12006,$Z$3,'KIDS&amp;ADULTS'!$N$3:$N$12006,"Đã đóng học phí")</f>
        <v>0</v>
      </c>
      <c r="AA53" s="398">
        <f>SUMIFS('KIDS&amp;ADULTS'!$Z$3:$Z$12006,'KIDS&amp;ADULTS'!$V$3:$V$12006,U53,'KIDS&amp;ADULTS'!$B$3:$B$12006,$AA$3,'KIDS&amp;ADULTS'!$N$3:$N$12006,"Đã đóng học phí")</f>
        <v>0</v>
      </c>
      <c r="AB53" s="398">
        <f>SUMIFS('KIDS&amp;ADULTS'!$Z$3:$Z$12006,'KIDS&amp;ADULTS'!$V$3:$V$12006,U53,'KIDS&amp;ADULTS'!$B$3:$B$12006,$AB$3,'KIDS&amp;ADULTS'!$N$3:$N$12006,"Đã đóng học phí")</f>
        <v>0</v>
      </c>
      <c r="AC53" s="398">
        <f>SUMIFS('KIDS&amp;ADULTS'!$Z$3:$Z$12006,'KIDS&amp;ADULTS'!$V$3:$V$12006,U53,'KIDS&amp;ADULTS'!$B$3:$B$12006,$AC$3,'KIDS&amp;ADULTS'!$N$3:$N$12006,"Đã đóng học phí")</f>
        <v>0</v>
      </c>
      <c r="AD53" s="398">
        <f t="shared" si="8"/>
        <v>0</v>
      </c>
      <c r="AE53" s="373"/>
    </row>
    <row r="54" ht="15.75" customHeight="1">
      <c r="U54" s="372">
        <f t="shared" si="9"/>
        <v>45245</v>
      </c>
      <c r="V54" s="398">
        <f>SUMIFS('KIDS&amp;ADULTS'!$Z$3:$Z$12006,'KIDS&amp;ADULTS'!V$3:V$12006,U54,'KIDS&amp;ADULTS'!$B$3:$B$12006,$K$3,'KIDS&amp;ADULTS'!$N$3:$N$12006,"Đã đóng học phí")</f>
        <v>0</v>
      </c>
      <c r="W54" s="398">
        <f>SUMIFS('KIDS&amp;ADULTS'!$Z$3:$Z$12006,'KIDS&amp;ADULTS'!$V$3:$V$12006,U54,'KIDS&amp;ADULTS'!$B$3:$B$12006,$W$3,'KIDS&amp;ADULTS'!$N$3:$N$12006,"Đã đóng học phí")</f>
        <v>0</v>
      </c>
      <c r="X54" s="398">
        <f>SUMIFS('KIDS&amp;ADULTS'!$Z$3:$Z$12006,'KIDS&amp;ADULTS'!$V$3:$V$12006,U54,'KIDS&amp;ADULTS'!$B$3:$B$12006,$X$3,'KIDS&amp;ADULTS'!$N$3:$N$12006,"Đã đóng học phí")</f>
        <v>0</v>
      </c>
      <c r="Y54" s="398">
        <f>SUMIFS('KIDS&amp;ADULTS'!$Z$3:$Z$12006,'KIDS&amp;ADULTS'!$V$3:$V$12006,U54,'KIDS&amp;ADULTS'!$B$3:$B$12006,$Y$3,'KIDS&amp;ADULTS'!$N$3:$N$12006,"Đã đóng học phí")</f>
        <v>0</v>
      </c>
      <c r="Z54" s="398">
        <f>SUMIFS('KIDS&amp;ADULTS'!$Z$3:$Z$12006,'KIDS&amp;ADULTS'!$V$3:$V$12006,U54,'KIDS&amp;ADULTS'!$B$3:$B$12006,$Z$3,'KIDS&amp;ADULTS'!$N$3:$N$12006,"Đã đóng học phí")</f>
        <v>0</v>
      </c>
      <c r="AA54" s="398">
        <f>SUMIFS('KIDS&amp;ADULTS'!$Z$3:$Z$12006,'KIDS&amp;ADULTS'!$V$3:$V$12006,U54,'KIDS&amp;ADULTS'!$B$3:$B$12006,$AA$3,'KIDS&amp;ADULTS'!$N$3:$N$12006,"Đã đóng học phí")</f>
        <v>0</v>
      </c>
      <c r="AB54" s="398">
        <f>SUMIFS('KIDS&amp;ADULTS'!$Z$3:$Z$12006,'KIDS&amp;ADULTS'!$V$3:$V$12006,U54,'KIDS&amp;ADULTS'!$B$3:$B$12006,$AB$3,'KIDS&amp;ADULTS'!$N$3:$N$12006,"Đã đóng học phí")</f>
        <v>0</v>
      </c>
      <c r="AC54" s="398">
        <f>SUMIFS('KIDS&amp;ADULTS'!$Z$3:$Z$12006,'KIDS&amp;ADULTS'!$V$3:$V$12006,U54,'KIDS&amp;ADULTS'!$B$3:$B$12006,$AC$3,'KIDS&amp;ADULTS'!$N$3:$N$12006,"Đã đóng học phí")</f>
        <v>0</v>
      </c>
      <c r="AD54" s="398">
        <f t="shared" si="8"/>
        <v>0</v>
      </c>
      <c r="AE54" s="373"/>
    </row>
    <row r="55" ht="15.75" customHeight="1">
      <c r="U55" s="372">
        <f t="shared" si="9"/>
        <v>45246</v>
      </c>
      <c r="V55" s="398">
        <f>SUMIFS('KIDS&amp;ADULTS'!$Z$3:$Z$12006,'KIDS&amp;ADULTS'!V$3:V$12006,U55,'KIDS&amp;ADULTS'!$B$3:$B$12006,$K$3,'KIDS&amp;ADULTS'!$N$3:$N$12006,"Đã đóng học phí")</f>
        <v>0</v>
      </c>
      <c r="W55" s="398">
        <f>SUMIFS('KIDS&amp;ADULTS'!$Z$3:$Z$12006,'KIDS&amp;ADULTS'!$V$3:$V$12006,U55,'KIDS&amp;ADULTS'!$B$3:$B$12006,$W$3,'KIDS&amp;ADULTS'!$N$3:$N$12006,"Đã đóng học phí")</f>
        <v>0</v>
      </c>
      <c r="X55" s="398">
        <f>SUMIFS('KIDS&amp;ADULTS'!$Z$3:$Z$12006,'KIDS&amp;ADULTS'!$V$3:$V$12006,U55,'KIDS&amp;ADULTS'!$B$3:$B$12006,$X$3,'KIDS&amp;ADULTS'!$N$3:$N$12006,"Đã đóng học phí")</f>
        <v>0</v>
      </c>
      <c r="Y55" s="398">
        <f>SUMIFS('KIDS&amp;ADULTS'!$Z$3:$Z$12006,'KIDS&amp;ADULTS'!$V$3:$V$12006,U55,'KIDS&amp;ADULTS'!$B$3:$B$12006,$Y$3,'KIDS&amp;ADULTS'!$N$3:$N$12006,"Đã đóng học phí")</f>
        <v>0</v>
      </c>
      <c r="Z55" s="398">
        <f>SUMIFS('KIDS&amp;ADULTS'!$Z$3:$Z$12006,'KIDS&amp;ADULTS'!$V$3:$V$12006,U55,'KIDS&amp;ADULTS'!$B$3:$B$12006,$Z$3,'KIDS&amp;ADULTS'!$N$3:$N$12006,"Đã đóng học phí")</f>
        <v>4916400</v>
      </c>
      <c r="AA55" s="398">
        <f>SUMIFS('KIDS&amp;ADULTS'!$Z$3:$Z$12006,'KIDS&amp;ADULTS'!$V$3:$V$12006,U55,'KIDS&amp;ADULTS'!$B$3:$B$12006,$AA$3,'KIDS&amp;ADULTS'!$N$3:$N$12006,"Đã đóng học phí")</f>
        <v>0</v>
      </c>
      <c r="AB55" s="398">
        <f>SUMIFS('KIDS&amp;ADULTS'!$Z$3:$Z$12006,'KIDS&amp;ADULTS'!$V$3:$V$12006,U55,'KIDS&amp;ADULTS'!$B$3:$B$12006,$AB$3,'KIDS&amp;ADULTS'!$N$3:$N$12006,"Đã đóng học phí")</f>
        <v>0</v>
      </c>
      <c r="AC55" s="398">
        <f>SUMIFS('KIDS&amp;ADULTS'!$Z$3:$Z$12006,'KIDS&amp;ADULTS'!$V$3:$V$12006,U55,'KIDS&amp;ADULTS'!$B$3:$B$12006,$AC$3,'KIDS&amp;ADULTS'!$N$3:$N$12006,"Đã đóng học phí")</f>
        <v>0</v>
      </c>
      <c r="AD55" s="398">
        <f t="shared" si="8"/>
        <v>4916400</v>
      </c>
      <c r="AE55" s="373"/>
    </row>
    <row r="56" ht="15.75" customHeight="1">
      <c r="U56" s="372">
        <f t="shared" si="9"/>
        <v>45247</v>
      </c>
      <c r="V56" s="398">
        <f>SUMIFS('KIDS&amp;ADULTS'!$Z$3:$Z$12006,'KIDS&amp;ADULTS'!V$3:V$12006,U56,'KIDS&amp;ADULTS'!$B$3:$B$12006,$K$3,'KIDS&amp;ADULTS'!$N$3:$N$12006,"Đã đóng học phí")</f>
        <v>0</v>
      </c>
      <c r="W56" s="398">
        <f>SUMIFS('KIDS&amp;ADULTS'!$Z$3:$Z$12006,'KIDS&amp;ADULTS'!$V$3:$V$12006,U56,'KIDS&amp;ADULTS'!$B$3:$B$12006,$W$3,'KIDS&amp;ADULTS'!$N$3:$N$12006,"Đã đóng học phí")</f>
        <v>0</v>
      </c>
      <c r="X56" s="398">
        <f>SUMIFS('KIDS&amp;ADULTS'!$Z$3:$Z$12006,'KIDS&amp;ADULTS'!$V$3:$V$12006,U56,'KIDS&amp;ADULTS'!$B$3:$B$12006,$X$3,'KIDS&amp;ADULTS'!$N$3:$N$12006,"Đã đóng học phí")</f>
        <v>0</v>
      </c>
      <c r="Y56" s="398">
        <f>SUMIFS('KIDS&amp;ADULTS'!$Z$3:$Z$12006,'KIDS&amp;ADULTS'!$V$3:$V$12006,U56,'KIDS&amp;ADULTS'!$B$3:$B$12006,$Y$3,'KIDS&amp;ADULTS'!$N$3:$N$12006,"Đã đóng học phí")</f>
        <v>0</v>
      </c>
      <c r="Z56" s="398">
        <f>SUMIFS('KIDS&amp;ADULTS'!$Z$3:$Z$12006,'KIDS&amp;ADULTS'!$V$3:$V$12006,U56,'KIDS&amp;ADULTS'!$B$3:$B$12006,$Z$3,'KIDS&amp;ADULTS'!$N$3:$N$12006,"Đã đóng học phí")</f>
        <v>0</v>
      </c>
      <c r="AA56" s="398">
        <f>SUMIFS('KIDS&amp;ADULTS'!$Z$3:$Z$12006,'KIDS&amp;ADULTS'!$V$3:$V$12006,U56,'KIDS&amp;ADULTS'!$B$3:$B$12006,$AA$3,'KIDS&amp;ADULTS'!$N$3:$N$12006,"Đã đóng học phí")</f>
        <v>0</v>
      </c>
      <c r="AB56" s="398">
        <f>SUMIFS('KIDS&amp;ADULTS'!$Z$3:$Z$12006,'KIDS&amp;ADULTS'!$V$3:$V$12006,U56,'KIDS&amp;ADULTS'!$B$3:$B$12006,$AB$3,'KIDS&amp;ADULTS'!$N$3:$N$12006,"Đã đóng học phí")</f>
        <v>0</v>
      </c>
      <c r="AC56" s="398">
        <f>SUMIFS('KIDS&amp;ADULTS'!$Z$3:$Z$12006,'KIDS&amp;ADULTS'!$V$3:$V$12006,U56,'KIDS&amp;ADULTS'!$B$3:$B$12006,$AC$3,'KIDS&amp;ADULTS'!$N$3:$N$12006,"Đã đóng học phí")</f>
        <v>0</v>
      </c>
      <c r="AD56" s="398">
        <f t="shared" si="8"/>
        <v>0</v>
      </c>
      <c r="AE56" s="373"/>
    </row>
    <row r="57" ht="15.75" customHeight="1">
      <c r="U57" s="372">
        <f t="shared" si="9"/>
        <v>45248</v>
      </c>
      <c r="V57" s="398">
        <f>SUMIFS('KIDS&amp;ADULTS'!$Z$3:$Z$12006,'KIDS&amp;ADULTS'!V$3:V$12006,U57,'KIDS&amp;ADULTS'!$B$3:$B$12006,$K$3,'KIDS&amp;ADULTS'!$N$3:$N$12006,"Đã đóng học phí")</f>
        <v>0</v>
      </c>
      <c r="W57" s="398">
        <f>SUMIFS('KIDS&amp;ADULTS'!$Z$3:$Z$12006,'KIDS&amp;ADULTS'!$V$3:$V$12006,U57,'KIDS&amp;ADULTS'!$B$3:$B$12006,$W$3,'KIDS&amp;ADULTS'!$N$3:$N$12006,"Đã đóng học phí")</f>
        <v>0</v>
      </c>
      <c r="X57" s="398">
        <f>SUMIFS('KIDS&amp;ADULTS'!$Z$3:$Z$12006,'KIDS&amp;ADULTS'!$V$3:$V$12006,U57,'KIDS&amp;ADULTS'!$B$3:$B$12006,$X$3,'KIDS&amp;ADULTS'!$N$3:$N$12006,"Đã đóng học phí")</f>
        <v>0</v>
      </c>
      <c r="Y57" s="398">
        <f>SUMIFS('KIDS&amp;ADULTS'!$Z$3:$Z$12006,'KIDS&amp;ADULTS'!$V$3:$V$12006,U57,'KIDS&amp;ADULTS'!$B$3:$B$12006,$Y$3,'KIDS&amp;ADULTS'!$N$3:$N$12006,"Đã đóng học phí")</f>
        <v>0</v>
      </c>
      <c r="Z57" s="398">
        <f>SUMIFS('KIDS&amp;ADULTS'!$Z$3:$Z$12006,'KIDS&amp;ADULTS'!$V$3:$V$12006,U57,'KIDS&amp;ADULTS'!$B$3:$B$12006,$Z$3,'KIDS&amp;ADULTS'!$N$3:$N$12006,"Đã đóng học phí")</f>
        <v>0</v>
      </c>
      <c r="AA57" s="398">
        <f>SUMIFS('KIDS&amp;ADULTS'!$Z$3:$Z$12006,'KIDS&amp;ADULTS'!$V$3:$V$12006,U57,'KIDS&amp;ADULTS'!$B$3:$B$12006,$AA$3,'KIDS&amp;ADULTS'!$N$3:$N$12006,"Đã đóng học phí")</f>
        <v>0</v>
      </c>
      <c r="AB57" s="398">
        <f>SUMIFS('KIDS&amp;ADULTS'!$Z$3:$Z$12006,'KIDS&amp;ADULTS'!$V$3:$V$12006,U57,'KIDS&amp;ADULTS'!$B$3:$B$12006,$AB$3,'KIDS&amp;ADULTS'!$N$3:$N$12006,"Đã đóng học phí")</f>
        <v>0</v>
      </c>
      <c r="AC57" s="398">
        <f>SUMIFS('KIDS&amp;ADULTS'!$Z$3:$Z$12006,'KIDS&amp;ADULTS'!$V$3:$V$12006,U57,'KIDS&amp;ADULTS'!$B$3:$B$12006,$AC$3,'KIDS&amp;ADULTS'!$N$3:$N$12006,"Đã đóng học phí")</f>
        <v>0</v>
      </c>
      <c r="AD57" s="398">
        <f t="shared" si="8"/>
        <v>0</v>
      </c>
      <c r="AE57" s="373"/>
    </row>
    <row r="58" ht="15.75" customHeight="1">
      <c r="U58" s="372">
        <f t="shared" si="9"/>
        <v>45249</v>
      </c>
      <c r="V58" s="398">
        <f>SUMIFS('KIDS&amp;ADULTS'!$Z$3:$Z$12006,'KIDS&amp;ADULTS'!V$3:V$12006,U58,'KIDS&amp;ADULTS'!$B$3:$B$12006,$K$3,'KIDS&amp;ADULTS'!$N$3:$N$12006,"Đã đóng học phí")</f>
        <v>0</v>
      </c>
      <c r="W58" s="398">
        <f>SUMIFS('KIDS&amp;ADULTS'!$Z$3:$Z$12006,'KIDS&amp;ADULTS'!$V$3:$V$12006,U58,'KIDS&amp;ADULTS'!$B$3:$B$12006,$W$3,'KIDS&amp;ADULTS'!$N$3:$N$12006,"Đã đóng học phí")</f>
        <v>0</v>
      </c>
      <c r="X58" s="398">
        <f>SUMIFS('KIDS&amp;ADULTS'!$Z$3:$Z$12006,'KIDS&amp;ADULTS'!$V$3:$V$12006,U58,'KIDS&amp;ADULTS'!$B$3:$B$12006,$X$3,'KIDS&amp;ADULTS'!$N$3:$N$12006,"Đã đóng học phí")</f>
        <v>0</v>
      </c>
      <c r="Y58" s="398">
        <f>SUMIFS('KIDS&amp;ADULTS'!$Z$3:$Z$12006,'KIDS&amp;ADULTS'!$V$3:$V$12006,U58,'KIDS&amp;ADULTS'!$B$3:$B$12006,$Y$3,'KIDS&amp;ADULTS'!$N$3:$N$12006,"Đã đóng học phí")</f>
        <v>0</v>
      </c>
      <c r="Z58" s="398">
        <f>SUMIFS('KIDS&amp;ADULTS'!$Z$3:$Z$12006,'KIDS&amp;ADULTS'!$V$3:$V$12006,U58,'KIDS&amp;ADULTS'!$B$3:$B$12006,$Z$3,'KIDS&amp;ADULTS'!$N$3:$N$12006,"Đã đóng học phí")</f>
        <v>0</v>
      </c>
      <c r="AA58" s="398">
        <f>SUMIFS('KIDS&amp;ADULTS'!$Z$3:$Z$12006,'KIDS&amp;ADULTS'!$V$3:$V$12006,U58,'KIDS&amp;ADULTS'!$B$3:$B$12006,$AA$3,'KIDS&amp;ADULTS'!$N$3:$N$12006,"Đã đóng học phí")</f>
        <v>0</v>
      </c>
      <c r="AB58" s="398">
        <f>SUMIFS('KIDS&amp;ADULTS'!$Z$3:$Z$12006,'KIDS&amp;ADULTS'!$V$3:$V$12006,U58,'KIDS&amp;ADULTS'!$B$3:$B$12006,$AB$3,'KIDS&amp;ADULTS'!$N$3:$N$12006,"Đã đóng học phí")</f>
        <v>0</v>
      </c>
      <c r="AC58" s="398">
        <f>SUMIFS('KIDS&amp;ADULTS'!$Z$3:$Z$12006,'KIDS&amp;ADULTS'!$V$3:$V$12006,U58,'KIDS&amp;ADULTS'!$B$3:$B$12006,$AC$3,'KIDS&amp;ADULTS'!$N$3:$N$12006,"Đã đóng học phí")</f>
        <v>0</v>
      </c>
      <c r="AD58" s="398">
        <f t="shared" si="8"/>
        <v>0</v>
      </c>
      <c r="AE58" s="373"/>
    </row>
    <row r="59" ht="15.75" customHeight="1">
      <c r="U59" s="372">
        <f t="shared" si="9"/>
        <v>45250</v>
      </c>
      <c r="V59" s="398">
        <f>SUMIFS('KIDS&amp;ADULTS'!$Z$3:$Z$12006,'KIDS&amp;ADULTS'!V$3:V$12006,U59,'KIDS&amp;ADULTS'!$B$3:$B$12006,$K$3,'KIDS&amp;ADULTS'!$N$3:$N$12006,"Đã đóng học phí")</f>
        <v>0</v>
      </c>
      <c r="W59" s="398">
        <f>SUMIFS('KIDS&amp;ADULTS'!$Z$3:$Z$12006,'KIDS&amp;ADULTS'!$V$3:$V$12006,U59,'KIDS&amp;ADULTS'!$B$3:$B$12006,$W$3,'KIDS&amp;ADULTS'!$N$3:$N$12006,"Đã đóng học phí")</f>
        <v>0</v>
      </c>
      <c r="X59" s="398">
        <f>SUMIFS('KIDS&amp;ADULTS'!$Z$3:$Z$12006,'KIDS&amp;ADULTS'!$V$3:$V$12006,U59,'KIDS&amp;ADULTS'!$B$3:$B$12006,$X$3,'KIDS&amp;ADULTS'!$N$3:$N$12006,"Đã đóng học phí")</f>
        <v>0</v>
      </c>
      <c r="Y59" s="398">
        <f>SUMIFS('KIDS&amp;ADULTS'!$Z$3:$Z$12006,'KIDS&amp;ADULTS'!$V$3:$V$12006,U59,'KIDS&amp;ADULTS'!$B$3:$B$12006,$Y$3,'KIDS&amp;ADULTS'!$N$3:$N$12006,"Đã đóng học phí")</f>
        <v>0</v>
      </c>
      <c r="Z59" s="398">
        <f>SUMIFS('KIDS&amp;ADULTS'!$Z$3:$Z$12006,'KIDS&amp;ADULTS'!$V$3:$V$12006,U59,'KIDS&amp;ADULTS'!$B$3:$B$12006,$Z$3,'KIDS&amp;ADULTS'!$N$3:$N$12006,"Đã đóng học phí")</f>
        <v>0</v>
      </c>
      <c r="AA59" s="398">
        <f>SUMIFS('KIDS&amp;ADULTS'!$Z$3:$Z$12006,'KIDS&amp;ADULTS'!$V$3:$V$12006,U59,'KIDS&amp;ADULTS'!$B$3:$B$12006,$AA$3,'KIDS&amp;ADULTS'!$N$3:$N$12006,"Đã đóng học phí")</f>
        <v>0</v>
      </c>
      <c r="AB59" s="398">
        <f>SUMIFS('KIDS&amp;ADULTS'!$Z$3:$Z$12006,'KIDS&amp;ADULTS'!$V$3:$V$12006,U59,'KIDS&amp;ADULTS'!$B$3:$B$12006,$AB$3,'KIDS&amp;ADULTS'!$N$3:$N$12006,"Đã đóng học phí")</f>
        <v>0</v>
      </c>
      <c r="AC59" s="398">
        <f>SUMIFS('KIDS&amp;ADULTS'!$Z$3:$Z$12006,'KIDS&amp;ADULTS'!$V$3:$V$12006,U59,'KIDS&amp;ADULTS'!$B$3:$B$12006,$AC$3,'KIDS&amp;ADULTS'!$N$3:$N$12006,"Đã đóng học phí")</f>
        <v>0</v>
      </c>
      <c r="AD59" s="398">
        <f t="shared" si="8"/>
        <v>0</v>
      </c>
      <c r="AE59" s="373"/>
    </row>
    <row r="60" ht="15.75" customHeight="1">
      <c r="U60" s="372">
        <f t="shared" si="9"/>
        <v>45251</v>
      </c>
      <c r="V60" s="398">
        <f>SUMIFS('KIDS&amp;ADULTS'!$Z$3:$Z$12006,'KIDS&amp;ADULTS'!V$3:V$12006,U60,'KIDS&amp;ADULTS'!$B$3:$B$12006,$K$3,'KIDS&amp;ADULTS'!$N$3:$N$12006,"Đã đóng học phí")</f>
        <v>0</v>
      </c>
      <c r="W60" s="398">
        <f>SUMIFS('KIDS&amp;ADULTS'!$Z$3:$Z$12006,'KIDS&amp;ADULTS'!$V$3:$V$12006,U60,'KIDS&amp;ADULTS'!$B$3:$B$12006,$W$3,'KIDS&amp;ADULTS'!$N$3:$N$12006,"Đã đóng học phí")</f>
        <v>0</v>
      </c>
      <c r="X60" s="398">
        <f>SUMIFS('KIDS&amp;ADULTS'!$Z$3:$Z$12006,'KIDS&amp;ADULTS'!$V$3:$V$12006,U60,'KIDS&amp;ADULTS'!$B$3:$B$12006,$X$3,'KIDS&amp;ADULTS'!$N$3:$N$12006,"Đã đóng học phí")</f>
        <v>0</v>
      </c>
      <c r="Y60" s="398">
        <f>SUMIFS('KIDS&amp;ADULTS'!$Z$3:$Z$12006,'KIDS&amp;ADULTS'!$V$3:$V$12006,U60,'KIDS&amp;ADULTS'!$B$3:$B$12006,$Y$3,'KIDS&amp;ADULTS'!$N$3:$N$12006,"Đã đóng học phí")</f>
        <v>0</v>
      </c>
      <c r="Z60" s="398">
        <f>SUMIFS('KIDS&amp;ADULTS'!$Z$3:$Z$12006,'KIDS&amp;ADULTS'!$V$3:$V$12006,U60,'KIDS&amp;ADULTS'!$B$3:$B$12006,$Z$3,'KIDS&amp;ADULTS'!$N$3:$N$12006,"Đã đóng học phí")</f>
        <v>0</v>
      </c>
      <c r="AA60" s="398">
        <f>SUMIFS('KIDS&amp;ADULTS'!$Z$3:$Z$12006,'KIDS&amp;ADULTS'!$V$3:$V$12006,U60,'KIDS&amp;ADULTS'!$B$3:$B$12006,$AA$3,'KIDS&amp;ADULTS'!$N$3:$N$12006,"Đã đóng học phí")</f>
        <v>0</v>
      </c>
      <c r="AB60" s="398">
        <f>SUMIFS('KIDS&amp;ADULTS'!$Z$3:$Z$12006,'KIDS&amp;ADULTS'!$V$3:$V$12006,U60,'KIDS&amp;ADULTS'!$B$3:$B$12006,$AB$3,'KIDS&amp;ADULTS'!$N$3:$N$12006,"Đã đóng học phí")</f>
        <v>0</v>
      </c>
      <c r="AC60" s="398">
        <f>SUMIFS('KIDS&amp;ADULTS'!$Z$3:$Z$12006,'KIDS&amp;ADULTS'!$V$3:$V$12006,U60,'KIDS&amp;ADULTS'!$B$3:$B$12006,$AC$3,'KIDS&amp;ADULTS'!$N$3:$N$12006,"Đã đóng học phí")</f>
        <v>0</v>
      </c>
      <c r="AD60" s="398">
        <f t="shared" si="8"/>
        <v>0</v>
      </c>
      <c r="AE60" s="373"/>
    </row>
    <row r="61" ht="15.75" customHeight="1">
      <c r="U61" s="372">
        <f t="shared" si="9"/>
        <v>45252</v>
      </c>
      <c r="V61" s="398">
        <f>SUMIFS('KIDS&amp;ADULTS'!$Z$3:$Z$12006,'KIDS&amp;ADULTS'!V$3:V$12006,U61,'KIDS&amp;ADULTS'!$B$3:$B$12006,$K$3,'KIDS&amp;ADULTS'!$N$3:$N$12006,"Đã đóng học phí")</f>
        <v>0</v>
      </c>
      <c r="W61" s="398">
        <f>SUMIFS('KIDS&amp;ADULTS'!$Z$3:$Z$12006,'KIDS&amp;ADULTS'!$V$3:$V$12006,U61,'KIDS&amp;ADULTS'!$B$3:$B$12006,$W$3,'KIDS&amp;ADULTS'!$N$3:$N$12006,"Đã đóng học phí")</f>
        <v>0</v>
      </c>
      <c r="X61" s="398">
        <f>SUMIFS('KIDS&amp;ADULTS'!$Z$3:$Z$12006,'KIDS&amp;ADULTS'!$V$3:$V$12006,U61,'KIDS&amp;ADULTS'!$B$3:$B$12006,$X$3,'KIDS&amp;ADULTS'!$N$3:$N$12006,"Đã đóng học phí")</f>
        <v>0</v>
      </c>
      <c r="Y61" s="398">
        <f>SUMIFS('KIDS&amp;ADULTS'!$Z$3:$Z$12006,'KIDS&amp;ADULTS'!$V$3:$V$12006,U61,'KIDS&amp;ADULTS'!$B$3:$B$12006,$Y$3,'KIDS&amp;ADULTS'!$N$3:$N$12006,"Đã đóng học phí")</f>
        <v>0</v>
      </c>
      <c r="Z61" s="398">
        <f>SUMIFS('KIDS&amp;ADULTS'!$Z$3:$Z$12006,'KIDS&amp;ADULTS'!$V$3:$V$12006,U61,'KIDS&amp;ADULTS'!$B$3:$B$12006,$Z$3,'KIDS&amp;ADULTS'!$N$3:$N$12006,"Đã đóng học phí")</f>
        <v>0</v>
      </c>
      <c r="AA61" s="398">
        <f>SUMIFS('KIDS&amp;ADULTS'!$Z$3:$Z$12006,'KIDS&amp;ADULTS'!$V$3:$V$12006,U61,'KIDS&amp;ADULTS'!$B$3:$B$12006,$AA$3,'KIDS&amp;ADULTS'!$N$3:$N$12006,"Đã đóng học phí")</f>
        <v>0</v>
      </c>
      <c r="AB61" s="398">
        <f>SUMIFS('KIDS&amp;ADULTS'!$Z$3:$Z$12006,'KIDS&amp;ADULTS'!$V$3:$V$12006,U61,'KIDS&amp;ADULTS'!$B$3:$B$12006,$AB$3,'KIDS&amp;ADULTS'!$N$3:$N$12006,"Đã đóng học phí")</f>
        <v>0</v>
      </c>
      <c r="AC61" s="398">
        <f>SUMIFS('KIDS&amp;ADULTS'!$Z$3:$Z$12006,'KIDS&amp;ADULTS'!$V$3:$V$12006,U61,'KIDS&amp;ADULTS'!$B$3:$B$12006,$AC$3,'KIDS&amp;ADULTS'!$N$3:$N$12006,"Đã đóng học phí")</f>
        <v>0</v>
      </c>
      <c r="AD61" s="398">
        <f t="shared" si="8"/>
        <v>0</v>
      </c>
      <c r="AE61" s="373"/>
    </row>
    <row r="62" ht="15.75" customHeight="1">
      <c r="U62" s="372">
        <f t="shared" si="9"/>
        <v>45253</v>
      </c>
      <c r="V62" s="398">
        <f>SUMIFS('KIDS&amp;ADULTS'!$Z$3:$Z$12006,'KIDS&amp;ADULTS'!V$3:V$12006,U62,'KIDS&amp;ADULTS'!$B$3:$B$12006,$K$3,'KIDS&amp;ADULTS'!$N$3:$N$12006,"Đã đóng học phí")</f>
        <v>0</v>
      </c>
      <c r="W62" s="398">
        <f>SUMIFS('KIDS&amp;ADULTS'!$Z$3:$Z$12006,'KIDS&amp;ADULTS'!$V$3:$V$12006,U62,'KIDS&amp;ADULTS'!$B$3:$B$12006,$W$3,'KIDS&amp;ADULTS'!$N$3:$N$12006,"Đã đóng học phí")</f>
        <v>0</v>
      </c>
      <c r="X62" s="398">
        <f>SUMIFS('KIDS&amp;ADULTS'!$Z$3:$Z$12006,'KIDS&amp;ADULTS'!$V$3:$V$12006,U62,'KIDS&amp;ADULTS'!$B$3:$B$12006,$X$3,'KIDS&amp;ADULTS'!$N$3:$N$12006,"Đã đóng học phí")</f>
        <v>0</v>
      </c>
      <c r="Y62" s="398">
        <f>SUMIFS('KIDS&amp;ADULTS'!$Z$3:$Z$12006,'KIDS&amp;ADULTS'!$V$3:$V$12006,U62,'KIDS&amp;ADULTS'!$B$3:$B$12006,$Y$3,'KIDS&amp;ADULTS'!$N$3:$N$12006,"Đã đóng học phí")</f>
        <v>3308000</v>
      </c>
      <c r="Z62" s="398">
        <f>SUMIFS('KIDS&amp;ADULTS'!$Z$3:$Z$12006,'KIDS&amp;ADULTS'!$V$3:$V$12006,U62,'KIDS&amp;ADULTS'!$B$3:$B$12006,$Z$3,'KIDS&amp;ADULTS'!$N$3:$N$12006,"Đã đóng học phí")</f>
        <v>0</v>
      </c>
      <c r="AA62" s="398">
        <f>SUMIFS('KIDS&amp;ADULTS'!$Z$3:$Z$12006,'KIDS&amp;ADULTS'!$V$3:$V$12006,U62,'KIDS&amp;ADULTS'!$B$3:$B$12006,$AA$3,'KIDS&amp;ADULTS'!$N$3:$N$12006,"Đã đóng học phí")</f>
        <v>0</v>
      </c>
      <c r="AB62" s="398">
        <f>SUMIFS('KIDS&amp;ADULTS'!$Z$3:$Z$12006,'KIDS&amp;ADULTS'!$V$3:$V$12006,U62,'KIDS&amp;ADULTS'!$B$3:$B$12006,$AB$3,'KIDS&amp;ADULTS'!$N$3:$N$12006,"Đã đóng học phí")</f>
        <v>0</v>
      </c>
      <c r="AC62" s="398">
        <f>SUMIFS('KIDS&amp;ADULTS'!$Z$3:$Z$12006,'KIDS&amp;ADULTS'!$V$3:$V$12006,U62,'KIDS&amp;ADULTS'!$B$3:$B$12006,$AC$3,'KIDS&amp;ADULTS'!$N$3:$N$12006,"Đã đóng học phí")</f>
        <v>0</v>
      </c>
      <c r="AD62" s="398">
        <f t="shared" si="8"/>
        <v>3308000</v>
      </c>
      <c r="AE62" s="373"/>
    </row>
    <row r="63" ht="15.75" customHeight="1">
      <c r="U63" s="372">
        <f t="shared" si="9"/>
        <v>45254</v>
      </c>
      <c r="V63" s="398">
        <f>SUMIFS('KIDS&amp;ADULTS'!$Z$3:$Z$12006,'KIDS&amp;ADULTS'!V$3:V$12006,U63,'KIDS&amp;ADULTS'!$B$3:$B$12006,$K$3,'KIDS&amp;ADULTS'!$N$3:$N$12006,"Đã đóng học phí")</f>
        <v>0</v>
      </c>
      <c r="W63" s="398">
        <f>SUMIFS('KIDS&amp;ADULTS'!$Z$3:$Z$12006,'KIDS&amp;ADULTS'!$V$3:$V$12006,U63,'KIDS&amp;ADULTS'!$B$3:$B$12006,$W$3,'KIDS&amp;ADULTS'!$N$3:$N$12006,"Đã đóng học phí")</f>
        <v>0</v>
      </c>
      <c r="X63" s="398">
        <f>SUMIFS('KIDS&amp;ADULTS'!$Z$3:$Z$12006,'KIDS&amp;ADULTS'!$V$3:$V$12006,U63,'KIDS&amp;ADULTS'!$B$3:$B$12006,$X$3,'KIDS&amp;ADULTS'!$N$3:$N$12006,"Đã đóng học phí")</f>
        <v>0</v>
      </c>
      <c r="Y63" s="398">
        <f>SUMIFS('KIDS&amp;ADULTS'!$Z$3:$Z$12006,'KIDS&amp;ADULTS'!$V$3:$V$12006,U63,'KIDS&amp;ADULTS'!$B$3:$B$12006,$Y$3,'KIDS&amp;ADULTS'!$N$3:$N$12006,"Đã đóng học phí")</f>
        <v>0</v>
      </c>
      <c r="Z63" s="398">
        <f>SUMIFS('KIDS&amp;ADULTS'!$Z$3:$Z$12006,'KIDS&amp;ADULTS'!$V$3:$V$12006,U63,'KIDS&amp;ADULTS'!$B$3:$B$12006,$Z$3,'KIDS&amp;ADULTS'!$N$3:$N$12006,"Đã đóng học phí")</f>
        <v>0</v>
      </c>
      <c r="AA63" s="398">
        <f>SUMIFS('KIDS&amp;ADULTS'!$Z$3:$Z$12006,'KIDS&amp;ADULTS'!$V$3:$V$12006,U63,'KIDS&amp;ADULTS'!$B$3:$B$12006,$AA$3,'KIDS&amp;ADULTS'!$N$3:$N$12006,"Đã đóng học phí")</f>
        <v>0</v>
      </c>
      <c r="AB63" s="398">
        <f>SUMIFS('KIDS&amp;ADULTS'!$Z$3:$Z$12006,'KIDS&amp;ADULTS'!$V$3:$V$12006,U63,'KIDS&amp;ADULTS'!$B$3:$B$12006,$AB$3,'KIDS&amp;ADULTS'!$N$3:$N$12006,"Đã đóng học phí")</f>
        <v>0</v>
      </c>
      <c r="AC63" s="398">
        <f>SUMIFS('KIDS&amp;ADULTS'!$Z$3:$Z$12006,'KIDS&amp;ADULTS'!$V$3:$V$12006,U63,'KIDS&amp;ADULTS'!$B$3:$B$12006,$AC$3,'KIDS&amp;ADULTS'!$N$3:$N$12006,"Đã đóng học phí")</f>
        <v>0</v>
      </c>
      <c r="AD63" s="398">
        <f t="shared" si="8"/>
        <v>0</v>
      </c>
      <c r="AE63" s="373"/>
    </row>
    <row r="64" ht="15.75" customHeight="1">
      <c r="U64" s="372">
        <f t="shared" si="9"/>
        <v>45255</v>
      </c>
      <c r="V64" s="398">
        <f>SUMIFS('KIDS&amp;ADULTS'!$Z$3:$Z$12006,'KIDS&amp;ADULTS'!V$3:V$12006,U64,'KIDS&amp;ADULTS'!$B$3:$B$12006,$K$3,'KIDS&amp;ADULTS'!$N$3:$N$12006,"Đã đóng học phí")</f>
        <v>0</v>
      </c>
      <c r="W64" s="398">
        <f>SUMIFS('KIDS&amp;ADULTS'!$Z$3:$Z$12006,'KIDS&amp;ADULTS'!$V$3:$V$12006,U64,'KIDS&amp;ADULTS'!$B$3:$B$12006,$W$3,'KIDS&amp;ADULTS'!$N$3:$N$12006,"Đã đóng học phí")</f>
        <v>0</v>
      </c>
      <c r="X64" s="398">
        <f>SUMIFS('KIDS&amp;ADULTS'!$Z$3:$Z$12006,'KIDS&amp;ADULTS'!$V$3:$V$12006,U64,'KIDS&amp;ADULTS'!$B$3:$B$12006,$X$3,'KIDS&amp;ADULTS'!$N$3:$N$12006,"Đã đóng học phí")</f>
        <v>0</v>
      </c>
      <c r="Y64" s="398">
        <f>SUMIFS('KIDS&amp;ADULTS'!$Z$3:$Z$12006,'KIDS&amp;ADULTS'!$V$3:$V$12006,U64,'KIDS&amp;ADULTS'!$B$3:$B$12006,$Y$3,'KIDS&amp;ADULTS'!$N$3:$N$12006,"Đã đóng học phí")</f>
        <v>0</v>
      </c>
      <c r="Z64" s="398">
        <f>SUMIFS('KIDS&amp;ADULTS'!$Z$3:$Z$12006,'KIDS&amp;ADULTS'!$V$3:$V$12006,U64,'KIDS&amp;ADULTS'!$B$3:$B$12006,$Z$3,'KIDS&amp;ADULTS'!$N$3:$N$12006,"Đã đóng học phí")</f>
        <v>0</v>
      </c>
      <c r="AA64" s="398">
        <f>SUMIFS('KIDS&amp;ADULTS'!$Z$3:$Z$12006,'KIDS&amp;ADULTS'!$V$3:$V$12006,U64,'KIDS&amp;ADULTS'!$B$3:$B$12006,$AA$3,'KIDS&amp;ADULTS'!$N$3:$N$12006,"Đã đóng học phí")</f>
        <v>0</v>
      </c>
      <c r="AB64" s="398">
        <f>SUMIFS('KIDS&amp;ADULTS'!$Z$3:$Z$12006,'KIDS&amp;ADULTS'!$V$3:$V$12006,U64,'KIDS&amp;ADULTS'!$B$3:$B$12006,$AB$3,'KIDS&amp;ADULTS'!$N$3:$N$12006,"Đã đóng học phí")</f>
        <v>0</v>
      </c>
      <c r="AC64" s="398">
        <f>SUMIFS('KIDS&amp;ADULTS'!$Z$3:$Z$12006,'KIDS&amp;ADULTS'!$V$3:$V$12006,U64,'KIDS&amp;ADULTS'!$B$3:$B$12006,$AC$3,'KIDS&amp;ADULTS'!$N$3:$N$12006,"Đã đóng học phí")</f>
        <v>0</v>
      </c>
      <c r="AD64" s="398">
        <f t="shared" si="8"/>
        <v>0</v>
      </c>
      <c r="AE64" s="373"/>
    </row>
    <row r="65" ht="15.75" customHeight="1">
      <c r="U65" s="372">
        <f t="shared" si="9"/>
        <v>45256</v>
      </c>
      <c r="V65" s="398">
        <f>SUMIFS('KIDS&amp;ADULTS'!$Z$3:$Z$12006,'KIDS&amp;ADULTS'!V$3:V$12006,U65,'KIDS&amp;ADULTS'!$B$3:$B$12006,$K$3,'KIDS&amp;ADULTS'!$N$3:$N$12006,"Đã đóng học phí")</f>
        <v>0</v>
      </c>
      <c r="W65" s="398">
        <f>SUMIFS('KIDS&amp;ADULTS'!$Z$3:$Z$12006,'KIDS&amp;ADULTS'!$V$3:$V$12006,U65,'KIDS&amp;ADULTS'!$B$3:$B$12006,$W$3,'KIDS&amp;ADULTS'!$N$3:$N$12006,"Đã đóng học phí")</f>
        <v>0</v>
      </c>
      <c r="X65" s="398">
        <f>SUMIFS('KIDS&amp;ADULTS'!$Z$3:$Z$12006,'KIDS&amp;ADULTS'!$V$3:$V$12006,U65,'KIDS&amp;ADULTS'!$B$3:$B$12006,$X$3,'KIDS&amp;ADULTS'!$N$3:$N$12006,"Đã đóng học phí")</f>
        <v>0</v>
      </c>
      <c r="Y65" s="398">
        <f>SUMIFS('KIDS&amp;ADULTS'!$Z$3:$Z$12006,'KIDS&amp;ADULTS'!$V$3:$V$12006,U65,'KIDS&amp;ADULTS'!$B$3:$B$12006,$Y$3,'KIDS&amp;ADULTS'!$N$3:$N$12006,"Đã đóng học phí")</f>
        <v>0</v>
      </c>
      <c r="Z65" s="398">
        <f>SUMIFS('KIDS&amp;ADULTS'!$Z$3:$Z$12006,'KIDS&amp;ADULTS'!$V$3:$V$12006,U65,'KIDS&amp;ADULTS'!$B$3:$B$12006,$Z$3,'KIDS&amp;ADULTS'!$N$3:$N$12006,"Đã đóng học phí")</f>
        <v>0</v>
      </c>
      <c r="AA65" s="398">
        <f>SUMIFS('KIDS&amp;ADULTS'!$Z$3:$Z$12006,'KIDS&amp;ADULTS'!$V$3:$V$12006,U65,'KIDS&amp;ADULTS'!$B$3:$B$12006,$AA$3,'KIDS&amp;ADULTS'!$N$3:$N$12006,"Đã đóng học phí")</f>
        <v>0</v>
      </c>
      <c r="AB65" s="398">
        <f>SUMIFS('KIDS&amp;ADULTS'!$Z$3:$Z$12006,'KIDS&amp;ADULTS'!$V$3:$V$12006,U65,'KIDS&amp;ADULTS'!$B$3:$B$12006,$AB$3,'KIDS&amp;ADULTS'!$N$3:$N$12006,"Đã đóng học phí")</f>
        <v>0</v>
      </c>
      <c r="AC65" s="398">
        <f>SUMIFS('KIDS&amp;ADULTS'!$Z$3:$Z$12006,'KIDS&amp;ADULTS'!$V$3:$V$12006,U65,'KIDS&amp;ADULTS'!$B$3:$B$12006,$AC$3,'KIDS&amp;ADULTS'!$N$3:$N$12006,"Đã đóng học phí")</f>
        <v>0</v>
      </c>
      <c r="AD65" s="398">
        <f t="shared" si="8"/>
        <v>0</v>
      </c>
      <c r="AE65" s="373"/>
    </row>
    <row r="66" ht="15.75" customHeight="1">
      <c r="U66" s="372">
        <f t="shared" si="9"/>
        <v>45257</v>
      </c>
      <c r="V66" s="398">
        <f>SUMIFS('KIDS&amp;ADULTS'!$Z$3:$Z$12006,'KIDS&amp;ADULTS'!V$3:V$12006,U66,'KIDS&amp;ADULTS'!$B$3:$B$12006,$K$3,'KIDS&amp;ADULTS'!$N$3:$N$12006,"Đã đóng học phí")</f>
        <v>0</v>
      </c>
      <c r="W66" s="398">
        <f>SUMIFS('KIDS&amp;ADULTS'!$Z$3:$Z$12006,'KIDS&amp;ADULTS'!$V$3:$V$12006,U66,'KIDS&amp;ADULTS'!$B$3:$B$12006,$W$3,'KIDS&amp;ADULTS'!$N$3:$N$12006,"Đã đóng học phí")</f>
        <v>0</v>
      </c>
      <c r="X66" s="398">
        <f>SUMIFS('KIDS&amp;ADULTS'!$Z$3:$Z$12006,'KIDS&amp;ADULTS'!$V$3:$V$12006,U66,'KIDS&amp;ADULTS'!$B$3:$B$12006,$X$3,'KIDS&amp;ADULTS'!$N$3:$N$12006,"Đã đóng học phí")</f>
        <v>0</v>
      </c>
      <c r="Y66" s="398">
        <f>SUMIFS('KIDS&amp;ADULTS'!$Z$3:$Z$12006,'KIDS&amp;ADULTS'!$V$3:$V$12006,U66,'KIDS&amp;ADULTS'!$B$3:$B$12006,$Y$3,'KIDS&amp;ADULTS'!$N$3:$N$12006,"Đã đóng học phí")</f>
        <v>0</v>
      </c>
      <c r="Z66" s="398">
        <f>SUMIFS('KIDS&amp;ADULTS'!$Z$3:$Z$12006,'KIDS&amp;ADULTS'!$V$3:$V$12006,U66,'KIDS&amp;ADULTS'!$B$3:$B$12006,$Z$3,'KIDS&amp;ADULTS'!$N$3:$N$12006,"Đã đóng học phí")</f>
        <v>0</v>
      </c>
      <c r="AA66" s="398">
        <f>SUMIFS('KIDS&amp;ADULTS'!$Z$3:$Z$12006,'KIDS&amp;ADULTS'!$V$3:$V$12006,U66,'KIDS&amp;ADULTS'!$B$3:$B$12006,$AA$3,'KIDS&amp;ADULTS'!$N$3:$N$12006,"Đã đóng học phí")</f>
        <v>0</v>
      </c>
      <c r="AB66" s="398">
        <f>SUMIFS('KIDS&amp;ADULTS'!$Z$3:$Z$12006,'KIDS&amp;ADULTS'!$V$3:$V$12006,U66,'KIDS&amp;ADULTS'!$B$3:$B$12006,$AB$3,'KIDS&amp;ADULTS'!$N$3:$N$12006,"Đã đóng học phí")</f>
        <v>0</v>
      </c>
      <c r="AC66" s="398">
        <f>SUMIFS('KIDS&amp;ADULTS'!$Z$3:$Z$12006,'KIDS&amp;ADULTS'!$V$3:$V$12006,U66,'KIDS&amp;ADULTS'!$B$3:$B$12006,$AC$3,'KIDS&amp;ADULTS'!$N$3:$N$12006,"Đã đóng học phí")</f>
        <v>0</v>
      </c>
      <c r="AD66" s="398">
        <f t="shared" si="8"/>
        <v>0</v>
      </c>
      <c r="AE66" s="373"/>
    </row>
    <row r="67" ht="15.75" customHeight="1">
      <c r="U67" s="372">
        <f t="shared" si="9"/>
        <v>45258</v>
      </c>
      <c r="V67" s="398">
        <f>SUMIFS('KIDS&amp;ADULTS'!$Z$3:$Z$12006,'KIDS&amp;ADULTS'!V$3:V$12006,U67,'KIDS&amp;ADULTS'!$B$3:$B$12006,$K$3,'KIDS&amp;ADULTS'!$N$3:$N$12006,"Đã đóng học phí")</f>
        <v>0</v>
      </c>
      <c r="W67" s="398">
        <f>SUMIFS('KIDS&amp;ADULTS'!$Z$3:$Z$12006,'KIDS&amp;ADULTS'!$V$3:$V$12006,U67,'KIDS&amp;ADULTS'!$B$3:$B$12006,$W$3,'KIDS&amp;ADULTS'!$N$3:$N$12006,"Đã đóng học phí")</f>
        <v>0</v>
      </c>
      <c r="X67" s="398">
        <f>SUMIFS('KIDS&amp;ADULTS'!$Z$3:$Z$12006,'KIDS&amp;ADULTS'!$V$3:$V$12006,U67,'KIDS&amp;ADULTS'!$B$3:$B$12006,$X$3,'KIDS&amp;ADULTS'!$N$3:$N$12006,"Đã đóng học phí")</f>
        <v>0</v>
      </c>
      <c r="Y67" s="398">
        <f>SUMIFS('KIDS&amp;ADULTS'!$Z$3:$Z$12006,'KIDS&amp;ADULTS'!$V$3:$V$12006,U67,'KIDS&amp;ADULTS'!$B$3:$B$12006,$Y$3,'KIDS&amp;ADULTS'!$N$3:$N$12006,"Đã đóng học phí")</f>
        <v>0</v>
      </c>
      <c r="Z67" s="398">
        <f>SUMIFS('KIDS&amp;ADULTS'!$Z$3:$Z$12006,'KIDS&amp;ADULTS'!$V$3:$V$12006,U67,'KIDS&amp;ADULTS'!$B$3:$B$12006,$Z$3,'KIDS&amp;ADULTS'!$N$3:$N$12006,"Đã đóng học phí")</f>
        <v>0</v>
      </c>
      <c r="AA67" s="398">
        <f>SUMIFS('KIDS&amp;ADULTS'!$Z$3:$Z$12006,'KIDS&amp;ADULTS'!$V$3:$V$12006,U67,'KIDS&amp;ADULTS'!$B$3:$B$12006,$AA$3,'KIDS&amp;ADULTS'!$N$3:$N$12006,"Đã đóng học phí")</f>
        <v>0</v>
      </c>
      <c r="AB67" s="398">
        <f>SUMIFS('KIDS&amp;ADULTS'!$Z$3:$Z$12006,'KIDS&amp;ADULTS'!$V$3:$V$12006,U67,'KIDS&amp;ADULTS'!$B$3:$B$12006,$AB$3,'KIDS&amp;ADULTS'!$N$3:$N$12006,"Đã đóng học phí")</f>
        <v>0</v>
      </c>
      <c r="AC67" s="398">
        <f>SUMIFS('KIDS&amp;ADULTS'!$Z$3:$Z$12006,'KIDS&amp;ADULTS'!$V$3:$V$12006,U67,'KIDS&amp;ADULTS'!$B$3:$B$12006,$AC$3,'KIDS&amp;ADULTS'!$N$3:$N$12006,"Đã đóng học phí")</f>
        <v>0</v>
      </c>
      <c r="AD67" s="398">
        <f t="shared" si="8"/>
        <v>0</v>
      </c>
      <c r="AE67" s="373"/>
    </row>
    <row r="68" ht="15.75" customHeight="1">
      <c r="U68" s="372">
        <f t="shared" si="9"/>
        <v>45259</v>
      </c>
      <c r="V68" s="398">
        <f>SUMIFS('KIDS&amp;ADULTS'!$Z$3:$Z$12006,'KIDS&amp;ADULTS'!V$3:V$12006,U68,'KIDS&amp;ADULTS'!$B$3:$B$12006,$K$3,'KIDS&amp;ADULTS'!$N$3:$N$12006,"Đã đóng học phí")</f>
        <v>0</v>
      </c>
      <c r="W68" s="398">
        <f>SUMIFS('KIDS&amp;ADULTS'!$Z$3:$Z$12006,'KIDS&amp;ADULTS'!$V$3:$V$12006,U68,'KIDS&amp;ADULTS'!$B$3:$B$12006,$W$3,'KIDS&amp;ADULTS'!$N$3:$N$12006,"Đã đóng học phí")</f>
        <v>0</v>
      </c>
      <c r="X68" s="398">
        <f>SUMIFS('KIDS&amp;ADULTS'!$Z$3:$Z$12006,'KIDS&amp;ADULTS'!$V$3:$V$12006,U68,'KIDS&amp;ADULTS'!$B$3:$B$12006,$X$3,'KIDS&amp;ADULTS'!$N$3:$N$12006,"Đã đóng học phí")</f>
        <v>0</v>
      </c>
      <c r="Y68" s="398">
        <f>SUMIFS('KIDS&amp;ADULTS'!$Z$3:$Z$12006,'KIDS&amp;ADULTS'!$V$3:$V$12006,U68,'KIDS&amp;ADULTS'!$B$3:$B$12006,$Y$3,'KIDS&amp;ADULTS'!$N$3:$N$12006,"Đã đóng học phí")</f>
        <v>0</v>
      </c>
      <c r="Z68" s="398">
        <f>SUMIFS('KIDS&amp;ADULTS'!$Z$3:$Z$12006,'KIDS&amp;ADULTS'!$V$3:$V$12006,U68,'KIDS&amp;ADULTS'!$B$3:$B$12006,$Z$3,'KIDS&amp;ADULTS'!$N$3:$N$12006,"Đã đóng học phí")</f>
        <v>0</v>
      </c>
      <c r="AA68" s="398">
        <f>SUMIFS('KIDS&amp;ADULTS'!$Z$3:$Z$12006,'KIDS&amp;ADULTS'!$V$3:$V$12006,U68,'KIDS&amp;ADULTS'!$B$3:$B$12006,$AA$3,'KIDS&amp;ADULTS'!$N$3:$N$12006,"Đã đóng học phí")</f>
        <v>0</v>
      </c>
      <c r="AB68" s="398">
        <f>SUMIFS('KIDS&amp;ADULTS'!$Z$3:$Z$12006,'KIDS&amp;ADULTS'!$V$3:$V$12006,U68,'KIDS&amp;ADULTS'!$B$3:$B$12006,$AB$3,'KIDS&amp;ADULTS'!$N$3:$N$12006,"Đã đóng học phí")</f>
        <v>0</v>
      </c>
      <c r="AC68" s="398">
        <f>SUMIFS('KIDS&amp;ADULTS'!$Z$3:$Z$12006,'KIDS&amp;ADULTS'!$V$3:$V$12006,U68,'KIDS&amp;ADULTS'!$B$3:$B$12006,$AC$3,'KIDS&amp;ADULTS'!$N$3:$N$12006,"Đã đóng học phí")</f>
        <v>0</v>
      </c>
      <c r="AD68" s="398">
        <f t="shared" si="8"/>
        <v>0</v>
      </c>
      <c r="AE68" s="373"/>
    </row>
    <row r="69" ht="15.75" customHeight="1">
      <c r="U69" s="372">
        <f t="shared" si="9"/>
        <v>45260</v>
      </c>
      <c r="V69" s="398">
        <f>SUMIFS('KIDS&amp;ADULTS'!$Z$3:$Z$12006,'KIDS&amp;ADULTS'!V$3:V$12006,U69,'KIDS&amp;ADULTS'!$B$3:$B$12006,$K$3,'KIDS&amp;ADULTS'!$N$3:$N$12006,"Đã đóng học phí")</f>
        <v>0</v>
      </c>
      <c r="W69" s="398">
        <f>SUMIFS('KIDS&amp;ADULTS'!$Z$3:$Z$12006,'KIDS&amp;ADULTS'!$V$3:$V$12006,U69,'KIDS&amp;ADULTS'!$B$3:$B$12006,$W$3,'KIDS&amp;ADULTS'!$N$3:$N$12006,"Đã đóng học phí")</f>
        <v>0</v>
      </c>
      <c r="X69" s="398">
        <f>SUMIFS('KIDS&amp;ADULTS'!$Z$3:$Z$12006,'KIDS&amp;ADULTS'!$V$3:$V$12006,U69,'KIDS&amp;ADULTS'!$B$3:$B$12006,$X$3,'KIDS&amp;ADULTS'!$N$3:$N$12006,"Đã đóng học phí")</f>
        <v>0</v>
      </c>
      <c r="Y69" s="398">
        <f>SUMIFS('KIDS&amp;ADULTS'!$Z$3:$Z$12006,'KIDS&amp;ADULTS'!$V$3:$V$12006,U69,'KIDS&amp;ADULTS'!$B$3:$B$12006,$Y$3,'KIDS&amp;ADULTS'!$N$3:$N$12006,"Đã đóng học phí")</f>
        <v>0</v>
      </c>
      <c r="Z69" s="398">
        <f>SUMIFS('KIDS&amp;ADULTS'!$Z$3:$Z$12006,'KIDS&amp;ADULTS'!$V$3:$V$12006,U69,'KIDS&amp;ADULTS'!$B$3:$B$12006,$Z$3,'KIDS&amp;ADULTS'!$N$3:$N$12006,"Đã đóng học phí")</f>
        <v>0</v>
      </c>
      <c r="AA69" s="398">
        <f>SUMIFS('KIDS&amp;ADULTS'!$Z$3:$Z$12006,'KIDS&amp;ADULTS'!$V$3:$V$12006,U69,'KIDS&amp;ADULTS'!$B$3:$B$12006,$AA$3,'KIDS&amp;ADULTS'!$N$3:$N$12006,"Đã đóng học phí")</f>
        <v>0</v>
      </c>
      <c r="AB69" s="398">
        <f>SUMIFS('KIDS&amp;ADULTS'!$Z$3:$Z$12006,'KIDS&amp;ADULTS'!$V$3:$V$12006,U69,'KIDS&amp;ADULTS'!$B$3:$B$12006,$AB$3,'KIDS&amp;ADULTS'!$N$3:$N$12006,"Đã đóng học phí")</f>
        <v>0</v>
      </c>
      <c r="AC69" s="398">
        <f>SUMIFS('KIDS&amp;ADULTS'!$Z$3:$Z$12006,'KIDS&amp;ADULTS'!$V$3:$V$12006,U69,'KIDS&amp;ADULTS'!$B$3:$B$12006,$AC$3,'KIDS&amp;ADULTS'!$N$3:$N$12006,"Đã đóng học phí")</f>
        <v>0</v>
      </c>
      <c r="AD69" s="398">
        <f t="shared" si="8"/>
        <v>0</v>
      </c>
      <c r="AE69" s="373"/>
    </row>
    <row r="70" ht="15.75" customHeight="1">
      <c r="U70" s="388" t="s">
        <v>4622</v>
      </c>
      <c r="V70" s="399">
        <f t="shared" ref="V70:AC70" si="10">SUM(V40:V69)</f>
        <v>0</v>
      </c>
      <c r="W70" s="399">
        <f t="shared" si="10"/>
        <v>0</v>
      </c>
      <c r="X70" s="399">
        <f t="shared" si="10"/>
        <v>0</v>
      </c>
      <c r="Y70" s="399">
        <f t="shared" si="10"/>
        <v>3308000</v>
      </c>
      <c r="Z70" s="399">
        <f t="shared" si="10"/>
        <v>4916400</v>
      </c>
      <c r="AA70" s="399">
        <f t="shared" si="10"/>
        <v>0</v>
      </c>
      <c r="AB70" s="399">
        <f t="shared" si="10"/>
        <v>0</v>
      </c>
      <c r="AC70" s="399">
        <f t="shared" si="10"/>
        <v>0</v>
      </c>
      <c r="AD70" s="400">
        <f t="shared" si="8"/>
        <v>8224400</v>
      </c>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J1:Q1"/>
    <mergeCell ref="K2:Q2"/>
    <mergeCell ref="A1:G1"/>
    <mergeCell ref="H1:I3"/>
    <mergeCell ref="A2:A3"/>
    <mergeCell ref="B2:F2"/>
    <mergeCell ref="G2:G3"/>
    <mergeCell ref="J2:J3"/>
    <mergeCell ref="U2:U3"/>
    <mergeCell ref="V2:AC2"/>
    <mergeCell ref="U37:AC37"/>
    <mergeCell ref="U38:U39"/>
    <mergeCell ref="V38:AC38"/>
    <mergeCell ref="U1:AC1"/>
    <mergeCell ref="AF2:AN2"/>
    <mergeCell ref="AF3:AF4"/>
    <mergeCell ref="AG3:AN3"/>
    <mergeCell ref="AF7:AN7"/>
    <mergeCell ref="AF8:AF9"/>
    <mergeCell ref="AG8:AN8"/>
  </mergeCells>
  <conditionalFormatting sqref="K4:R33">
    <cfRule type="cellIs" dxfId="1" priority="1" operator="greaterThan">
      <formula>0</formula>
    </cfRule>
  </conditionalFormatting>
  <conditionalFormatting sqref="V4:AC33">
    <cfRule type="cellIs" dxfId="7" priority="2" operator="greaterThan">
      <formula>0</formula>
    </cfRule>
  </conditionalFormatting>
  <conditionalFormatting sqref="V40:AC69">
    <cfRule type="cellIs" dxfId="7" priority="3" operator="greaterThan">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5.38"/>
    <col customWidth="1" min="3" max="6" width="19.0"/>
    <col customWidth="1" min="7" max="7" width="18.25"/>
    <col customWidth="1" min="8" max="8" width="16.88"/>
    <col customWidth="1" min="19" max="20" width="7.0"/>
  </cols>
  <sheetData>
    <row r="1" ht="15.75" customHeight="1">
      <c r="A1" s="357" t="s">
        <v>289</v>
      </c>
      <c r="J1" s="358" t="s">
        <v>4611</v>
      </c>
      <c r="R1" s="358"/>
      <c r="U1" s="358" t="s">
        <v>4612</v>
      </c>
    </row>
    <row r="2" ht="15.75" customHeight="1">
      <c r="A2" s="359" t="s">
        <v>4613</v>
      </c>
      <c r="B2" s="360" t="s">
        <v>4614</v>
      </c>
      <c r="C2" s="235"/>
      <c r="D2" s="235"/>
      <c r="E2" s="235"/>
      <c r="F2" s="236"/>
      <c r="G2" s="359" t="s">
        <v>4615</v>
      </c>
      <c r="J2" s="361" t="s">
        <v>4613</v>
      </c>
      <c r="K2" s="363" t="s">
        <v>4616</v>
      </c>
      <c r="L2" s="235"/>
      <c r="M2" s="235"/>
      <c r="N2" s="235"/>
      <c r="O2" s="235"/>
      <c r="P2" s="235"/>
      <c r="Q2" s="236"/>
      <c r="R2" s="364"/>
      <c r="U2" s="361" t="s">
        <v>4613</v>
      </c>
      <c r="V2" s="363" t="s">
        <v>4616</v>
      </c>
      <c r="W2" s="235"/>
      <c r="X2" s="235"/>
      <c r="Y2" s="235"/>
      <c r="Z2" s="235"/>
      <c r="AA2" s="235"/>
      <c r="AB2" s="235"/>
      <c r="AC2" s="236"/>
      <c r="AF2" s="358" t="s">
        <v>4617</v>
      </c>
    </row>
    <row r="3" ht="15.75" customHeight="1">
      <c r="A3" s="11"/>
      <c r="B3" s="365" t="s">
        <v>412</v>
      </c>
      <c r="C3" s="365" t="s">
        <v>66</v>
      </c>
      <c r="D3" s="365" t="s">
        <v>48</v>
      </c>
      <c r="E3" s="365" t="s">
        <v>111</v>
      </c>
      <c r="F3" s="365" t="s">
        <v>4618</v>
      </c>
      <c r="G3" s="11"/>
      <c r="J3" s="11"/>
      <c r="K3" s="366" t="s">
        <v>4620</v>
      </c>
      <c r="L3" s="367" t="s">
        <v>4621</v>
      </c>
      <c r="M3" s="368" t="s">
        <v>73</v>
      </c>
      <c r="N3" s="369" t="s">
        <v>201</v>
      </c>
      <c r="O3" s="370" t="s">
        <v>84</v>
      </c>
      <c r="P3" s="371" t="s">
        <v>60</v>
      </c>
      <c r="Q3" s="371" t="s">
        <v>703</v>
      </c>
      <c r="R3" s="371" t="s">
        <v>539</v>
      </c>
      <c r="U3" s="11"/>
      <c r="V3" s="366" t="s">
        <v>4620</v>
      </c>
      <c r="W3" s="367" t="s">
        <v>4621</v>
      </c>
      <c r="X3" s="368" t="s">
        <v>73</v>
      </c>
      <c r="Y3" s="369" t="s">
        <v>201</v>
      </c>
      <c r="Z3" s="370" t="s">
        <v>84</v>
      </c>
      <c r="AA3" s="371" t="s">
        <v>60</v>
      </c>
      <c r="AB3" s="371" t="s">
        <v>539</v>
      </c>
      <c r="AC3" s="371" t="s">
        <v>703</v>
      </c>
      <c r="AF3" s="361" t="s">
        <v>4613</v>
      </c>
      <c r="AG3" s="363" t="s">
        <v>4616</v>
      </c>
      <c r="AH3" s="235"/>
      <c r="AI3" s="235"/>
      <c r="AJ3" s="235"/>
      <c r="AK3" s="235"/>
      <c r="AL3" s="235"/>
      <c r="AM3" s="235"/>
      <c r="AN3" s="236"/>
    </row>
    <row r="4" ht="15.75" customHeight="1">
      <c r="A4" s="372">
        <v>45200.0</v>
      </c>
      <c r="B4" s="373">
        <f>sumifs('KIDS&amp;ADULTS'!$Z$3:$Z$1015,'KIDS&amp;ADULTS'!$V$3:$V$1015,A4,'KIDS&amp;ADULTS'!$M$3:$M$1015,$B$3)</f>
        <v>0</v>
      </c>
      <c r="C4" s="373">
        <f>sumifs('KIDS&amp;ADULTS'!$Z$3:$Z$1015,'KIDS&amp;ADULTS'!$V$3:$V$1015,A4,'KIDS&amp;ADULTS'!$M$3:$M$1015,"phương")</f>
        <v>0</v>
      </c>
      <c r="D4" s="373">
        <f>sumifs('KIDS&amp;ADULTS'!$Z$3:$Z$1015,'KIDS&amp;ADULTS'!$V$3:$V$1015,A4,'KIDS&amp;ADULTS'!$M$3:$M$1015,$D$3)</f>
        <v>0</v>
      </c>
      <c r="E4" s="373">
        <f>sumifs('KIDS&amp;ADULTS'!$Z$3:$Z$1015,'KIDS&amp;ADULTS'!$V$3:$V$1015,A4,'KIDS&amp;ADULTS'!$M$3:$M$1015,"Ánh")</f>
        <v>0</v>
      </c>
      <c r="F4" s="373">
        <f>sumifs('KIDS&amp;ADULTS'!$Z$3:$Z$1015,'KIDS&amp;ADULTS'!$V$3:$V$1015,A4,'KIDS&amp;ADULTS'!$M$3:$M$1015,"Loan")</f>
        <v>0</v>
      </c>
      <c r="G4" s="373">
        <f t="shared" ref="G4:G34" si="1">sum(B4:F4)</f>
        <v>0</v>
      </c>
      <c r="J4" s="372">
        <v>45200.0</v>
      </c>
      <c r="K4" s="374">
        <f>COUNTIFS('KIDS&amp;ADULTS'!$A$3:$A$12008,J4,'KIDS&amp;ADULTS'!$B$3:$B$12008,$K$3)</f>
        <v>0</v>
      </c>
      <c r="L4" s="374">
        <f>COUNTIFS('KIDS&amp;ADULTS'!$A$3:$A$12008,J4,'KIDS&amp;ADULTS'!$B$3:$B$12008,$L$3)</f>
        <v>0</v>
      </c>
      <c r="M4" s="374">
        <f>COUNTIFS('KIDS&amp;ADULTS'!$A$3:$A$12008,J4,'KIDS&amp;ADULTS'!$B$3:$B$12008,$M$3)</f>
        <v>0</v>
      </c>
      <c r="N4" s="375">
        <f>COUNTIFS('KIDS&amp;ADULTS'!$A$3:$A$12008,J4,'KIDS&amp;ADULTS'!$B$3:$B$12008,$N$3)</f>
        <v>0</v>
      </c>
      <c r="O4" s="375">
        <f>COUNTIFS('KIDS&amp;ADULTS'!$A$3:$A$12008,J4,'KIDS&amp;ADULTS'!$B$3:$B$12008,$O$3)</f>
        <v>0</v>
      </c>
      <c r="P4" s="375">
        <f>COUNTIFS('KIDS&amp;ADULTS'!$A$3:$A$12008,J4,'KIDS&amp;ADULTS'!$B$3:$B$12008,$P$3)</f>
        <v>0</v>
      </c>
      <c r="Q4" s="375">
        <f>COUNTIFS('KIDS&amp;ADULTS'!$A$3:$A$1008,J4,'KIDS&amp;ADULTS'!$B$3:$B$1008,$Q$3)</f>
        <v>0</v>
      </c>
      <c r="R4" s="374">
        <f>COUNTIFS('KIDS&amp;ADULTS'!$A$3:$A$12008,J4,'KIDS&amp;ADULTS'!$B$3:$B$12008,$R$3)</f>
        <v>0</v>
      </c>
      <c r="U4" s="372">
        <v>45200.0</v>
      </c>
      <c r="V4" s="376">
        <f>COUNTIFS('KIDS&amp;ADULTS'!$V$3:$V$12006,U4,'KIDS&amp;ADULTS'!$B$3:$B$12006,$K$3,'KIDS&amp;ADULTS'!$N$3:$N$12006,"Đã đóng học phí")</f>
        <v>0</v>
      </c>
      <c r="W4" s="376">
        <f>COUNTIFS('KIDS&amp;ADULTS'!$V$3:$V$12006,U4,'KIDS&amp;ADULTS'!$B$3:$B12006,$W$3,'KIDS&amp;ADULTS'!$N$3:$N$12006,"Đã đóng học phí")</f>
        <v>0</v>
      </c>
      <c r="X4" s="376">
        <f>COUNTIFS('KIDS&amp;ADULTS'!$V$3:$V$12006,U4,'KIDS&amp;ADULTS'!$B$3:$B$12006,$X$3,'KIDS&amp;ADULTS'!$N$3:$N$12006,"Đã đóng học phí")</f>
        <v>0</v>
      </c>
      <c r="Y4" s="376">
        <f>COUNTIFS('KIDS&amp;ADULTS'!$V$3:$V$12006,U4,'KIDS&amp;ADULTS'!$B$3:$B$12006,$Y$3,'KIDS&amp;ADULTS'!$N$3:$N$12006,"Đã đóng học phí")</f>
        <v>0</v>
      </c>
      <c r="Z4" s="376">
        <f>COUNTIFS('KIDS&amp;ADULTS'!$V$3:$V$12006,U4,'KIDS&amp;ADULTS'!$B$3:$B$12006,$Z$3,'KIDS&amp;ADULTS'!$N$3:$N$12006,"Đã đóng học phí")</f>
        <v>0</v>
      </c>
      <c r="AA4" s="376">
        <f>COUNTIFS('KIDS&amp;ADULTS'!$V$3:$V$12006,U4,'KIDS&amp;ADULTS'!$B$3:$B$12006,$AA$3,'KIDS&amp;ADULTS'!$N$3:$N$12006,"Đã đóng học phí")</f>
        <v>0</v>
      </c>
      <c r="AB4" s="376">
        <f>COUNTIFS('KIDS&amp;ADULTS'!$V$3:$V$12006,U4,'KIDS&amp;ADULTS'!$B$3:$B$12006,$AB$3,'KIDS&amp;ADULTS'!$N$3:$N$12006,"Đã đóng học phí")</f>
        <v>0</v>
      </c>
      <c r="AC4" s="376">
        <f>COUNTIFS('KIDS&amp;ADULTS'!$V$3:$V$12006,U4,'KIDS&amp;ADULTS'!$B$3:$B$12006,$AC$3,'KIDS&amp;ADULTS'!$N$3:$N$12006,"Đã đóng học phí")</f>
        <v>0</v>
      </c>
      <c r="AF4" s="11"/>
      <c r="AG4" s="366" t="s">
        <v>4620</v>
      </c>
      <c r="AH4" s="367" t="s">
        <v>4621</v>
      </c>
      <c r="AI4" s="377" t="s">
        <v>73</v>
      </c>
      <c r="AJ4" s="378" t="s">
        <v>201</v>
      </c>
      <c r="AK4" s="379" t="s">
        <v>84</v>
      </c>
      <c r="AL4" s="380" t="s">
        <v>60</v>
      </c>
      <c r="AM4" s="371" t="s">
        <v>539</v>
      </c>
      <c r="AN4" s="380" t="s">
        <v>703</v>
      </c>
    </row>
    <row r="5" ht="15.75" customHeight="1">
      <c r="A5" s="372">
        <v>45201.0</v>
      </c>
      <c r="B5" s="373">
        <f>sumifs('KIDS&amp;ADULTS'!$Z$3:$Z$1015,'KIDS&amp;ADULTS'!$V$3:$V$1015,A5,'KIDS&amp;ADULTS'!$M$3:$M$1015,$B$3)</f>
        <v>0</v>
      </c>
      <c r="C5" s="373">
        <f>sumifs('KIDS&amp;ADULTS'!$Z$3:$Z$1015,'KIDS&amp;ADULTS'!$V$3:$V$1015,A5,'KIDS&amp;ADULTS'!$M$3:$M$1015,"phương")</f>
        <v>0</v>
      </c>
      <c r="D5" s="373">
        <f>sumifs('KIDS&amp;ADULTS'!$Z$3:$Z$1015,'KIDS&amp;ADULTS'!$V$3:$V$1015,A5,'KIDS&amp;ADULTS'!$M$3:$M$1015,$D$3)</f>
        <v>0</v>
      </c>
      <c r="E5" s="373">
        <f>sumifs('KIDS&amp;ADULTS'!$Z$3:$Z$1015,'KIDS&amp;ADULTS'!$V$3:$V$1015,A5,'KIDS&amp;ADULTS'!$M$3:$M$1015,"Ánh")</f>
        <v>7437500</v>
      </c>
      <c r="F5" s="373">
        <f>sumifs('KIDS&amp;ADULTS'!$Z$3:$Z$1015,'KIDS&amp;ADULTS'!$V$3:$V$1015,A5,'KIDS&amp;ADULTS'!$M$3:$M$1015,"Loan")</f>
        <v>0</v>
      </c>
      <c r="G5" s="373">
        <f t="shared" si="1"/>
        <v>7437500</v>
      </c>
      <c r="J5" s="372">
        <v>45201.0</v>
      </c>
      <c r="K5" s="374">
        <f>COUNTIFS('KIDS&amp;ADULTS'!$A$3:$A$12008,J5,'KIDS&amp;ADULTS'!$B$3:$B$12008,$K$3)</f>
        <v>0</v>
      </c>
      <c r="L5" s="374">
        <f>COUNTIFS('KIDS&amp;ADULTS'!$A$3:$A$12008,J5,'KIDS&amp;ADULTS'!$B$3:$B$12008,$L$3)</f>
        <v>0</v>
      </c>
      <c r="M5" s="374">
        <f>COUNTIFS('KIDS&amp;ADULTS'!$A$3:$A$12008,J5,'KIDS&amp;ADULTS'!$B$3:$B$12008,$M$3)</f>
        <v>0</v>
      </c>
      <c r="N5" s="375">
        <f>COUNTIFS('KIDS&amp;ADULTS'!$A$3:$A$12008,J5,'KIDS&amp;ADULTS'!$B$3:$B$12008,$N$3)</f>
        <v>1</v>
      </c>
      <c r="O5" s="375">
        <f>COUNTIFS('KIDS&amp;ADULTS'!$A$3:$A$12008,J5,'KIDS&amp;ADULTS'!$B$3:$B$12008,$O$3)</f>
        <v>0</v>
      </c>
      <c r="P5" s="375">
        <f>COUNTIFS('KIDS&amp;ADULTS'!$A$3:$A$12008,J5,'KIDS&amp;ADULTS'!$B$3:$B$12008,$P$3)</f>
        <v>0</v>
      </c>
      <c r="Q5" s="375">
        <f>COUNTIFS('KIDS&amp;ADULTS'!$A$3:$A$1008,J5,'KIDS&amp;ADULTS'!$B$3:$B$1008,$Q$3)</f>
        <v>0</v>
      </c>
      <c r="R5" s="374">
        <f>COUNTIFS('KIDS&amp;ADULTS'!$A$3:$A$12008,J5,'KIDS&amp;ADULTS'!$B$3:$B$12008,$R$3)</f>
        <v>0</v>
      </c>
      <c r="U5" s="372">
        <f t="shared" ref="U5:U34" si="3">U4+1</f>
        <v>45201</v>
      </c>
      <c r="V5" s="376">
        <f>COUNTIFS('KIDS&amp;ADULTS'!$V$3:$V$12006,U5,'KIDS&amp;ADULTS'!$B$3:$B$12006,$K$3,'KIDS&amp;ADULTS'!$N$3:$N$12006,"Đã đóng học phí")</f>
        <v>0</v>
      </c>
      <c r="W5" s="376">
        <f>COUNTIFS('KIDS&amp;ADULTS'!$V$3:$V$12006,U5,'KIDS&amp;ADULTS'!$B$3:$B12007,$W$3,'KIDS&amp;ADULTS'!$N$3:$N$12006,"Đã đóng học phí")</f>
        <v>0</v>
      </c>
      <c r="X5" s="376">
        <f>COUNTIFS('KIDS&amp;ADULTS'!$V$3:$V$12006,U5,'KIDS&amp;ADULTS'!$B$3:$B$12006,$X$3,'KIDS&amp;ADULTS'!$N$3:$N$12006,"Đã đóng học phí")</f>
        <v>0</v>
      </c>
      <c r="Y5" s="376">
        <f>COUNTIFS('KIDS&amp;ADULTS'!$V$3:$V$12006,U5,'KIDS&amp;ADULTS'!$B$3:$B$12006,$Y$3,'KIDS&amp;ADULTS'!$N$3:$N$12006,"Đã đóng học phí")</f>
        <v>0</v>
      </c>
      <c r="Z5" s="376">
        <f>COUNTIFS('KIDS&amp;ADULTS'!$V$3:$V$12006,U5,'KIDS&amp;ADULTS'!$B$3:$B$12006,$Z$3,'KIDS&amp;ADULTS'!$N$3:$N$12006,"Đã đóng học phí")</f>
        <v>1</v>
      </c>
      <c r="AA5" s="376">
        <f>COUNTIFS('KIDS&amp;ADULTS'!$V$3:$V$12006,U5,'KIDS&amp;ADULTS'!$B$3:$B$12006,$AA$3,'KIDS&amp;ADULTS'!$N$3:$N$12006,"Đã đóng học phí")</f>
        <v>0</v>
      </c>
      <c r="AB5" s="376">
        <f>COUNTIFS('KIDS&amp;ADULTS'!$V$3:$V$12006,U5,'KIDS&amp;ADULTS'!$B$3:$B$12006,$AB$3,'KIDS&amp;ADULTS'!$N$3:$N$12006,"Đã đóng học phí")</f>
        <v>0</v>
      </c>
      <c r="AC5" s="376">
        <f>COUNTIFS('KIDS&amp;ADULTS'!$V$3:$V$12006,U5,'KIDS&amp;ADULTS'!$B$3:$B$12006,$AC$3,'KIDS&amp;ADULTS'!$N$3:$N$12006,"Đã đóng học phí")</f>
        <v>0</v>
      </c>
      <c r="AF5" s="381" t="s">
        <v>4622</v>
      </c>
      <c r="AG5" s="381">
        <f t="shared" ref="AG5:AN5" si="2">V35</f>
        <v>0</v>
      </c>
      <c r="AH5" s="381">
        <f t="shared" si="2"/>
        <v>0</v>
      </c>
      <c r="AI5" s="381">
        <f t="shared" si="2"/>
        <v>0</v>
      </c>
      <c r="AJ5" s="381">
        <f t="shared" si="2"/>
        <v>4</v>
      </c>
      <c r="AK5" s="381">
        <f t="shared" si="2"/>
        <v>4</v>
      </c>
      <c r="AL5" s="381">
        <f t="shared" si="2"/>
        <v>0</v>
      </c>
      <c r="AM5" s="381">
        <f t="shared" si="2"/>
        <v>0</v>
      </c>
      <c r="AN5" s="381">
        <f t="shared" si="2"/>
        <v>0</v>
      </c>
    </row>
    <row r="6" ht="15.75" customHeight="1">
      <c r="A6" s="372">
        <v>45202.0</v>
      </c>
      <c r="B6" s="373">
        <f>sumifs('KIDS&amp;ADULTS'!$Z$3:$Z$1015,'KIDS&amp;ADULTS'!$V$3:$V$1015,A6,'KIDS&amp;ADULTS'!$M$3:$M$1015,$B$3)</f>
        <v>0</v>
      </c>
      <c r="C6" s="373">
        <f>sumifs('KIDS&amp;ADULTS'!$Z$3:$Z$1015,'KIDS&amp;ADULTS'!$V$3:$V$1015,A6,'KIDS&amp;ADULTS'!$M$3:$M$1015,"phương")</f>
        <v>0</v>
      </c>
      <c r="D6" s="373">
        <f>sumifs('KIDS&amp;ADULTS'!$Z$3:$Z$1015,'KIDS&amp;ADULTS'!$V$3:$V$1015,A6,'KIDS&amp;ADULTS'!$M$3:$M$1015,$D$3)</f>
        <v>0</v>
      </c>
      <c r="E6" s="373">
        <f>sumifs('KIDS&amp;ADULTS'!$Z$3:$Z$1015,'KIDS&amp;ADULTS'!$V$3:$V$1015,A6,'KIDS&amp;ADULTS'!$M$3:$M$1015,"Ánh")</f>
        <v>0</v>
      </c>
      <c r="F6" s="373">
        <f>sumifs('KIDS&amp;ADULTS'!$Z$3:$Z$1015,'KIDS&amp;ADULTS'!$V$3:$V$1015,A6,'KIDS&amp;ADULTS'!$M$3:$M$1015,"Loan")</f>
        <v>0</v>
      </c>
      <c r="G6" s="373">
        <f t="shared" si="1"/>
        <v>0</v>
      </c>
      <c r="J6" s="372">
        <v>45202.0</v>
      </c>
      <c r="K6" s="374">
        <f>COUNTIFS('KIDS&amp;ADULTS'!$A$3:$A$12008,J6,'KIDS&amp;ADULTS'!$B$3:$B$12008,$K$3)</f>
        <v>0</v>
      </c>
      <c r="L6" s="374">
        <f>COUNTIFS('KIDS&amp;ADULTS'!$A$3:$A$12008,J6,'KIDS&amp;ADULTS'!$B$3:$B$12008,$L$3)</f>
        <v>0</v>
      </c>
      <c r="M6" s="374">
        <f>COUNTIFS('KIDS&amp;ADULTS'!$A$3:$A$12008,J6,'KIDS&amp;ADULTS'!$B$3:$B$12008,$M$3)</f>
        <v>0</v>
      </c>
      <c r="N6" s="375">
        <f>COUNTIFS('KIDS&amp;ADULTS'!$A$3:$A$12008,J6,'KIDS&amp;ADULTS'!$B$3:$B$12008,$N$3)</f>
        <v>0</v>
      </c>
      <c r="O6" s="375">
        <f>COUNTIFS('KIDS&amp;ADULTS'!$A$3:$A$12008,J6,'KIDS&amp;ADULTS'!$B$3:$B$12008,$O$3)</f>
        <v>0</v>
      </c>
      <c r="P6" s="375">
        <f>COUNTIFS('KIDS&amp;ADULTS'!$A$3:$A$12008,J6,'KIDS&amp;ADULTS'!$B$3:$B$12008,$P$3)</f>
        <v>0</v>
      </c>
      <c r="Q6" s="375">
        <f>COUNTIFS('KIDS&amp;ADULTS'!$A$3:$A$1008,J6,'KIDS&amp;ADULTS'!$B$3:$B$1008,$Q$3)</f>
        <v>3</v>
      </c>
      <c r="R6" s="374">
        <f>COUNTIFS('KIDS&amp;ADULTS'!$A$3:$A$12008,J6,'KIDS&amp;ADULTS'!$B$3:$B$12008,$R$3)</f>
        <v>0</v>
      </c>
      <c r="U6" s="372">
        <f t="shared" si="3"/>
        <v>45202</v>
      </c>
      <c r="V6" s="376">
        <f>COUNTIFS('KIDS&amp;ADULTS'!$V$3:$V$12006,U6,'KIDS&amp;ADULTS'!$B$3:$B$12006,$K$3,'KIDS&amp;ADULTS'!$N$3:$N$12006,"Đã đóng học phí")</f>
        <v>0</v>
      </c>
      <c r="W6" s="376">
        <f>COUNTIFS('KIDS&amp;ADULTS'!$V$3:$V$12006,U6,'KIDS&amp;ADULTS'!$B$3:$B12008,$W$3,'KIDS&amp;ADULTS'!$N$3:$N$12006,"Đã đóng học phí")</f>
        <v>0</v>
      </c>
      <c r="X6" s="376">
        <f>COUNTIFS('KIDS&amp;ADULTS'!$V$3:$V$12006,U6,'KIDS&amp;ADULTS'!$B$3:$B$12006,$X$3,'KIDS&amp;ADULTS'!$N$3:$N$12006,"Đã đóng học phí")</f>
        <v>0</v>
      </c>
      <c r="Y6" s="376">
        <f>COUNTIFS('KIDS&amp;ADULTS'!$V$3:$V$12006,U6,'KIDS&amp;ADULTS'!$B$3:$B$12006,$Y$3,'KIDS&amp;ADULTS'!$N$3:$N$12006,"Đã đóng học phí")</f>
        <v>0</v>
      </c>
      <c r="Z6" s="376">
        <f>COUNTIFS('KIDS&amp;ADULTS'!$V$3:$V$12006,U6,'KIDS&amp;ADULTS'!$B$3:$B$12006,$Z$3,'KIDS&amp;ADULTS'!$N$3:$N$12006,"Đã đóng học phí")</f>
        <v>0</v>
      </c>
      <c r="AA6" s="376">
        <f>COUNTIFS('KIDS&amp;ADULTS'!$V$3:$V$12006,U6,'KIDS&amp;ADULTS'!$B$3:$B$12006,$AA$3,'KIDS&amp;ADULTS'!$N$3:$N$12006,"Đã đóng học phí")</f>
        <v>0</v>
      </c>
      <c r="AB6" s="376">
        <f>COUNTIFS('KIDS&amp;ADULTS'!$V$3:$V$12006,U6,'KIDS&amp;ADULTS'!$B$3:$B$12006,$AB$3,'KIDS&amp;ADULTS'!$N$3:$N$12006,"Đã đóng học phí")</f>
        <v>0</v>
      </c>
      <c r="AC6" s="376">
        <f>COUNTIFS('KIDS&amp;ADULTS'!$V$3:$V$12006,U6,'KIDS&amp;ADULTS'!$B$3:$B$12006,$AC$3,'KIDS&amp;ADULTS'!$N$3:$N$12006,"Đã đóng học phí")</f>
        <v>0</v>
      </c>
    </row>
    <row r="7" ht="15.75" customHeight="1">
      <c r="A7" s="372">
        <v>45203.0</v>
      </c>
      <c r="B7" s="373">
        <f>sumifs('KIDS&amp;ADULTS'!$Z$3:$Z$1015,'KIDS&amp;ADULTS'!$V$3:$V$1015,A7,'KIDS&amp;ADULTS'!$M$3:$M$1015,$B$3)</f>
        <v>0</v>
      </c>
      <c r="C7" s="373">
        <f>sumifs('KIDS&amp;ADULTS'!$Z$3:$Z$1015,'KIDS&amp;ADULTS'!$V$3:$V$1015,A7,'KIDS&amp;ADULTS'!$M$3:$M$1015,"phương")</f>
        <v>0</v>
      </c>
      <c r="D7" s="373">
        <f>sumifs('KIDS&amp;ADULTS'!$Z$3:$Z$1015,'KIDS&amp;ADULTS'!$V$3:$V$1015,A7,'KIDS&amp;ADULTS'!$M$3:$M$1015,$D$3)</f>
        <v>0</v>
      </c>
      <c r="E7" s="373">
        <f>sumifs('KIDS&amp;ADULTS'!$Z$3:$Z$1015,'KIDS&amp;ADULTS'!$V$3:$V$1015,A7,'KIDS&amp;ADULTS'!$M$3:$M$1015,"Ánh")</f>
        <v>0</v>
      </c>
      <c r="F7" s="373">
        <f>sumifs('KIDS&amp;ADULTS'!$Z$3:$Z$1015,'KIDS&amp;ADULTS'!$V$3:$V$1015,A7,'KIDS&amp;ADULTS'!$M$3:$M$1015,"Loan")</f>
        <v>0</v>
      </c>
      <c r="G7" s="373">
        <f t="shared" si="1"/>
        <v>0</v>
      </c>
      <c r="J7" s="372">
        <v>45203.0</v>
      </c>
      <c r="K7" s="374">
        <f>COUNTIFS('KIDS&amp;ADULTS'!$A$3:$A$12008,J7,'KIDS&amp;ADULTS'!$B$3:$B$12008,$K$3)</f>
        <v>0</v>
      </c>
      <c r="L7" s="374">
        <f>COUNTIFS('KIDS&amp;ADULTS'!$A$3:$A$12008,J7,'KIDS&amp;ADULTS'!$B$3:$B$12008,$L$3)</f>
        <v>0</v>
      </c>
      <c r="M7" s="374">
        <f>COUNTIFS('KIDS&amp;ADULTS'!$A$3:$A$12008,J7,'KIDS&amp;ADULTS'!$B$3:$B$12008,$M$3)</f>
        <v>0</v>
      </c>
      <c r="N7" s="375">
        <f>COUNTIFS('KIDS&amp;ADULTS'!$A$3:$A$12008,J7,'KIDS&amp;ADULTS'!$B$3:$B$12008,$N$3)</f>
        <v>0</v>
      </c>
      <c r="O7" s="375">
        <f>COUNTIFS('KIDS&amp;ADULTS'!$A$3:$A$12008,J7,'KIDS&amp;ADULTS'!$B$3:$B$12008,$O$3)</f>
        <v>0</v>
      </c>
      <c r="P7" s="375">
        <f>COUNTIFS('KIDS&amp;ADULTS'!$A$3:$A$12008,J7,'KIDS&amp;ADULTS'!$B$3:$B$12008,$P$3)</f>
        <v>0</v>
      </c>
      <c r="Q7" s="375">
        <f>COUNTIFS('KIDS&amp;ADULTS'!$A$3:$A$1008,J7,'KIDS&amp;ADULTS'!$B$3:$B$1008,$Q$3)</f>
        <v>0</v>
      </c>
      <c r="R7" s="374">
        <f>COUNTIFS('KIDS&amp;ADULTS'!$A$3:$A$12008,J7,'KIDS&amp;ADULTS'!$B$3:$B$12008,$R$3)</f>
        <v>0</v>
      </c>
      <c r="U7" s="372">
        <f t="shared" si="3"/>
        <v>45203</v>
      </c>
      <c r="V7" s="376">
        <f>COUNTIFS('KIDS&amp;ADULTS'!$V$3:$V$12006,U7,'KIDS&amp;ADULTS'!$B$3:$B$12006,$K$3,'KIDS&amp;ADULTS'!$N$3:$N$12006,"Đã đóng học phí")</f>
        <v>0</v>
      </c>
      <c r="W7" s="376">
        <f>COUNTIFS('KIDS&amp;ADULTS'!$V$3:$V$12006,U7,'KIDS&amp;ADULTS'!$B$3:$B12009,$W$3,'KIDS&amp;ADULTS'!$N$3:$N$12006,"Đã đóng học phí")</f>
        <v>0</v>
      </c>
      <c r="X7" s="376">
        <f>COUNTIFS('KIDS&amp;ADULTS'!$V$3:$V$12006,U7,'KIDS&amp;ADULTS'!$B$3:$B$12006,$X$3,'KIDS&amp;ADULTS'!$N$3:$N$12006,"Đã đóng học phí")</f>
        <v>0</v>
      </c>
      <c r="Y7" s="376">
        <f>COUNTIFS('KIDS&amp;ADULTS'!$V$3:$V$12006,U7,'KIDS&amp;ADULTS'!$B$3:$B$12006,$Y$3,'KIDS&amp;ADULTS'!$N$3:$N$12006,"Đã đóng học phí")</f>
        <v>0</v>
      </c>
      <c r="Z7" s="376">
        <f>COUNTIFS('KIDS&amp;ADULTS'!$V$3:$V$12006,U7,'KIDS&amp;ADULTS'!$B$3:$B$12006,$Z$3,'KIDS&amp;ADULTS'!$N$3:$N$12006,"Đã đóng học phí")</f>
        <v>0</v>
      </c>
      <c r="AA7" s="376">
        <f>COUNTIFS('KIDS&amp;ADULTS'!$V$3:$V$12006,U7,'KIDS&amp;ADULTS'!$B$3:$B$12006,$AA$3,'KIDS&amp;ADULTS'!$N$3:$N$12006,"Đã đóng học phí")</f>
        <v>0</v>
      </c>
      <c r="AB7" s="376">
        <f>COUNTIFS('KIDS&amp;ADULTS'!$V$3:$V$12006,U7,'KIDS&amp;ADULTS'!$B$3:$B$12006,$AB$3,'KIDS&amp;ADULTS'!$N$3:$N$12006,"Đã đóng học phí")</f>
        <v>0</v>
      </c>
      <c r="AC7" s="376">
        <f>COUNTIFS('KIDS&amp;ADULTS'!$V$3:$V$12006,U7,'KIDS&amp;ADULTS'!$B$3:$B$12006,$AC$3,'KIDS&amp;ADULTS'!$N$3:$N$12006,"Đã đóng học phí")</f>
        <v>0</v>
      </c>
      <c r="AF7" s="358" t="s">
        <v>4623</v>
      </c>
    </row>
    <row r="8" ht="15.75" customHeight="1">
      <c r="A8" s="372">
        <v>45204.0</v>
      </c>
      <c r="B8" s="373">
        <f>sumifs('KIDS&amp;ADULTS'!$Z$3:$Z$1015,'KIDS&amp;ADULTS'!$V$3:$V$1015,A8,'KIDS&amp;ADULTS'!$M$3:$M$1015,$B$3)</f>
        <v>0</v>
      </c>
      <c r="C8" s="373">
        <f>sumifs('KIDS&amp;ADULTS'!$Z$3:$Z$1015,'KIDS&amp;ADULTS'!$V$3:$V$1015,A8,'KIDS&amp;ADULTS'!$M$3:$M$1015,"phương")</f>
        <v>0</v>
      </c>
      <c r="D8" s="373">
        <f>sumifs('KIDS&amp;ADULTS'!$Z$3:$Z$1015,'KIDS&amp;ADULTS'!$V$3:$V$1015,A8,'KIDS&amp;ADULTS'!$M$3:$M$1015,$D$3)</f>
        <v>0</v>
      </c>
      <c r="E8" s="373">
        <f>sumifs('KIDS&amp;ADULTS'!$Z$3:$Z$1015,'KIDS&amp;ADULTS'!$V$3:$V$1015,A8,'KIDS&amp;ADULTS'!$M$3:$M$1015,"Ánh")</f>
        <v>0</v>
      </c>
      <c r="F8" s="373">
        <f>sumifs('KIDS&amp;ADULTS'!$Z$3:$Z$1015,'KIDS&amp;ADULTS'!$V$3:$V$1015,A8,'KIDS&amp;ADULTS'!$M$3:$M$1015,"Loan")</f>
        <v>0</v>
      </c>
      <c r="G8" s="373">
        <f t="shared" si="1"/>
        <v>0</v>
      </c>
      <c r="J8" s="372">
        <v>45204.0</v>
      </c>
      <c r="K8" s="374">
        <f>COUNTIFS('KIDS&amp;ADULTS'!$A$3:$A$12008,J8,'KIDS&amp;ADULTS'!$B$3:$B$12008,$K$3)</f>
        <v>0</v>
      </c>
      <c r="L8" s="374">
        <f>COUNTIFS('KIDS&amp;ADULTS'!$A$3:$A$12008,J8,'KIDS&amp;ADULTS'!$B$3:$B$12008,$L$3)</f>
        <v>0</v>
      </c>
      <c r="M8" s="374">
        <f>COUNTIFS('KIDS&amp;ADULTS'!$A$3:$A$12008,J8,'KIDS&amp;ADULTS'!$B$3:$B$12008,$M$3)</f>
        <v>0</v>
      </c>
      <c r="N8" s="375">
        <f>COUNTIFS('KIDS&amp;ADULTS'!$A$3:$A$12008,J8,'KIDS&amp;ADULTS'!$B$3:$B$12008,$N$3)</f>
        <v>0</v>
      </c>
      <c r="O8" s="375">
        <f>COUNTIFS('KIDS&amp;ADULTS'!$A$3:$A$12008,J8,'KIDS&amp;ADULTS'!$B$3:$B$12008,$O$3)</f>
        <v>0</v>
      </c>
      <c r="P8" s="375">
        <f>COUNTIFS('KIDS&amp;ADULTS'!$A$3:$A$12008,J8,'KIDS&amp;ADULTS'!$B$3:$B$12008,$P$3)</f>
        <v>0</v>
      </c>
      <c r="Q8" s="375">
        <f>COUNTIFS('KIDS&amp;ADULTS'!$A$3:$A$1008,J8,'KIDS&amp;ADULTS'!$B$3:$B$1008,$Q$3)</f>
        <v>0</v>
      </c>
      <c r="R8" s="374">
        <f>COUNTIFS('KIDS&amp;ADULTS'!$A$3:$A$12008,J8,'KIDS&amp;ADULTS'!$B$3:$B$12008,$R$3)</f>
        <v>0</v>
      </c>
      <c r="U8" s="372">
        <f t="shared" si="3"/>
        <v>45204</v>
      </c>
      <c r="V8" s="376">
        <f>COUNTIFS('KIDS&amp;ADULTS'!$V$3:$V$12006,U8,'KIDS&amp;ADULTS'!$B$3:$B$12006,$K$3,'KIDS&amp;ADULTS'!$N$3:$N$12006,"Đã đóng học phí")</f>
        <v>0</v>
      </c>
      <c r="W8" s="376">
        <f>COUNTIFS('KIDS&amp;ADULTS'!$V$3:$V$12006,U8,'KIDS&amp;ADULTS'!$B$3:$B12010,$W$3,'KIDS&amp;ADULTS'!$N$3:$N$12006,"Đã đóng học phí")</f>
        <v>0</v>
      </c>
      <c r="X8" s="376">
        <f>COUNTIFS('KIDS&amp;ADULTS'!$V$3:$V$12006,U8,'KIDS&amp;ADULTS'!$B$3:$B$12006,$X$3,'KIDS&amp;ADULTS'!$N$3:$N$12006,"Đã đóng học phí")</f>
        <v>0</v>
      </c>
      <c r="Y8" s="376">
        <f>COUNTIFS('KIDS&amp;ADULTS'!$V$3:$V$12006,U8,'KIDS&amp;ADULTS'!$B$3:$B$12006,$Y$3,'KIDS&amp;ADULTS'!$N$3:$N$12006,"Đã đóng học phí")</f>
        <v>0</v>
      </c>
      <c r="Z8" s="376">
        <f>COUNTIFS('KIDS&amp;ADULTS'!$V$3:$V$12006,U8,'KIDS&amp;ADULTS'!$B$3:$B$12006,$Z$3,'KIDS&amp;ADULTS'!$N$3:$N$12006,"Đã đóng học phí")</f>
        <v>0</v>
      </c>
      <c r="AA8" s="376">
        <f>COUNTIFS('KIDS&amp;ADULTS'!$V$3:$V$12006,U8,'KIDS&amp;ADULTS'!$B$3:$B$12006,$AA$3,'KIDS&amp;ADULTS'!$N$3:$N$12006,"Đã đóng học phí")</f>
        <v>0</v>
      </c>
      <c r="AB8" s="376">
        <f>COUNTIFS('KIDS&amp;ADULTS'!$V$3:$V$12006,U8,'KIDS&amp;ADULTS'!$B$3:$B$12006,$AB$3,'KIDS&amp;ADULTS'!$N$3:$N$12006,"Đã đóng học phí")</f>
        <v>0</v>
      </c>
      <c r="AC8" s="376">
        <f>COUNTIFS('KIDS&amp;ADULTS'!$V$3:$V$12006,U8,'KIDS&amp;ADULTS'!$B$3:$B$12006,$AC$3,'KIDS&amp;ADULTS'!$N$3:$N$12006,"Đã đóng học phí")</f>
        <v>0</v>
      </c>
      <c r="AF8" s="361" t="s">
        <v>4613</v>
      </c>
      <c r="AG8" s="363" t="s">
        <v>4616</v>
      </c>
      <c r="AH8" s="235"/>
      <c r="AI8" s="235"/>
      <c r="AJ8" s="235"/>
      <c r="AK8" s="235"/>
      <c r="AL8" s="235"/>
      <c r="AM8" s="235"/>
      <c r="AN8" s="236"/>
    </row>
    <row r="9" ht="15.75" customHeight="1">
      <c r="A9" s="372">
        <v>45205.0</v>
      </c>
      <c r="B9" s="373">
        <f>sumifs('KIDS&amp;ADULTS'!$Z$3:$Z$1015,'KIDS&amp;ADULTS'!$V$3:$V$1015,A9,'KIDS&amp;ADULTS'!$M$3:$M$1015,$B$3)</f>
        <v>0</v>
      </c>
      <c r="C9" s="373">
        <f>sumifs('KIDS&amp;ADULTS'!$Z$3:$Z$1015,'KIDS&amp;ADULTS'!$V$3:$V$1015,A9,'KIDS&amp;ADULTS'!$M$3:$M$1015,"phương")</f>
        <v>0</v>
      </c>
      <c r="D9" s="373">
        <f>sumifs('KIDS&amp;ADULTS'!$Z$3:$Z$1015,'KIDS&amp;ADULTS'!$V$3:$V$1015,A9,'KIDS&amp;ADULTS'!$M$3:$M$1015,$D$3)</f>
        <v>0</v>
      </c>
      <c r="E9" s="373">
        <f>sumifs('KIDS&amp;ADULTS'!$Z$3:$Z$1015,'KIDS&amp;ADULTS'!$V$3:$V$1015,A9,'KIDS&amp;ADULTS'!$M$3:$M$1015,"Ánh")</f>
        <v>0</v>
      </c>
      <c r="F9" s="373">
        <f>sumifs('KIDS&amp;ADULTS'!$Z$3:$Z$1015,'KIDS&amp;ADULTS'!$V$3:$V$1015,A9,'KIDS&amp;ADULTS'!$M$3:$M$1015,"Loan")</f>
        <v>0</v>
      </c>
      <c r="G9" s="373">
        <f t="shared" si="1"/>
        <v>0</v>
      </c>
      <c r="J9" s="372">
        <v>45205.0</v>
      </c>
      <c r="K9" s="374">
        <f>COUNTIFS('KIDS&amp;ADULTS'!$A$3:$A$12008,J9,'KIDS&amp;ADULTS'!$B$3:$B$12008,$K$3)</f>
        <v>0</v>
      </c>
      <c r="L9" s="374">
        <f>COUNTIFS('KIDS&amp;ADULTS'!$A$3:$A$12008,J9,'KIDS&amp;ADULTS'!$B$3:$B$12008,$L$3)</f>
        <v>0</v>
      </c>
      <c r="M9" s="374">
        <f>COUNTIFS('KIDS&amp;ADULTS'!$A$3:$A$12008,J9,'KIDS&amp;ADULTS'!$B$3:$B$12008,$M$3)</f>
        <v>0</v>
      </c>
      <c r="N9" s="375">
        <f>COUNTIFS('KIDS&amp;ADULTS'!$A$3:$A$12008,J9,'KIDS&amp;ADULTS'!$B$3:$B$12008,$N$3)</f>
        <v>0</v>
      </c>
      <c r="O9" s="375">
        <f>COUNTIFS('KIDS&amp;ADULTS'!$A$3:$A$12008,J9,'KIDS&amp;ADULTS'!$B$3:$B$12008,$O$3)</f>
        <v>0</v>
      </c>
      <c r="P9" s="375">
        <f>COUNTIFS('KIDS&amp;ADULTS'!$A$3:$A$12008,J9,'KIDS&amp;ADULTS'!$B$3:$B$12008,$P$3)</f>
        <v>0</v>
      </c>
      <c r="Q9" s="375">
        <f>COUNTIFS('KIDS&amp;ADULTS'!$A$3:$A$1008,J9,'KIDS&amp;ADULTS'!$B$3:$B$1008,$Q$3)</f>
        <v>0</v>
      </c>
      <c r="R9" s="374">
        <f>COUNTIFS('KIDS&amp;ADULTS'!$A$3:$A$12008,J9,'KIDS&amp;ADULTS'!$B$3:$B$12008,$R$3)</f>
        <v>0</v>
      </c>
      <c r="U9" s="372">
        <f t="shared" si="3"/>
        <v>45205</v>
      </c>
      <c r="V9" s="376">
        <f>COUNTIFS('KIDS&amp;ADULTS'!$V$3:$V$12006,U9,'KIDS&amp;ADULTS'!$B$3:$B$12006,$K$3,'KIDS&amp;ADULTS'!$N$3:$N$12006,"Đã đóng học phí")</f>
        <v>0</v>
      </c>
      <c r="W9" s="376">
        <f>COUNTIFS('KIDS&amp;ADULTS'!$V$3:$V$12006,U9,'KIDS&amp;ADULTS'!$B$3:$B12011,$W$3,'KIDS&amp;ADULTS'!$N$3:$N$12006,"Đã đóng học phí")</f>
        <v>0</v>
      </c>
      <c r="X9" s="376">
        <f>COUNTIFS('KIDS&amp;ADULTS'!$V$3:$V$12006,U9,'KIDS&amp;ADULTS'!$B$3:$B$12006,$X$3,'KIDS&amp;ADULTS'!$N$3:$N$12006,"Đã đóng học phí")</f>
        <v>0</v>
      </c>
      <c r="Y9" s="376">
        <f>COUNTIFS('KIDS&amp;ADULTS'!$V$3:$V$12006,U9,'KIDS&amp;ADULTS'!$B$3:$B$12006,$Y$3,'KIDS&amp;ADULTS'!$N$3:$N$12006,"Đã đóng học phí")</f>
        <v>0</v>
      </c>
      <c r="Z9" s="376">
        <f>COUNTIFS('KIDS&amp;ADULTS'!$V$3:$V$12006,U9,'KIDS&amp;ADULTS'!$B$3:$B$12006,$Z$3,'KIDS&amp;ADULTS'!$N$3:$N$12006,"Đã đóng học phí")</f>
        <v>0</v>
      </c>
      <c r="AA9" s="376">
        <f>COUNTIFS('KIDS&amp;ADULTS'!$V$3:$V$12006,U9,'KIDS&amp;ADULTS'!$B$3:$B$12006,$AA$3,'KIDS&amp;ADULTS'!$N$3:$N$12006,"Đã đóng học phí")</f>
        <v>0</v>
      </c>
      <c r="AB9" s="376">
        <f>COUNTIFS('KIDS&amp;ADULTS'!$V$3:$V$12006,U9,'KIDS&amp;ADULTS'!$B$3:$B$12006,$AB$3,'KIDS&amp;ADULTS'!$N$3:$N$12006,"Đã đóng học phí")</f>
        <v>0</v>
      </c>
      <c r="AC9" s="376">
        <f>COUNTIFS('KIDS&amp;ADULTS'!$V$3:$V$12006,U9,'KIDS&amp;ADULTS'!$B$3:$B$12006,$AC$3,'KIDS&amp;ADULTS'!$N$3:$N$12006,"Đã đóng học phí")</f>
        <v>0</v>
      </c>
      <c r="AF9" s="11"/>
      <c r="AG9" s="366" t="s">
        <v>4620</v>
      </c>
      <c r="AH9" s="367" t="s">
        <v>4621</v>
      </c>
      <c r="AI9" s="368" t="s">
        <v>73</v>
      </c>
      <c r="AJ9" s="369" t="s">
        <v>201</v>
      </c>
      <c r="AK9" s="370" t="s">
        <v>84</v>
      </c>
      <c r="AL9" s="371" t="s">
        <v>60</v>
      </c>
      <c r="AM9" s="371" t="s">
        <v>539</v>
      </c>
      <c r="AN9" s="371" t="s">
        <v>703</v>
      </c>
    </row>
    <row r="10" ht="15.75" customHeight="1">
      <c r="A10" s="372">
        <v>45206.0</v>
      </c>
      <c r="B10" s="373">
        <f>sumifs('KIDS&amp;ADULTS'!$Z$3:$Z$1015,'KIDS&amp;ADULTS'!$V$3:$V$1015,A10,'KIDS&amp;ADULTS'!$M$3:$M$1015,$B$3)</f>
        <v>0</v>
      </c>
      <c r="C10" s="373">
        <f>sumifs('KIDS&amp;ADULTS'!$Z$3:$Z$1015,'KIDS&amp;ADULTS'!$V$3:$V$1015,A10,'KIDS&amp;ADULTS'!$M$3:$M$1015,"phương")</f>
        <v>0</v>
      </c>
      <c r="D10" s="373">
        <f>sumifs('KIDS&amp;ADULTS'!$Z$3:$Z$1015,'KIDS&amp;ADULTS'!$V$3:$V$1015,A10,'KIDS&amp;ADULTS'!$M$3:$M$1015,$D$3)</f>
        <v>0</v>
      </c>
      <c r="E10" s="373">
        <f>sumifs('KIDS&amp;ADULTS'!$Z$3:$Z$1015,'KIDS&amp;ADULTS'!$V$3:$V$1015,A10,'KIDS&amp;ADULTS'!$M$3:$M$1015,"Ánh")</f>
        <v>0</v>
      </c>
      <c r="F10" s="373">
        <f>sumifs('KIDS&amp;ADULTS'!$Z$3:$Z$1015,'KIDS&amp;ADULTS'!$V$3:$V$1015,A10,'KIDS&amp;ADULTS'!$M$3:$M$1015,"Loan")</f>
        <v>0</v>
      </c>
      <c r="G10" s="373">
        <f t="shared" si="1"/>
        <v>0</v>
      </c>
      <c r="J10" s="372">
        <v>45206.0</v>
      </c>
      <c r="K10" s="374">
        <f>COUNTIFS('KIDS&amp;ADULTS'!$A$3:$A$12008,J10,'KIDS&amp;ADULTS'!$B$3:$B$12008,$K$3)</f>
        <v>0</v>
      </c>
      <c r="L10" s="374">
        <f>COUNTIFS('KIDS&amp;ADULTS'!$A$3:$A$12008,J10,'KIDS&amp;ADULTS'!$B$3:$B$12008,$L$3)</f>
        <v>0</v>
      </c>
      <c r="M10" s="374">
        <f>COUNTIFS('KIDS&amp;ADULTS'!$A$3:$A$12008,J10,'KIDS&amp;ADULTS'!$B$3:$B$12008,$M$3)</f>
        <v>0</v>
      </c>
      <c r="N10" s="375">
        <f>COUNTIFS('KIDS&amp;ADULTS'!$A$3:$A$12008,J10,'KIDS&amp;ADULTS'!$B$3:$B$12008,$N$3)</f>
        <v>0</v>
      </c>
      <c r="O10" s="375">
        <f>COUNTIFS('KIDS&amp;ADULTS'!$A$3:$A$12008,J10,'KIDS&amp;ADULTS'!$B$3:$B$12008,$O$3)</f>
        <v>1</v>
      </c>
      <c r="P10" s="375">
        <f>COUNTIFS('KIDS&amp;ADULTS'!$A$3:$A$12008,J10,'KIDS&amp;ADULTS'!$B$3:$B$12008,$P$3)</f>
        <v>0</v>
      </c>
      <c r="Q10" s="375">
        <f>COUNTIFS('KIDS&amp;ADULTS'!$A$3:$A$1008,J10,'KIDS&amp;ADULTS'!$B$3:$B$1008,$Q$3)</f>
        <v>0</v>
      </c>
      <c r="R10" s="374">
        <f>COUNTIFS('KIDS&amp;ADULTS'!$A$3:$A$12008,J10,'KIDS&amp;ADULTS'!$B$3:$B$12008,$R$3)</f>
        <v>0</v>
      </c>
      <c r="U10" s="372">
        <f t="shared" si="3"/>
        <v>45206</v>
      </c>
      <c r="V10" s="376">
        <f>COUNTIFS('KIDS&amp;ADULTS'!$V$3:$V$12006,U10,'KIDS&amp;ADULTS'!$B$3:$B$12006,$K$3,'KIDS&amp;ADULTS'!$N$3:$N$12006,"Đã đóng học phí")</f>
        <v>0</v>
      </c>
      <c r="W10" s="376">
        <f>COUNTIFS('KIDS&amp;ADULTS'!$V$3:$V$12006,U10,'KIDS&amp;ADULTS'!$B$3:$B12012,$W$3,'KIDS&amp;ADULTS'!$N$3:$N$12006,"Đã đóng học phí")</f>
        <v>0</v>
      </c>
      <c r="X10" s="376">
        <f>COUNTIFS('KIDS&amp;ADULTS'!$V$3:$V$12006,U10,'KIDS&amp;ADULTS'!$B$3:$B$12006,$X$3,'KIDS&amp;ADULTS'!$N$3:$N$12006,"Đã đóng học phí")</f>
        <v>0</v>
      </c>
      <c r="Y10" s="376">
        <f>COUNTIFS('KIDS&amp;ADULTS'!$V$3:$V$12006,U10,'KIDS&amp;ADULTS'!$B$3:$B$12006,$Y$3,'KIDS&amp;ADULTS'!$N$3:$N$12006,"Đã đóng học phí")</f>
        <v>0</v>
      </c>
      <c r="Z10" s="376">
        <f>COUNTIFS('KIDS&amp;ADULTS'!$V$3:$V$12006,U10,'KIDS&amp;ADULTS'!$B$3:$B$12006,$Z$3,'KIDS&amp;ADULTS'!$N$3:$N$12006,"Đã đóng học phí")</f>
        <v>0</v>
      </c>
      <c r="AA10" s="376">
        <f>COUNTIFS('KIDS&amp;ADULTS'!$V$3:$V$12006,U10,'KIDS&amp;ADULTS'!$B$3:$B$12006,$AA$3,'KIDS&amp;ADULTS'!$N$3:$N$12006,"Đã đóng học phí")</f>
        <v>0</v>
      </c>
      <c r="AB10" s="376">
        <f>COUNTIFS('KIDS&amp;ADULTS'!$V$3:$V$12006,U10,'KIDS&amp;ADULTS'!$B$3:$B$12006,$AB$3,'KIDS&amp;ADULTS'!$N$3:$N$12006,"Đã đóng học phí")</f>
        <v>0</v>
      </c>
      <c r="AC10" s="376">
        <f>COUNTIFS('KIDS&amp;ADULTS'!$V$3:$V$12006,U10,'KIDS&amp;ADULTS'!$B$3:$B$12006,$AC$3,'KIDS&amp;ADULTS'!$N$3:$N$12006,"Đã đóng học phí")</f>
        <v>0</v>
      </c>
      <c r="AF10" s="381" t="s">
        <v>4622</v>
      </c>
      <c r="AG10" s="382">
        <f t="shared" ref="AG10:AN10" si="4">V72</f>
        <v>0</v>
      </c>
      <c r="AH10" s="382">
        <f t="shared" si="4"/>
        <v>0</v>
      </c>
      <c r="AI10" s="382">
        <f t="shared" si="4"/>
        <v>0</v>
      </c>
      <c r="AJ10" s="382">
        <f t="shared" si="4"/>
        <v>16265000</v>
      </c>
      <c r="AK10" s="382">
        <f t="shared" si="4"/>
        <v>34386500</v>
      </c>
      <c r="AL10" s="382">
        <f t="shared" si="4"/>
        <v>0</v>
      </c>
      <c r="AM10" s="382">
        <f t="shared" si="4"/>
        <v>0</v>
      </c>
      <c r="AN10" s="382">
        <f t="shared" si="4"/>
        <v>0</v>
      </c>
    </row>
    <row r="11" ht="15.75" customHeight="1">
      <c r="A11" s="372">
        <v>45207.0</v>
      </c>
      <c r="B11" s="373">
        <f>sumifs('KIDS&amp;ADULTS'!$Z$3:$Z$1015,'KIDS&amp;ADULTS'!$V$3:$V$1015,A11,'KIDS&amp;ADULTS'!$M$3:$M$1015,$B$3)</f>
        <v>0</v>
      </c>
      <c r="C11" s="373">
        <f>sumifs('KIDS&amp;ADULTS'!$Z$3:$Z$1015,'KIDS&amp;ADULTS'!$V$3:$V$1015,A11,'KIDS&amp;ADULTS'!$M$3:$M$1015,"phương")</f>
        <v>0</v>
      </c>
      <c r="D11" s="373">
        <f>sumifs('KIDS&amp;ADULTS'!$Z$3:$Z$1015,'KIDS&amp;ADULTS'!$V$3:$V$1015,A11,'KIDS&amp;ADULTS'!$M$3:$M$1015,$D$3)</f>
        <v>0</v>
      </c>
      <c r="E11" s="373">
        <f>sumifs('KIDS&amp;ADULTS'!$Z$3:$Z$1015,'KIDS&amp;ADULTS'!$V$3:$V$1015,A11,'KIDS&amp;ADULTS'!$M$3:$M$1015,"Ánh")</f>
        <v>0</v>
      </c>
      <c r="F11" s="373">
        <f>sumifs('KIDS&amp;ADULTS'!$Z$3:$Z$1015,'KIDS&amp;ADULTS'!$V$3:$V$1015,A11,'KIDS&amp;ADULTS'!$M$3:$M$1015,"Loan")</f>
        <v>0</v>
      </c>
      <c r="G11" s="373">
        <f t="shared" si="1"/>
        <v>0</v>
      </c>
      <c r="J11" s="372">
        <v>45207.0</v>
      </c>
      <c r="K11" s="374">
        <f>COUNTIFS('KIDS&amp;ADULTS'!$A$3:$A$12008,J11,'KIDS&amp;ADULTS'!$B$3:$B$12008,$K$3)</f>
        <v>0</v>
      </c>
      <c r="L11" s="374">
        <f>COUNTIFS('KIDS&amp;ADULTS'!$A$3:$A$12008,J11,'KIDS&amp;ADULTS'!$B$3:$B$12008,$L$3)</f>
        <v>0</v>
      </c>
      <c r="M11" s="374">
        <f>COUNTIFS('KIDS&amp;ADULTS'!$A$3:$A$12008,J11,'KIDS&amp;ADULTS'!$B$3:$B$12008,$M$3)</f>
        <v>0</v>
      </c>
      <c r="N11" s="375">
        <f>COUNTIFS('KIDS&amp;ADULTS'!$A$3:$A$12008,J11,'KIDS&amp;ADULTS'!$B$3:$B$12008,$N$3)</f>
        <v>0</v>
      </c>
      <c r="O11" s="375">
        <f>COUNTIFS('KIDS&amp;ADULTS'!$A$3:$A$12008,J11,'KIDS&amp;ADULTS'!$B$3:$B$12008,$O$3)</f>
        <v>0</v>
      </c>
      <c r="P11" s="375">
        <f>COUNTIFS('KIDS&amp;ADULTS'!$A$3:$A$12008,J11,'KIDS&amp;ADULTS'!$B$3:$B$12008,$P$3)</f>
        <v>0</v>
      </c>
      <c r="Q11" s="375">
        <f>COUNTIFS('KIDS&amp;ADULTS'!$A$3:$A$1008,J11,'KIDS&amp;ADULTS'!$B$3:$B$1008,$Q$3)</f>
        <v>0</v>
      </c>
      <c r="R11" s="374">
        <f>COUNTIFS('KIDS&amp;ADULTS'!$A$3:$A$12008,J11,'KIDS&amp;ADULTS'!$B$3:$B$12008,$R$3)</f>
        <v>0</v>
      </c>
      <c r="U11" s="372">
        <f t="shared" si="3"/>
        <v>45207</v>
      </c>
      <c r="V11" s="376">
        <f>COUNTIFS('KIDS&amp;ADULTS'!$V$3:$V$12006,U11,'KIDS&amp;ADULTS'!$B$3:$B$12006,$K$3,'KIDS&amp;ADULTS'!$N$3:$N$12006,"Đã đóng học phí")</f>
        <v>0</v>
      </c>
      <c r="W11" s="376">
        <f>COUNTIFS('KIDS&amp;ADULTS'!$V$3:$V$12006,U11,'KIDS&amp;ADULTS'!$B$3:$B12013,$W$3,'KIDS&amp;ADULTS'!$N$3:$N$12006,"Đã đóng học phí")</f>
        <v>0</v>
      </c>
      <c r="X11" s="376">
        <f>COUNTIFS('KIDS&amp;ADULTS'!$V$3:$V$12006,U11,'KIDS&amp;ADULTS'!$B$3:$B$12006,$X$3,'KIDS&amp;ADULTS'!$N$3:$N$12006,"Đã đóng học phí")</f>
        <v>0</v>
      </c>
      <c r="Y11" s="376">
        <f>COUNTIFS('KIDS&amp;ADULTS'!$V$3:$V$12006,U11,'KIDS&amp;ADULTS'!$B$3:$B$12006,$Y$3,'KIDS&amp;ADULTS'!$N$3:$N$12006,"Đã đóng học phí")</f>
        <v>0</v>
      </c>
      <c r="Z11" s="376">
        <f>COUNTIFS('KIDS&amp;ADULTS'!$V$3:$V$12006,U11,'KIDS&amp;ADULTS'!$B$3:$B$12006,$Z$3,'KIDS&amp;ADULTS'!$N$3:$N$12006,"Đã đóng học phí")</f>
        <v>0</v>
      </c>
      <c r="AA11" s="376">
        <f>COUNTIFS('KIDS&amp;ADULTS'!$V$3:$V$12006,U11,'KIDS&amp;ADULTS'!$B$3:$B$12006,$AA$3,'KIDS&amp;ADULTS'!$N$3:$N$12006,"Đã đóng học phí")</f>
        <v>0</v>
      </c>
      <c r="AB11" s="376">
        <f>COUNTIFS('KIDS&amp;ADULTS'!$V$3:$V$12006,U11,'KIDS&amp;ADULTS'!$B$3:$B$12006,$AB$3,'KIDS&amp;ADULTS'!$N$3:$N$12006,"Đã đóng học phí")</f>
        <v>0</v>
      </c>
      <c r="AC11" s="376">
        <f>COUNTIFS('KIDS&amp;ADULTS'!$V$3:$V$12006,U11,'KIDS&amp;ADULTS'!$B$3:$B$12006,$AC$3,'KIDS&amp;ADULTS'!$N$3:$N$12006,"Đã đóng học phí")</f>
        <v>0</v>
      </c>
    </row>
    <row r="12" ht="15.75" customHeight="1">
      <c r="A12" s="372">
        <v>45208.0</v>
      </c>
      <c r="B12" s="373">
        <f>sumifs('KIDS&amp;ADULTS'!$Z$3:$Z$1015,'KIDS&amp;ADULTS'!$V$3:$V$1015,A12,'KIDS&amp;ADULTS'!$M$3:$M$1015,$B$3)</f>
        <v>0</v>
      </c>
      <c r="C12" s="373">
        <f>sumifs('KIDS&amp;ADULTS'!$Z$3:$Z$1015,'KIDS&amp;ADULTS'!$V$3:$V$1015,A12,'KIDS&amp;ADULTS'!$M$3:$M$1015,"phương")</f>
        <v>0</v>
      </c>
      <c r="D12" s="373">
        <f>sumifs('KIDS&amp;ADULTS'!$Z$3:$Z$1015,'KIDS&amp;ADULTS'!$V$3:$V$1015,A12,'KIDS&amp;ADULTS'!$M$3:$M$1015,$D$3)</f>
        <v>0</v>
      </c>
      <c r="E12" s="373">
        <f>sumifs('KIDS&amp;ADULTS'!$Z$3:$Z$1015,'KIDS&amp;ADULTS'!$V$3:$V$1015,A12,'KIDS&amp;ADULTS'!$M$3:$M$1015,"Ánh")</f>
        <v>18900000</v>
      </c>
      <c r="F12" s="373">
        <f>sumifs('KIDS&amp;ADULTS'!$Z$3:$Z$1015,'KIDS&amp;ADULTS'!$V$3:$V$1015,A12,'KIDS&amp;ADULTS'!$M$3:$M$1015,"Loan")</f>
        <v>0</v>
      </c>
      <c r="G12" s="373">
        <f t="shared" si="1"/>
        <v>18900000</v>
      </c>
      <c r="J12" s="372">
        <v>45208.0</v>
      </c>
      <c r="K12" s="374">
        <f>COUNTIFS('KIDS&amp;ADULTS'!$A$3:$A$12008,J12,'KIDS&amp;ADULTS'!$B$3:$B$12008,$K$3)</f>
        <v>0</v>
      </c>
      <c r="L12" s="374">
        <f>COUNTIFS('KIDS&amp;ADULTS'!$A$3:$A$12008,J12,'KIDS&amp;ADULTS'!$B$3:$B$12008,$L$3)</f>
        <v>0</v>
      </c>
      <c r="M12" s="374">
        <f>COUNTIFS('KIDS&amp;ADULTS'!$A$3:$A$12008,J12,'KIDS&amp;ADULTS'!$B$3:$B$12008,$M$3)</f>
        <v>0</v>
      </c>
      <c r="N12" s="375">
        <f>COUNTIFS('KIDS&amp;ADULTS'!$A$3:$A$12008,J12,'KIDS&amp;ADULTS'!$B$3:$B$12008,$N$3)</f>
        <v>3</v>
      </c>
      <c r="O12" s="375">
        <f>COUNTIFS('KIDS&amp;ADULTS'!$A$3:$A$12008,J12,'KIDS&amp;ADULTS'!$B$3:$B$12008,$O$3)</f>
        <v>2</v>
      </c>
      <c r="P12" s="375">
        <f>COUNTIFS('KIDS&amp;ADULTS'!$A$3:$A$12008,J12,'KIDS&amp;ADULTS'!$B$3:$B$12008,$P$3)</f>
        <v>0</v>
      </c>
      <c r="Q12" s="375">
        <f>COUNTIFS('KIDS&amp;ADULTS'!$A$3:$A$1008,J12,'KIDS&amp;ADULTS'!$B$3:$B$1008,$Q$3)</f>
        <v>0</v>
      </c>
      <c r="R12" s="374">
        <f>COUNTIFS('KIDS&amp;ADULTS'!$A$3:$A$12008,J12,'KIDS&amp;ADULTS'!$B$3:$B$12008,$R$3)</f>
        <v>0</v>
      </c>
      <c r="U12" s="372">
        <f t="shared" si="3"/>
        <v>45208</v>
      </c>
      <c r="V12" s="376">
        <f>COUNTIFS('KIDS&amp;ADULTS'!$V$3:$V$12006,U12,'KIDS&amp;ADULTS'!$B$3:$B$12006,$K$3,'KIDS&amp;ADULTS'!$N$3:$N$12006,"Đã đóng học phí")</f>
        <v>0</v>
      </c>
      <c r="W12" s="376">
        <f>COUNTIFS('KIDS&amp;ADULTS'!$V$3:$V$12006,U12,'KIDS&amp;ADULTS'!$B$3:$B12014,$W$3,'KIDS&amp;ADULTS'!$N$3:$N$12006,"Đã đóng học phí")</f>
        <v>0</v>
      </c>
      <c r="X12" s="376">
        <f>COUNTIFS('KIDS&amp;ADULTS'!$V$3:$V$12006,U12,'KIDS&amp;ADULTS'!$B$3:$B$12006,$X$3,'KIDS&amp;ADULTS'!$N$3:$N$12006,"Đã đóng học phí")</f>
        <v>0</v>
      </c>
      <c r="Y12" s="376">
        <f>COUNTIFS('KIDS&amp;ADULTS'!$V$3:$V$12006,U12,'KIDS&amp;ADULTS'!$B$3:$B$12006,$Y$3,'KIDS&amp;ADULTS'!$N$3:$N$12006,"Đã đóng học phí")</f>
        <v>0</v>
      </c>
      <c r="Z12" s="376">
        <f>COUNTIFS('KIDS&amp;ADULTS'!$V$3:$V$12006,U12,'KIDS&amp;ADULTS'!$B$3:$B$12006,$Z$3,'KIDS&amp;ADULTS'!$N$3:$N$12006,"Đã đóng học phí")</f>
        <v>1</v>
      </c>
      <c r="AA12" s="376">
        <f>COUNTIFS('KIDS&amp;ADULTS'!$V$3:$V$12006,U12,'KIDS&amp;ADULTS'!$B$3:$B$12006,$AA$3,'KIDS&amp;ADULTS'!$N$3:$N$12006,"Đã đóng học phí")</f>
        <v>0</v>
      </c>
      <c r="AB12" s="376">
        <f>COUNTIFS('KIDS&amp;ADULTS'!$V$3:$V$12006,U12,'KIDS&amp;ADULTS'!$B$3:$B$12006,$AB$3,'KIDS&amp;ADULTS'!$N$3:$N$12006,"Đã đóng học phí")</f>
        <v>0</v>
      </c>
      <c r="AC12" s="376">
        <f>COUNTIFS('KIDS&amp;ADULTS'!$V$3:$V$12006,U12,'KIDS&amp;ADULTS'!$B$3:$B$12006,$AC$3,'KIDS&amp;ADULTS'!$N$3:$N$12006,"Đã đóng học phí")</f>
        <v>0</v>
      </c>
    </row>
    <row r="13" ht="15.75" customHeight="1">
      <c r="A13" s="372">
        <v>45209.0</v>
      </c>
      <c r="B13" s="373">
        <f>sumifs('KIDS&amp;ADULTS'!$Z$3:$Z$1015,'KIDS&amp;ADULTS'!$V$3:$V$1015,A13,'KIDS&amp;ADULTS'!$M$3:$M$1015,$B$3)</f>
        <v>0</v>
      </c>
      <c r="C13" s="373">
        <f>sumifs('KIDS&amp;ADULTS'!$Z$3:$Z$1015,'KIDS&amp;ADULTS'!$V$3:$V$1015,A13,'KIDS&amp;ADULTS'!$M$3:$M$1015,"phương")</f>
        <v>0</v>
      </c>
      <c r="D13" s="373">
        <f>sumifs('KIDS&amp;ADULTS'!$Z$3:$Z$1015,'KIDS&amp;ADULTS'!$V$3:$V$1015,A13,'KIDS&amp;ADULTS'!$M$3:$M$1015,$D$3)</f>
        <v>0</v>
      </c>
      <c r="E13" s="373">
        <f>sumifs('KIDS&amp;ADULTS'!$Z$3:$Z$1015,'KIDS&amp;ADULTS'!$V$3:$V$1015,A13,'KIDS&amp;ADULTS'!$M$3:$M$1015,"Ánh")</f>
        <v>0</v>
      </c>
      <c r="F13" s="373">
        <f>sumifs('KIDS&amp;ADULTS'!$Z$3:$Z$1015,'KIDS&amp;ADULTS'!$V$3:$V$1015,A13,'KIDS&amp;ADULTS'!$M$3:$M$1015,"Loan")</f>
        <v>0</v>
      </c>
      <c r="G13" s="373">
        <f t="shared" si="1"/>
        <v>0</v>
      </c>
      <c r="J13" s="372">
        <v>45209.0</v>
      </c>
      <c r="K13" s="374">
        <f>COUNTIFS('KIDS&amp;ADULTS'!$A$3:$A$12008,J13,'KIDS&amp;ADULTS'!$B$3:$B$12008,$K$3)</f>
        <v>0</v>
      </c>
      <c r="L13" s="374">
        <f>COUNTIFS('KIDS&amp;ADULTS'!$A$3:$A$12008,J13,'KIDS&amp;ADULTS'!$B$3:$B$12008,$L$3)</f>
        <v>0</v>
      </c>
      <c r="M13" s="374">
        <f>COUNTIFS('KIDS&amp;ADULTS'!$A$3:$A$12008,J13,'KIDS&amp;ADULTS'!$B$3:$B$12008,$M$3)</f>
        <v>0</v>
      </c>
      <c r="N13" s="375">
        <f>COUNTIFS('KIDS&amp;ADULTS'!$A$3:$A$12008,J13,'KIDS&amp;ADULTS'!$B$3:$B$12008,$N$3)</f>
        <v>0</v>
      </c>
      <c r="O13" s="375">
        <f>COUNTIFS('KIDS&amp;ADULTS'!$A$3:$A$12008,J13,'KIDS&amp;ADULTS'!$B$3:$B$12008,$O$3)</f>
        <v>0</v>
      </c>
      <c r="P13" s="375">
        <f>COUNTIFS('KIDS&amp;ADULTS'!$A$3:$A$12008,J13,'KIDS&amp;ADULTS'!$B$3:$B$12008,$P$3)</f>
        <v>0</v>
      </c>
      <c r="Q13" s="375">
        <f>COUNTIFS('KIDS&amp;ADULTS'!$A$3:$A$1008,J13,'KIDS&amp;ADULTS'!$B$3:$B$1008,$Q$3)</f>
        <v>0</v>
      </c>
      <c r="R13" s="374">
        <f>COUNTIFS('KIDS&amp;ADULTS'!$A$3:$A$12008,J13,'KIDS&amp;ADULTS'!$B$3:$B$12008,$R$3)</f>
        <v>0</v>
      </c>
      <c r="U13" s="372">
        <f t="shared" si="3"/>
        <v>45209</v>
      </c>
      <c r="V13" s="376">
        <f>COUNTIFS('KIDS&amp;ADULTS'!$V$3:$V$12006,U13,'KIDS&amp;ADULTS'!$B$3:$B$12006,$K$3,'KIDS&amp;ADULTS'!$N$3:$N$12006,"Đã đóng học phí")</f>
        <v>0</v>
      </c>
      <c r="W13" s="376">
        <f>COUNTIFS('KIDS&amp;ADULTS'!$V$3:$V$12006,U13,'KIDS&amp;ADULTS'!$B$3:$B12015,$W$3,'KIDS&amp;ADULTS'!$N$3:$N$12006,"Đã đóng học phí")</f>
        <v>0</v>
      </c>
      <c r="X13" s="376">
        <f>COUNTIFS('KIDS&amp;ADULTS'!$V$3:$V$12006,U13,'KIDS&amp;ADULTS'!$B$3:$B$12006,$X$3,'KIDS&amp;ADULTS'!$N$3:$N$12006,"Đã đóng học phí")</f>
        <v>0</v>
      </c>
      <c r="Y13" s="376">
        <f>COUNTIFS('KIDS&amp;ADULTS'!$V$3:$V$12006,U13,'KIDS&amp;ADULTS'!$B$3:$B$12006,$Y$3,'KIDS&amp;ADULTS'!$N$3:$N$12006,"Đã đóng học phí")</f>
        <v>0</v>
      </c>
      <c r="Z13" s="376">
        <f>COUNTIFS('KIDS&amp;ADULTS'!$V$3:$V$12006,U13,'KIDS&amp;ADULTS'!$B$3:$B$12006,$Z$3,'KIDS&amp;ADULTS'!$N$3:$N$12006,"Đã đóng học phí")</f>
        <v>0</v>
      </c>
      <c r="AA13" s="376">
        <f>COUNTIFS('KIDS&amp;ADULTS'!$V$3:$V$12006,U13,'KIDS&amp;ADULTS'!$B$3:$B$12006,$AA$3,'KIDS&amp;ADULTS'!$N$3:$N$12006,"Đã đóng học phí")</f>
        <v>0</v>
      </c>
      <c r="AB13" s="376">
        <f>COUNTIFS('KIDS&amp;ADULTS'!$V$3:$V$12006,U13,'KIDS&amp;ADULTS'!$B$3:$B$12006,$AB$3,'KIDS&amp;ADULTS'!$N$3:$N$12006,"Đã đóng học phí")</f>
        <v>0</v>
      </c>
      <c r="AC13" s="376">
        <f>COUNTIFS('KIDS&amp;ADULTS'!$V$3:$V$12006,U13,'KIDS&amp;ADULTS'!$B$3:$B$12006,$AC$3,'KIDS&amp;ADULTS'!$N$3:$N$12006,"Đã đóng học phí")</f>
        <v>0</v>
      </c>
    </row>
    <row r="14" ht="15.75" customHeight="1">
      <c r="A14" s="372">
        <v>45210.0</v>
      </c>
      <c r="B14" s="373">
        <f>sumifs('KIDS&amp;ADULTS'!$Z$3:$Z$1015,'KIDS&amp;ADULTS'!$V$3:$V$1015,A14,'KIDS&amp;ADULTS'!$M$3:$M$1015,$B$3)</f>
        <v>0</v>
      </c>
      <c r="C14" s="373">
        <f>sumifs('KIDS&amp;ADULTS'!$Z$3:$Z$1015,'KIDS&amp;ADULTS'!$V$3:$V$1015,A14,'KIDS&amp;ADULTS'!$M$3:$M$1015,"phương")</f>
        <v>0</v>
      </c>
      <c r="D14" s="373">
        <f>sumifs('KIDS&amp;ADULTS'!$Z$3:$Z$1015,'KIDS&amp;ADULTS'!$V$3:$V$1015,A14,'KIDS&amp;ADULTS'!$M$3:$M$1015,$D$3)</f>
        <v>0</v>
      </c>
      <c r="E14" s="373">
        <f>sumifs('KIDS&amp;ADULTS'!$Z$3:$Z$1015,'KIDS&amp;ADULTS'!$V$3:$V$1015,A14,'KIDS&amp;ADULTS'!$M$3:$M$1015,"Ánh")</f>
        <v>0</v>
      </c>
      <c r="F14" s="373">
        <f>sumifs('KIDS&amp;ADULTS'!$Z$3:$Z$1015,'KIDS&amp;ADULTS'!$V$3:$V$1015,A14,'KIDS&amp;ADULTS'!$M$3:$M$1015,"Loan")</f>
        <v>0</v>
      </c>
      <c r="G14" s="373">
        <f t="shared" si="1"/>
        <v>0</v>
      </c>
      <c r="J14" s="372">
        <v>45210.0</v>
      </c>
      <c r="K14" s="374">
        <f>COUNTIFS('KIDS&amp;ADULTS'!$A$3:$A$12008,J14,'KIDS&amp;ADULTS'!$B$3:$B$12008,$K$3)</f>
        <v>0</v>
      </c>
      <c r="L14" s="374">
        <f>COUNTIFS('KIDS&amp;ADULTS'!$A$3:$A$12008,J14,'KIDS&amp;ADULTS'!$B$3:$B$12008,$L$3)</f>
        <v>0</v>
      </c>
      <c r="M14" s="374">
        <f>COUNTIFS('KIDS&amp;ADULTS'!$A$3:$A$12008,J14,'KIDS&amp;ADULTS'!$B$3:$B$12008,$M$3)</f>
        <v>0</v>
      </c>
      <c r="N14" s="375">
        <f>COUNTIFS('KIDS&amp;ADULTS'!$A$3:$A$12008,J14,'KIDS&amp;ADULTS'!$B$3:$B$12008,$N$3)</f>
        <v>1</v>
      </c>
      <c r="O14" s="375">
        <f>COUNTIFS('KIDS&amp;ADULTS'!$A$3:$A$12008,J14,'KIDS&amp;ADULTS'!$B$3:$B$12008,$O$3)</f>
        <v>0</v>
      </c>
      <c r="P14" s="375">
        <f>COUNTIFS('KIDS&amp;ADULTS'!$A$3:$A$12008,J14,'KIDS&amp;ADULTS'!$B$3:$B$12008,$P$3)</f>
        <v>0</v>
      </c>
      <c r="Q14" s="375">
        <f>COUNTIFS('KIDS&amp;ADULTS'!$A$3:$A$1008,J14,'KIDS&amp;ADULTS'!$B$3:$B$1008,$Q$3)</f>
        <v>0</v>
      </c>
      <c r="R14" s="374">
        <f>COUNTIFS('KIDS&amp;ADULTS'!$A$3:$A$12008,J14,'KIDS&amp;ADULTS'!$B$3:$B$12008,$R$3)</f>
        <v>0</v>
      </c>
      <c r="U14" s="372">
        <f t="shared" si="3"/>
        <v>45210</v>
      </c>
      <c r="V14" s="376">
        <f>COUNTIFS('KIDS&amp;ADULTS'!$V$3:$V$12006,U14,'KIDS&amp;ADULTS'!$B$3:$B$12006,$K$3,'KIDS&amp;ADULTS'!$N$3:$N$12006,"Đã đóng học phí")</f>
        <v>0</v>
      </c>
      <c r="W14" s="376">
        <f>COUNTIFS('KIDS&amp;ADULTS'!$V$3:$V$12006,U14,'KIDS&amp;ADULTS'!$B$3:$B12016,$W$3,'KIDS&amp;ADULTS'!$N$3:$N$12006,"Đã đóng học phí")</f>
        <v>0</v>
      </c>
      <c r="X14" s="376">
        <f>COUNTIFS('KIDS&amp;ADULTS'!$V$3:$V$12006,U14,'KIDS&amp;ADULTS'!$B$3:$B$12006,$X$3,'KIDS&amp;ADULTS'!$N$3:$N$12006,"Đã đóng học phí")</f>
        <v>0</v>
      </c>
      <c r="Y14" s="376">
        <f>COUNTIFS('KIDS&amp;ADULTS'!$V$3:$V$12006,U14,'KIDS&amp;ADULTS'!$B$3:$B$12006,$Y$3,'KIDS&amp;ADULTS'!$N$3:$N$12006,"Đã đóng học phí")</f>
        <v>0</v>
      </c>
      <c r="Z14" s="376">
        <f>COUNTIFS('KIDS&amp;ADULTS'!$V$3:$V$12006,U14,'KIDS&amp;ADULTS'!$B$3:$B$12006,$Z$3,'KIDS&amp;ADULTS'!$N$3:$N$12006,"Đã đóng học phí")</f>
        <v>0</v>
      </c>
      <c r="AA14" s="376">
        <f>COUNTIFS('KIDS&amp;ADULTS'!$V$3:$V$12006,U14,'KIDS&amp;ADULTS'!$B$3:$B$12006,$AA$3,'KIDS&amp;ADULTS'!$N$3:$N$12006,"Đã đóng học phí")</f>
        <v>0</v>
      </c>
      <c r="AB14" s="376">
        <f>COUNTIFS('KIDS&amp;ADULTS'!$V$3:$V$12006,U14,'KIDS&amp;ADULTS'!$B$3:$B$12006,$AB$3,'KIDS&amp;ADULTS'!$N$3:$N$12006,"Đã đóng học phí")</f>
        <v>0</v>
      </c>
      <c r="AC14" s="376">
        <f>COUNTIFS('KIDS&amp;ADULTS'!$V$3:$V$12006,U14,'KIDS&amp;ADULTS'!$B$3:$B$12006,$AC$3,'KIDS&amp;ADULTS'!$N$3:$N$12006,"Đã đóng học phí")</f>
        <v>0</v>
      </c>
    </row>
    <row r="15" ht="15.75" customHeight="1">
      <c r="A15" s="372">
        <v>45211.0</v>
      </c>
      <c r="B15" s="373">
        <f>sumifs('KIDS&amp;ADULTS'!$Z$3:$Z$1015,'KIDS&amp;ADULTS'!$V$3:$V$1015,A15,'KIDS&amp;ADULTS'!$M$3:$M$1015,$B$3)</f>
        <v>0</v>
      </c>
      <c r="C15" s="373">
        <f>sumifs('KIDS&amp;ADULTS'!$Z$3:$Z$1015,'KIDS&amp;ADULTS'!$V$3:$V$1015,A15,'KIDS&amp;ADULTS'!$M$3:$M$1015,"phương")</f>
        <v>0</v>
      </c>
      <c r="D15" s="373">
        <f>sumifs('KIDS&amp;ADULTS'!$Z$3:$Z$1015,'KIDS&amp;ADULTS'!$V$3:$V$1015,A15,'KIDS&amp;ADULTS'!$M$3:$M$1015,$D$3)</f>
        <v>0</v>
      </c>
      <c r="E15" s="373">
        <f>sumifs('KIDS&amp;ADULTS'!$Z$3:$Z$1015,'KIDS&amp;ADULTS'!$V$3:$V$1015,A15,'KIDS&amp;ADULTS'!$M$3:$M$1015,"Ánh")</f>
        <v>0</v>
      </c>
      <c r="F15" s="373">
        <f>sumifs('KIDS&amp;ADULTS'!$Z$3:$Z$1015,'KIDS&amp;ADULTS'!$V$3:$V$1015,A15,'KIDS&amp;ADULTS'!$M$3:$M$1015,"Loan")</f>
        <v>0</v>
      </c>
      <c r="G15" s="373">
        <f t="shared" si="1"/>
        <v>0</v>
      </c>
      <c r="J15" s="372">
        <v>45211.0</v>
      </c>
      <c r="K15" s="374">
        <f>COUNTIFS('KIDS&amp;ADULTS'!$A$3:$A$12008,J15,'KIDS&amp;ADULTS'!$B$3:$B$12008,$K$3)</f>
        <v>0</v>
      </c>
      <c r="L15" s="374">
        <f>COUNTIFS('KIDS&amp;ADULTS'!$A$3:$A$12008,J15,'KIDS&amp;ADULTS'!$B$3:$B$12008,$L$3)</f>
        <v>0</v>
      </c>
      <c r="M15" s="374">
        <f>COUNTIFS('KIDS&amp;ADULTS'!$A$3:$A$12008,J15,'KIDS&amp;ADULTS'!$B$3:$B$12008,$M$3)</f>
        <v>0</v>
      </c>
      <c r="N15" s="375">
        <f>COUNTIFS('KIDS&amp;ADULTS'!$A$3:$A$12008,J15,'KIDS&amp;ADULTS'!$B$3:$B$12008,$N$3)</f>
        <v>0</v>
      </c>
      <c r="O15" s="375">
        <f>COUNTIFS('KIDS&amp;ADULTS'!$A$3:$A$12008,J15,'KIDS&amp;ADULTS'!$B$3:$B$12008,$O$3)</f>
        <v>0</v>
      </c>
      <c r="P15" s="375">
        <f>COUNTIFS('KIDS&amp;ADULTS'!$A$3:$A$12008,J15,'KIDS&amp;ADULTS'!$B$3:$B$12008,$P$3)</f>
        <v>0</v>
      </c>
      <c r="Q15" s="375">
        <f>COUNTIFS('KIDS&amp;ADULTS'!$A$3:$A$1008,J15,'KIDS&amp;ADULTS'!$B$3:$B$1008,$Q$3)</f>
        <v>0</v>
      </c>
      <c r="R15" s="374">
        <f>COUNTIFS('KIDS&amp;ADULTS'!$A$3:$A$12008,J15,'KIDS&amp;ADULTS'!$B$3:$B$12008,$R$3)</f>
        <v>0</v>
      </c>
      <c r="U15" s="372">
        <f t="shared" si="3"/>
        <v>45211</v>
      </c>
      <c r="V15" s="376">
        <f>COUNTIFS('KIDS&amp;ADULTS'!$V$3:$V$12006,U15,'KIDS&amp;ADULTS'!$B$3:$B$12006,$K$3,'KIDS&amp;ADULTS'!$N$3:$N$12006,"Đã đóng học phí")</f>
        <v>0</v>
      </c>
      <c r="W15" s="376">
        <f>COUNTIFS('KIDS&amp;ADULTS'!$V$3:$V$12006,U15,'KIDS&amp;ADULTS'!$B$3:$B12017,$W$3,'KIDS&amp;ADULTS'!$N$3:$N$12006,"Đã đóng học phí")</f>
        <v>0</v>
      </c>
      <c r="X15" s="376">
        <f>COUNTIFS('KIDS&amp;ADULTS'!$V$3:$V$12006,U15,'KIDS&amp;ADULTS'!$B$3:$B$12006,$X$3,'KIDS&amp;ADULTS'!$N$3:$N$12006,"Đã đóng học phí")</f>
        <v>0</v>
      </c>
      <c r="Y15" s="376">
        <f>COUNTIFS('KIDS&amp;ADULTS'!$V$3:$V$12006,U15,'KIDS&amp;ADULTS'!$B$3:$B$12006,$Y$3,'KIDS&amp;ADULTS'!$N$3:$N$12006,"Đã đóng học phí")</f>
        <v>0</v>
      </c>
      <c r="Z15" s="376">
        <f>COUNTIFS('KIDS&amp;ADULTS'!$V$3:$V$12006,U15,'KIDS&amp;ADULTS'!$B$3:$B$12006,$Z$3,'KIDS&amp;ADULTS'!$N$3:$N$12006,"Đã đóng học phí")</f>
        <v>0</v>
      </c>
      <c r="AA15" s="376">
        <f>COUNTIFS('KIDS&amp;ADULTS'!$V$3:$V$12006,U15,'KIDS&amp;ADULTS'!$B$3:$B$12006,$AA$3,'KIDS&amp;ADULTS'!$N$3:$N$12006,"Đã đóng học phí")</f>
        <v>0</v>
      </c>
      <c r="AB15" s="376">
        <f>COUNTIFS('KIDS&amp;ADULTS'!$V$3:$V$12006,U15,'KIDS&amp;ADULTS'!$B$3:$B$12006,$AB$3,'KIDS&amp;ADULTS'!$N$3:$N$12006,"Đã đóng học phí")</f>
        <v>0</v>
      </c>
      <c r="AC15" s="376">
        <f>COUNTIFS('KIDS&amp;ADULTS'!$V$3:$V$12006,U15,'KIDS&amp;ADULTS'!$B$3:$B$12006,$AC$3,'KIDS&amp;ADULTS'!$N$3:$N$12006,"Đã đóng học phí")</f>
        <v>0</v>
      </c>
    </row>
    <row r="16" ht="15.75" customHeight="1">
      <c r="A16" s="372">
        <v>45212.0</v>
      </c>
      <c r="B16" s="373">
        <f>sumifs('KIDS&amp;ADULTS'!$Z$3:$Z$1015,'KIDS&amp;ADULTS'!$V$3:$V$1015,A16,'KIDS&amp;ADULTS'!$M$3:$M$1015,$B$3)</f>
        <v>0</v>
      </c>
      <c r="C16" s="373">
        <f>sumifs('KIDS&amp;ADULTS'!$Z$3:$Z$1015,'KIDS&amp;ADULTS'!$V$3:$V$1015,A16,'KIDS&amp;ADULTS'!$M$3:$M$1015,"phương")</f>
        <v>0</v>
      </c>
      <c r="D16" s="373">
        <f>sumifs('KIDS&amp;ADULTS'!$Z$3:$Z$1015,'KIDS&amp;ADULTS'!$V$3:$V$1015,A16,'KIDS&amp;ADULTS'!$M$3:$M$1015,$D$3)</f>
        <v>0</v>
      </c>
      <c r="E16" s="373">
        <f>sumifs('KIDS&amp;ADULTS'!$Z$3:$Z$1015,'KIDS&amp;ADULTS'!$V$3:$V$1015,A16,'KIDS&amp;ADULTS'!$M$3:$M$1015,"Ánh")</f>
        <v>0</v>
      </c>
      <c r="F16" s="373">
        <f>sumifs('KIDS&amp;ADULTS'!$Z$3:$Z$1015,'KIDS&amp;ADULTS'!$V$3:$V$1015,A16,'KIDS&amp;ADULTS'!$M$3:$M$1015,"Loan")</f>
        <v>0</v>
      </c>
      <c r="G16" s="373">
        <f t="shared" si="1"/>
        <v>0</v>
      </c>
      <c r="J16" s="372">
        <v>45212.0</v>
      </c>
      <c r="K16" s="374">
        <f>COUNTIFS('KIDS&amp;ADULTS'!$A$3:$A$12008,J16,'KIDS&amp;ADULTS'!$B$3:$B$12008,$K$3)</f>
        <v>0</v>
      </c>
      <c r="L16" s="374">
        <f>COUNTIFS('KIDS&amp;ADULTS'!$A$3:$A$12008,J16,'KIDS&amp;ADULTS'!$B$3:$B$12008,$L$3)</f>
        <v>0</v>
      </c>
      <c r="M16" s="374">
        <f>COUNTIFS('KIDS&amp;ADULTS'!$A$3:$A$12008,J16,'KIDS&amp;ADULTS'!$B$3:$B$12008,$M$3)</f>
        <v>0</v>
      </c>
      <c r="N16" s="375">
        <f>COUNTIFS('KIDS&amp;ADULTS'!$A$3:$A$12008,J16,'KIDS&amp;ADULTS'!$B$3:$B$12008,$N$3)</f>
        <v>0</v>
      </c>
      <c r="O16" s="375">
        <f>COUNTIFS('KIDS&amp;ADULTS'!$A$3:$A$12008,J16,'KIDS&amp;ADULTS'!$B$3:$B$12008,$O$3)</f>
        <v>0</v>
      </c>
      <c r="P16" s="375">
        <f>COUNTIFS('KIDS&amp;ADULTS'!$A$3:$A$12008,J16,'KIDS&amp;ADULTS'!$B$3:$B$12008,$P$3)</f>
        <v>0</v>
      </c>
      <c r="Q16" s="375">
        <f>COUNTIFS('KIDS&amp;ADULTS'!$A$3:$A$1008,J16,'KIDS&amp;ADULTS'!$B$3:$B$1008,$Q$3)</f>
        <v>0</v>
      </c>
      <c r="R16" s="374">
        <f>COUNTIFS('KIDS&amp;ADULTS'!$A$3:$A$12008,J16,'KIDS&amp;ADULTS'!$B$3:$B$12008,$R$3)</f>
        <v>0</v>
      </c>
      <c r="U16" s="372">
        <f t="shared" si="3"/>
        <v>45212</v>
      </c>
      <c r="V16" s="376">
        <f>COUNTIFS('KIDS&amp;ADULTS'!$V$3:$V$12006,U16,'KIDS&amp;ADULTS'!$B$3:$B$12006,$K$3,'KIDS&amp;ADULTS'!$N$3:$N$12006,"Đã đóng học phí")</f>
        <v>0</v>
      </c>
      <c r="W16" s="376">
        <f>COUNTIFS('KIDS&amp;ADULTS'!$V$3:$V$12006,U16,'KIDS&amp;ADULTS'!$B$3:$B12018,$W$3,'KIDS&amp;ADULTS'!$N$3:$N$12006,"Đã đóng học phí")</f>
        <v>0</v>
      </c>
      <c r="X16" s="376">
        <f>COUNTIFS('KIDS&amp;ADULTS'!$V$3:$V$12006,U16,'KIDS&amp;ADULTS'!$B$3:$B$12006,$X$3,'KIDS&amp;ADULTS'!$N$3:$N$12006,"Đã đóng học phí")</f>
        <v>0</v>
      </c>
      <c r="Y16" s="376">
        <f>COUNTIFS('KIDS&amp;ADULTS'!$V$3:$V$12006,U16,'KIDS&amp;ADULTS'!$B$3:$B$12006,$Y$3,'KIDS&amp;ADULTS'!$N$3:$N$12006,"Đã đóng học phí")</f>
        <v>0</v>
      </c>
      <c r="Z16" s="376">
        <f>COUNTIFS('KIDS&amp;ADULTS'!$V$3:$V$12006,U16,'KIDS&amp;ADULTS'!$B$3:$B$12006,$Z$3,'KIDS&amp;ADULTS'!$N$3:$N$12006,"Đã đóng học phí")</f>
        <v>0</v>
      </c>
      <c r="AA16" s="376">
        <f>COUNTIFS('KIDS&amp;ADULTS'!$V$3:$V$12006,U16,'KIDS&amp;ADULTS'!$B$3:$B$12006,$AA$3,'KIDS&amp;ADULTS'!$N$3:$N$12006,"Đã đóng học phí")</f>
        <v>0</v>
      </c>
      <c r="AB16" s="376">
        <f>COUNTIFS('KIDS&amp;ADULTS'!$V$3:$V$12006,U16,'KIDS&amp;ADULTS'!$B$3:$B$12006,$AB$3,'KIDS&amp;ADULTS'!$N$3:$N$12006,"Đã đóng học phí")</f>
        <v>0</v>
      </c>
      <c r="AC16" s="376">
        <f>COUNTIFS('KIDS&amp;ADULTS'!$V$3:$V$12006,U16,'KIDS&amp;ADULTS'!$B$3:$B$12006,$AC$3,'KIDS&amp;ADULTS'!$N$3:$N$12006,"Đã đóng học phí")</f>
        <v>0</v>
      </c>
    </row>
    <row r="17" ht="15.75" customHeight="1">
      <c r="A17" s="372">
        <v>45213.0</v>
      </c>
      <c r="B17" s="373">
        <f>sumifs('KIDS&amp;ADULTS'!$Z$3:$Z$1015,'KIDS&amp;ADULTS'!$V$3:$V$1015,A17,'KIDS&amp;ADULTS'!$M$3:$M$1015,$B$3)</f>
        <v>0</v>
      </c>
      <c r="C17" s="373">
        <f>sumifs('KIDS&amp;ADULTS'!$Z$3:$Z$1015,'KIDS&amp;ADULTS'!$V$3:$V$1015,A17,'KIDS&amp;ADULTS'!$M$3:$M$1015,"phương")</f>
        <v>0</v>
      </c>
      <c r="D17" s="373">
        <f>sumifs('KIDS&amp;ADULTS'!$Z$3:$Z$1015,'KIDS&amp;ADULTS'!$V$3:$V$1015,A17,'KIDS&amp;ADULTS'!$M$3:$M$1015,$D$3)</f>
        <v>0</v>
      </c>
      <c r="E17" s="373">
        <f>sumifs('KIDS&amp;ADULTS'!$Z$3:$Z$1015,'KIDS&amp;ADULTS'!$V$3:$V$1015,A17,'KIDS&amp;ADULTS'!$M$3:$M$1015,"Ánh")</f>
        <v>0</v>
      </c>
      <c r="F17" s="373">
        <f>sumifs('KIDS&amp;ADULTS'!$Z$3:$Z$1015,'KIDS&amp;ADULTS'!$V$3:$V$1015,A17,'KIDS&amp;ADULTS'!$M$3:$M$1015,"Loan")</f>
        <v>0</v>
      </c>
      <c r="G17" s="373">
        <f t="shared" si="1"/>
        <v>0</v>
      </c>
      <c r="J17" s="372">
        <v>45213.0</v>
      </c>
      <c r="K17" s="374">
        <f>COUNTIFS('KIDS&amp;ADULTS'!$A$3:$A$12008,J17,'KIDS&amp;ADULTS'!$B$3:$B$12008,$K$3)</f>
        <v>0</v>
      </c>
      <c r="L17" s="374">
        <f>COUNTIFS('KIDS&amp;ADULTS'!$A$3:$A$12008,J17,'KIDS&amp;ADULTS'!$B$3:$B$12008,$L$3)</f>
        <v>0</v>
      </c>
      <c r="M17" s="374">
        <f>COUNTIFS('KIDS&amp;ADULTS'!$A$3:$A$12008,J17,'KIDS&amp;ADULTS'!$B$3:$B$12008,$M$3)</f>
        <v>0</v>
      </c>
      <c r="N17" s="375">
        <f>COUNTIFS('KIDS&amp;ADULTS'!$A$3:$A$12008,J17,'KIDS&amp;ADULTS'!$B$3:$B$12008,$N$3)</f>
        <v>0</v>
      </c>
      <c r="O17" s="375">
        <f>COUNTIFS('KIDS&amp;ADULTS'!$A$3:$A$12008,J17,'KIDS&amp;ADULTS'!$B$3:$B$12008,$O$3)</f>
        <v>0</v>
      </c>
      <c r="P17" s="375">
        <f>COUNTIFS('KIDS&amp;ADULTS'!$A$3:$A$12008,J17,'KIDS&amp;ADULTS'!$B$3:$B$12008,$P$3)</f>
        <v>0</v>
      </c>
      <c r="Q17" s="375">
        <f>COUNTIFS('KIDS&amp;ADULTS'!$A$3:$A$1008,J17,'KIDS&amp;ADULTS'!$B$3:$B$1008,$Q$3)</f>
        <v>0</v>
      </c>
      <c r="R17" s="374">
        <f>COUNTIFS('KIDS&amp;ADULTS'!$A$3:$A$12008,J17,'KIDS&amp;ADULTS'!$B$3:$B$12008,$R$3)</f>
        <v>0</v>
      </c>
      <c r="U17" s="372">
        <f t="shared" si="3"/>
        <v>45213</v>
      </c>
      <c r="V17" s="376">
        <f>COUNTIFS('KIDS&amp;ADULTS'!$V$3:$V$12006,U17,'KIDS&amp;ADULTS'!$B$3:$B$12006,$K$3,'KIDS&amp;ADULTS'!$N$3:$N$12006,"Đã đóng học phí")</f>
        <v>0</v>
      </c>
      <c r="W17" s="376">
        <f>COUNTIFS('KIDS&amp;ADULTS'!$V$3:$V$12006,U17,'KIDS&amp;ADULTS'!$B$3:$B12019,$W$3,'KIDS&amp;ADULTS'!$N$3:$N$12006,"Đã đóng học phí")</f>
        <v>0</v>
      </c>
      <c r="X17" s="376">
        <f>COUNTIFS('KIDS&amp;ADULTS'!$V$3:$V$12006,U17,'KIDS&amp;ADULTS'!$B$3:$B$12006,$X$3,'KIDS&amp;ADULTS'!$N$3:$N$12006,"Đã đóng học phí")</f>
        <v>0</v>
      </c>
      <c r="Y17" s="376">
        <f>COUNTIFS('KIDS&amp;ADULTS'!$V$3:$V$12006,U17,'KIDS&amp;ADULTS'!$B$3:$B$12006,$Y$3,'KIDS&amp;ADULTS'!$N$3:$N$12006,"Đã đóng học phí")</f>
        <v>0</v>
      </c>
      <c r="Z17" s="376">
        <f>COUNTIFS('KIDS&amp;ADULTS'!$V$3:$V$12006,U17,'KIDS&amp;ADULTS'!$B$3:$B$12006,$Z$3,'KIDS&amp;ADULTS'!$N$3:$N$12006,"Đã đóng học phí")</f>
        <v>0</v>
      </c>
      <c r="AA17" s="376">
        <f>COUNTIFS('KIDS&amp;ADULTS'!$V$3:$V$12006,U17,'KIDS&amp;ADULTS'!$B$3:$B$12006,$AA$3,'KIDS&amp;ADULTS'!$N$3:$N$12006,"Đã đóng học phí")</f>
        <v>0</v>
      </c>
      <c r="AB17" s="376">
        <f>COUNTIFS('KIDS&amp;ADULTS'!$V$3:$V$12006,U17,'KIDS&amp;ADULTS'!$B$3:$B$12006,$AB$3,'KIDS&amp;ADULTS'!$N$3:$N$12006,"Đã đóng học phí")</f>
        <v>0</v>
      </c>
      <c r="AC17" s="376">
        <f>COUNTIFS('KIDS&amp;ADULTS'!$V$3:$V$12006,U17,'KIDS&amp;ADULTS'!$B$3:$B$12006,$AC$3,'KIDS&amp;ADULTS'!$N$3:$N$12006,"Đã đóng học phí")</f>
        <v>0</v>
      </c>
    </row>
    <row r="18" ht="15.75" customHeight="1">
      <c r="A18" s="372">
        <v>45214.0</v>
      </c>
      <c r="B18" s="373">
        <f>sumifs('KIDS&amp;ADULTS'!$Z$3:$Z$1015,'KIDS&amp;ADULTS'!$V$3:$V$1015,A18,'KIDS&amp;ADULTS'!$M$3:$M$1015,$B$3)</f>
        <v>0</v>
      </c>
      <c r="C18" s="373">
        <f>sumifs('KIDS&amp;ADULTS'!$Z$3:$Z$1015,'KIDS&amp;ADULTS'!$V$3:$V$1015,A18,'KIDS&amp;ADULTS'!$M$3:$M$1015,"phương")</f>
        <v>0</v>
      </c>
      <c r="D18" s="373">
        <f>sumifs('KIDS&amp;ADULTS'!$Z$3:$Z$1015,'KIDS&amp;ADULTS'!$V$3:$V$1015,A18,'KIDS&amp;ADULTS'!$M$3:$M$1015,$D$3)</f>
        <v>0</v>
      </c>
      <c r="E18" s="373">
        <f>sumifs('KIDS&amp;ADULTS'!$Z$3:$Z$1015,'KIDS&amp;ADULTS'!$V$3:$V$1015,A18,'KIDS&amp;ADULTS'!$M$3:$M$1015,"Ánh")</f>
        <v>0</v>
      </c>
      <c r="F18" s="373">
        <f>sumifs('KIDS&amp;ADULTS'!$Z$3:$Z$1015,'KIDS&amp;ADULTS'!$V$3:$V$1015,A18,'KIDS&amp;ADULTS'!$M$3:$M$1015,"Loan")</f>
        <v>0</v>
      </c>
      <c r="G18" s="373">
        <f t="shared" si="1"/>
        <v>0</v>
      </c>
      <c r="J18" s="372">
        <v>45214.0</v>
      </c>
      <c r="K18" s="374">
        <f>COUNTIFS('KIDS&amp;ADULTS'!$A$3:$A$12008,J18,'KIDS&amp;ADULTS'!$B$3:$B$12008,$K$3)</f>
        <v>0</v>
      </c>
      <c r="L18" s="374">
        <f>COUNTIFS('KIDS&amp;ADULTS'!$A$3:$A$12008,J18,'KIDS&amp;ADULTS'!$B$3:$B$12008,$L$3)</f>
        <v>0</v>
      </c>
      <c r="M18" s="374">
        <f>COUNTIFS('KIDS&amp;ADULTS'!$A$3:$A$12008,J18,'KIDS&amp;ADULTS'!$B$3:$B$12008,$M$3)</f>
        <v>0</v>
      </c>
      <c r="N18" s="375">
        <f>COUNTIFS('KIDS&amp;ADULTS'!$A$3:$A$12008,J18,'KIDS&amp;ADULTS'!$B$3:$B$12008,$N$3)</f>
        <v>0</v>
      </c>
      <c r="O18" s="375">
        <f>COUNTIFS('KIDS&amp;ADULTS'!$A$3:$A$12008,J18,'KIDS&amp;ADULTS'!$B$3:$B$12008,$O$3)</f>
        <v>0</v>
      </c>
      <c r="P18" s="375">
        <f>COUNTIFS('KIDS&amp;ADULTS'!$A$3:$A$12008,J18,'KIDS&amp;ADULTS'!$B$3:$B$12008,$P$3)</f>
        <v>0</v>
      </c>
      <c r="Q18" s="375">
        <f>COUNTIFS('KIDS&amp;ADULTS'!$A$3:$A$1008,J18,'KIDS&amp;ADULTS'!$B$3:$B$1008,$Q$3)</f>
        <v>0</v>
      </c>
      <c r="R18" s="374">
        <f>COUNTIFS('KIDS&amp;ADULTS'!$A$3:$A$12008,J18,'KIDS&amp;ADULTS'!$B$3:$B$12008,$R$3)</f>
        <v>0</v>
      </c>
      <c r="U18" s="372">
        <f t="shared" si="3"/>
        <v>45214</v>
      </c>
      <c r="V18" s="376">
        <f>COUNTIFS('KIDS&amp;ADULTS'!$V$3:$V$12006,U18,'KIDS&amp;ADULTS'!$B$3:$B$12006,$K$3,'KIDS&amp;ADULTS'!$N$3:$N$12006,"Đã đóng học phí")</f>
        <v>0</v>
      </c>
      <c r="W18" s="376">
        <f>COUNTIFS('KIDS&amp;ADULTS'!$V$3:$V$12006,U18,'KIDS&amp;ADULTS'!$B$3:$B12020,$W$3,'KIDS&amp;ADULTS'!$N$3:$N$12006,"Đã đóng học phí")</f>
        <v>0</v>
      </c>
      <c r="X18" s="376">
        <f>COUNTIFS('KIDS&amp;ADULTS'!$V$3:$V$12006,U18,'KIDS&amp;ADULTS'!$B$3:$B$12006,$X$3,'KIDS&amp;ADULTS'!$N$3:$N$12006,"Đã đóng học phí")</f>
        <v>0</v>
      </c>
      <c r="Y18" s="376">
        <f>COUNTIFS('KIDS&amp;ADULTS'!$V$3:$V$12006,U18,'KIDS&amp;ADULTS'!$B$3:$B$12006,$Y$3,'KIDS&amp;ADULTS'!$N$3:$N$12006,"Đã đóng học phí")</f>
        <v>0</v>
      </c>
      <c r="Z18" s="376">
        <f>COUNTIFS('KIDS&amp;ADULTS'!$V$3:$V$12006,U18,'KIDS&amp;ADULTS'!$B$3:$B$12006,$Z$3,'KIDS&amp;ADULTS'!$N$3:$N$12006,"Đã đóng học phí")</f>
        <v>0</v>
      </c>
      <c r="AA18" s="376">
        <f>COUNTIFS('KIDS&amp;ADULTS'!$V$3:$V$12006,U18,'KIDS&amp;ADULTS'!$B$3:$B$12006,$AA$3,'KIDS&amp;ADULTS'!$N$3:$N$12006,"Đã đóng học phí")</f>
        <v>0</v>
      </c>
      <c r="AB18" s="376">
        <f>COUNTIFS('KIDS&amp;ADULTS'!$V$3:$V$12006,U18,'KIDS&amp;ADULTS'!$B$3:$B$12006,$AB$3,'KIDS&amp;ADULTS'!$N$3:$N$12006,"Đã đóng học phí")</f>
        <v>0</v>
      </c>
      <c r="AC18" s="376">
        <f>COUNTIFS('KIDS&amp;ADULTS'!$V$3:$V$12006,U18,'KIDS&amp;ADULTS'!$B$3:$B$12006,$AC$3,'KIDS&amp;ADULTS'!$N$3:$N$12006,"Đã đóng học phí")</f>
        <v>0</v>
      </c>
    </row>
    <row r="19" ht="15.75" customHeight="1">
      <c r="A19" s="372">
        <v>45215.0</v>
      </c>
      <c r="B19" s="373">
        <f>sumifs('KIDS&amp;ADULTS'!$Z$3:$Z$1015,'KIDS&amp;ADULTS'!$V$3:$V$1015,A19,'KIDS&amp;ADULTS'!$M$3:$M$1015,$B$3)</f>
        <v>0</v>
      </c>
      <c r="C19" s="373">
        <f>sumifs('KIDS&amp;ADULTS'!$Z$3:$Z$1015,'KIDS&amp;ADULTS'!$V$3:$V$1015,A19,'KIDS&amp;ADULTS'!$M$3:$M$1015,"phương")</f>
        <v>0</v>
      </c>
      <c r="D19" s="373">
        <f>sumifs('KIDS&amp;ADULTS'!$Z$3:$Z$1015,'KIDS&amp;ADULTS'!$V$3:$V$1015,A19,'KIDS&amp;ADULTS'!$M$3:$M$1015,$D$3)</f>
        <v>0</v>
      </c>
      <c r="E19" s="373">
        <f>sumifs('KIDS&amp;ADULTS'!$Z$3:$Z$1015,'KIDS&amp;ADULTS'!$V$3:$V$1015,A19,'KIDS&amp;ADULTS'!$M$3:$M$1015,"Ánh")</f>
        <v>7875000</v>
      </c>
      <c r="F19" s="373">
        <f>sumifs('KIDS&amp;ADULTS'!$Z$3:$Z$1015,'KIDS&amp;ADULTS'!$V$3:$V$1015,A19,'KIDS&amp;ADULTS'!$M$3:$M$1015,"Loan")</f>
        <v>0</v>
      </c>
      <c r="G19" s="373">
        <f t="shared" si="1"/>
        <v>7875000</v>
      </c>
      <c r="J19" s="372">
        <v>45215.0</v>
      </c>
      <c r="K19" s="374">
        <f>COUNTIFS('KIDS&amp;ADULTS'!$A$3:$A$12008,J19,'KIDS&amp;ADULTS'!$B$3:$B$12008,$K$3)</f>
        <v>0</v>
      </c>
      <c r="L19" s="374">
        <f>COUNTIFS('KIDS&amp;ADULTS'!$A$3:$A$12008,J19,'KIDS&amp;ADULTS'!$B$3:$B$12008,$L$3)</f>
        <v>0</v>
      </c>
      <c r="M19" s="374">
        <f>COUNTIFS('KIDS&amp;ADULTS'!$A$3:$A$12008,J19,'KIDS&amp;ADULTS'!$B$3:$B$12008,$M$3)</f>
        <v>0</v>
      </c>
      <c r="N19" s="375">
        <f>COUNTIFS('KIDS&amp;ADULTS'!$A$3:$A$12008,J19,'KIDS&amp;ADULTS'!$B$3:$B$12008,$N$3)</f>
        <v>0</v>
      </c>
      <c r="O19" s="375">
        <f>COUNTIFS('KIDS&amp;ADULTS'!$A$3:$A$12008,J19,'KIDS&amp;ADULTS'!$B$3:$B$12008,$O$3)</f>
        <v>0</v>
      </c>
      <c r="P19" s="375">
        <f>COUNTIFS('KIDS&amp;ADULTS'!$A$3:$A$12008,J19,'KIDS&amp;ADULTS'!$B$3:$B$12008,$P$3)</f>
        <v>0</v>
      </c>
      <c r="Q19" s="375">
        <f>COUNTIFS('KIDS&amp;ADULTS'!$A$3:$A$1008,J19,'KIDS&amp;ADULTS'!$B$3:$B$1008,$Q$3)</f>
        <v>0</v>
      </c>
      <c r="R19" s="374">
        <f>COUNTIFS('KIDS&amp;ADULTS'!$A$3:$A$12008,J19,'KIDS&amp;ADULTS'!$B$3:$B$12008,$R$3)</f>
        <v>0</v>
      </c>
      <c r="U19" s="372">
        <f t="shared" si="3"/>
        <v>45215</v>
      </c>
      <c r="V19" s="376">
        <f>COUNTIFS('KIDS&amp;ADULTS'!$V$3:$V$12006,U19,'KIDS&amp;ADULTS'!$B$3:$B$12006,$K$3,'KIDS&amp;ADULTS'!$N$3:$N$12006,"Đã đóng học phí")</f>
        <v>0</v>
      </c>
      <c r="W19" s="376">
        <f>COUNTIFS('KIDS&amp;ADULTS'!$V$3:$V$12006,U19,'KIDS&amp;ADULTS'!$B$3:$B12021,$W$3,'KIDS&amp;ADULTS'!$N$3:$N$12006,"Đã đóng học phí")</f>
        <v>0</v>
      </c>
      <c r="X19" s="376">
        <f>COUNTIFS('KIDS&amp;ADULTS'!$V$3:$V$12006,U19,'KIDS&amp;ADULTS'!$B$3:$B$12006,$X$3,'KIDS&amp;ADULTS'!$N$3:$N$12006,"Đã đóng học phí")</f>
        <v>0</v>
      </c>
      <c r="Y19" s="376">
        <f>COUNTIFS('KIDS&amp;ADULTS'!$V$3:$V$12006,U19,'KIDS&amp;ADULTS'!$B$3:$B$12006,$Y$3,'KIDS&amp;ADULTS'!$N$3:$N$12006,"Đã đóng học phí")</f>
        <v>2</v>
      </c>
      <c r="Z19" s="376">
        <f>COUNTIFS('KIDS&amp;ADULTS'!$V$3:$V$12006,U19,'KIDS&amp;ADULTS'!$B$3:$B$12006,$Z$3,'KIDS&amp;ADULTS'!$N$3:$N$12006,"Đã đóng học phí")</f>
        <v>0</v>
      </c>
      <c r="AA19" s="376">
        <f>COUNTIFS('KIDS&amp;ADULTS'!$V$3:$V$12006,U19,'KIDS&amp;ADULTS'!$B$3:$B$12006,$AA$3,'KIDS&amp;ADULTS'!$N$3:$N$12006,"Đã đóng học phí")</f>
        <v>0</v>
      </c>
      <c r="AB19" s="376">
        <f>COUNTIFS('KIDS&amp;ADULTS'!$V$3:$V$12006,U19,'KIDS&amp;ADULTS'!$B$3:$B$12006,$AB$3,'KIDS&amp;ADULTS'!$N$3:$N$12006,"Đã đóng học phí")</f>
        <v>0</v>
      </c>
      <c r="AC19" s="376">
        <f>COUNTIFS('KIDS&amp;ADULTS'!$V$3:$V$12006,U19,'KIDS&amp;ADULTS'!$B$3:$B$12006,$AC$3,'KIDS&amp;ADULTS'!$N$3:$N$12006,"Đã đóng học phí")</f>
        <v>0</v>
      </c>
    </row>
    <row r="20" ht="15.75" customHeight="1">
      <c r="A20" s="372">
        <v>45216.0</v>
      </c>
      <c r="B20" s="373">
        <f>sumifs('KIDS&amp;ADULTS'!$Z$3:$Z$1015,'KIDS&amp;ADULTS'!$V$3:$V$1015,A20,'KIDS&amp;ADULTS'!$M$3:$M$1015,$B$3)</f>
        <v>0</v>
      </c>
      <c r="C20" s="373">
        <f>sumifs('KIDS&amp;ADULTS'!$Z$3:$Z$1015,'KIDS&amp;ADULTS'!$V$3:$V$1015,A20,'KIDS&amp;ADULTS'!$M$3:$M$1015,"phương")</f>
        <v>0</v>
      </c>
      <c r="D20" s="373">
        <f>sumifs('KIDS&amp;ADULTS'!$Z$3:$Z$1015,'KIDS&amp;ADULTS'!$V$3:$V$1015,A20,'KIDS&amp;ADULTS'!$M$3:$M$1015,$D$3)</f>
        <v>0</v>
      </c>
      <c r="E20" s="373">
        <f>sumifs('KIDS&amp;ADULTS'!$Z$3:$Z$1015,'KIDS&amp;ADULTS'!$V$3:$V$1015,A20,'KIDS&amp;ADULTS'!$M$3:$M$1015,"Ánh")</f>
        <v>3062000</v>
      </c>
      <c r="F20" s="373">
        <f>sumifs('KIDS&amp;ADULTS'!$Z$3:$Z$1015,'KIDS&amp;ADULTS'!$V$3:$V$1015,A20,'KIDS&amp;ADULTS'!$M$3:$M$1015,"Loan")</f>
        <v>0</v>
      </c>
      <c r="G20" s="373">
        <f t="shared" si="1"/>
        <v>3062000</v>
      </c>
      <c r="J20" s="372">
        <v>45216.0</v>
      </c>
      <c r="K20" s="374">
        <f>COUNTIFS('KIDS&amp;ADULTS'!$A$3:$A$12008,J20,'KIDS&amp;ADULTS'!$B$3:$B$12008,$K$3)</f>
        <v>0</v>
      </c>
      <c r="L20" s="374">
        <f>COUNTIFS('KIDS&amp;ADULTS'!$A$3:$A$12008,J20,'KIDS&amp;ADULTS'!$B$3:$B$12008,$L$3)</f>
        <v>0</v>
      </c>
      <c r="M20" s="374">
        <f>COUNTIFS('KIDS&amp;ADULTS'!$A$3:$A$12008,J20,'KIDS&amp;ADULTS'!$B$3:$B$12008,$M$3)</f>
        <v>0</v>
      </c>
      <c r="N20" s="375">
        <f>COUNTIFS('KIDS&amp;ADULTS'!$A$3:$A$12008,J20,'KIDS&amp;ADULTS'!$B$3:$B$12008,$N$3)</f>
        <v>0</v>
      </c>
      <c r="O20" s="375">
        <f>COUNTIFS('KIDS&amp;ADULTS'!$A$3:$A$12008,J20,'KIDS&amp;ADULTS'!$B$3:$B$12008,$O$3)</f>
        <v>1</v>
      </c>
      <c r="P20" s="375">
        <f>COUNTIFS('KIDS&amp;ADULTS'!$A$3:$A$12008,J20,'KIDS&amp;ADULTS'!$B$3:$B$12008,$P$3)</f>
        <v>0</v>
      </c>
      <c r="Q20" s="375">
        <f>COUNTIFS('KIDS&amp;ADULTS'!$A$3:$A$1008,J20,'KIDS&amp;ADULTS'!$B$3:$B$1008,$Q$3)</f>
        <v>0</v>
      </c>
      <c r="R20" s="374">
        <f>COUNTIFS('KIDS&amp;ADULTS'!$A$3:$A$12008,J20,'KIDS&amp;ADULTS'!$B$3:$B$12008,$R$3)</f>
        <v>0</v>
      </c>
      <c r="U20" s="372">
        <f t="shared" si="3"/>
        <v>45216</v>
      </c>
      <c r="V20" s="376">
        <f>COUNTIFS('KIDS&amp;ADULTS'!$V$3:$V$12006,U20,'KIDS&amp;ADULTS'!$B$3:$B$12006,$K$3,'KIDS&amp;ADULTS'!$N$3:$N$12006,"Đã đóng học phí")</f>
        <v>0</v>
      </c>
      <c r="W20" s="376">
        <f>COUNTIFS('KIDS&amp;ADULTS'!$V$3:$V$12006,U20,'KIDS&amp;ADULTS'!$B$3:$B12022,$W$3,'KIDS&amp;ADULTS'!$N$3:$N$12006,"Đã đóng học phí")</f>
        <v>0</v>
      </c>
      <c r="X20" s="376">
        <f>COUNTIFS('KIDS&amp;ADULTS'!$V$3:$V$12006,U20,'KIDS&amp;ADULTS'!$B$3:$B$12006,$X$3,'KIDS&amp;ADULTS'!$N$3:$N$12006,"Đã đóng học phí")</f>
        <v>0</v>
      </c>
      <c r="Y20" s="376">
        <f>COUNTIFS('KIDS&amp;ADULTS'!$V$3:$V$12006,U20,'KIDS&amp;ADULTS'!$B$3:$B$12006,$Y$3,'KIDS&amp;ADULTS'!$N$3:$N$12006,"Đã đóng học phí")</f>
        <v>1</v>
      </c>
      <c r="Z20" s="376">
        <f>COUNTIFS('KIDS&amp;ADULTS'!$V$3:$V$12006,U20,'KIDS&amp;ADULTS'!$B$3:$B$12006,$Z$3,'KIDS&amp;ADULTS'!$N$3:$N$12006,"Đã đóng học phí")</f>
        <v>0</v>
      </c>
      <c r="AA20" s="376">
        <f>COUNTIFS('KIDS&amp;ADULTS'!$V$3:$V$12006,U20,'KIDS&amp;ADULTS'!$B$3:$B$12006,$AA$3,'KIDS&amp;ADULTS'!$N$3:$N$12006,"Đã đóng học phí")</f>
        <v>0</v>
      </c>
      <c r="AB20" s="376">
        <f>COUNTIFS('KIDS&amp;ADULTS'!$V$3:$V$12006,U20,'KIDS&amp;ADULTS'!$B$3:$B$12006,$AB$3,'KIDS&amp;ADULTS'!$N$3:$N$12006,"Đã đóng học phí")</f>
        <v>0</v>
      </c>
      <c r="AC20" s="376">
        <f>COUNTIFS('KIDS&amp;ADULTS'!$V$3:$V$12006,U20,'KIDS&amp;ADULTS'!$B$3:$B$12006,$AC$3,'KIDS&amp;ADULTS'!$N$3:$N$12006,"Đã đóng học phí")</f>
        <v>0</v>
      </c>
    </row>
    <row r="21" ht="15.75" customHeight="1">
      <c r="A21" s="372">
        <v>45217.0</v>
      </c>
      <c r="B21" s="373">
        <f>sumifs('KIDS&amp;ADULTS'!$Z$3:$Z$1015,'KIDS&amp;ADULTS'!$V$3:$V$1015,A21,'KIDS&amp;ADULTS'!$M$3:$M$1015,$B$3)</f>
        <v>0</v>
      </c>
      <c r="C21" s="373">
        <f>sumifs('KIDS&amp;ADULTS'!$Z$3:$Z$1015,'KIDS&amp;ADULTS'!$V$3:$V$1015,A21,'KIDS&amp;ADULTS'!$M$3:$M$1015,"phương")</f>
        <v>0</v>
      </c>
      <c r="D21" s="373">
        <f>sumifs('KIDS&amp;ADULTS'!$Z$3:$Z$1015,'KIDS&amp;ADULTS'!$V$3:$V$1015,A21,'KIDS&amp;ADULTS'!$M$3:$M$1015,$D$3)</f>
        <v>0</v>
      </c>
      <c r="E21" s="373">
        <f>sumifs('KIDS&amp;ADULTS'!$Z$3:$Z$1015,'KIDS&amp;ADULTS'!$V$3:$V$1015,A21,'KIDS&amp;ADULTS'!$M$3:$M$1015,"Ánh")</f>
        <v>0</v>
      </c>
      <c r="F21" s="373">
        <f>sumifs('KIDS&amp;ADULTS'!$Z$3:$Z$1015,'KIDS&amp;ADULTS'!$V$3:$V$1015,A21,'KIDS&amp;ADULTS'!$M$3:$M$1015,"Loan")</f>
        <v>0</v>
      </c>
      <c r="G21" s="373">
        <f t="shared" si="1"/>
        <v>0</v>
      </c>
      <c r="J21" s="372">
        <v>45217.0</v>
      </c>
      <c r="K21" s="374">
        <f>COUNTIFS('KIDS&amp;ADULTS'!$A$3:$A$12008,J21,'KIDS&amp;ADULTS'!$B$3:$B$12008,$K$3)</f>
        <v>0</v>
      </c>
      <c r="L21" s="374">
        <f>COUNTIFS('KIDS&amp;ADULTS'!$A$3:$A$12008,J21,'KIDS&amp;ADULTS'!$B$3:$B$12008,$L$3)</f>
        <v>0</v>
      </c>
      <c r="M21" s="374">
        <f>COUNTIFS('KIDS&amp;ADULTS'!$A$3:$A$12008,J21,'KIDS&amp;ADULTS'!$B$3:$B$12008,$M$3)</f>
        <v>0</v>
      </c>
      <c r="N21" s="375">
        <f>COUNTIFS('KIDS&amp;ADULTS'!$A$3:$A$12008,J21,'KIDS&amp;ADULTS'!$B$3:$B$12008,$N$3)</f>
        <v>0</v>
      </c>
      <c r="O21" s="375">
        <f>COUNTIFS('KIDS&amp;ADULTS'!$A$3:$A$12008,J21,'KIDS&amp;ADULTS'!$B$3:$B$12008,$O$3)</f>
        <v>0</v>
      </c>
      <c r="P21" s="375">
        <f>COUNTIFS('KIDS&amp;ADULTS'!$A$3:$A$12008,J21,'KIDS&amp;ADULTS'!$B$3:$B$12008,$P$3)</f>
        <v>0</v>
      </c>
      <c r="Q21" s="375">
        <f>COUNTIFS('KIDS&amp;ADULTS'!$A$3:$A$1008,J21,'KIDS&amp;ADULTS'!$B$3:$B$1008,$Q$3)</f>
        <v>0</v>
      </c>
      <c r="R21" s="374">
        <f>COUNTIFS('KIDS&amp;ADULTS'!$A$3:$A$12008,J21,'KIDS&amp;ADULTS'!$B$3:$B$12008,$R$3)</f>
        <v>0</v>
      </c>
      <c r="U21" s="372">
        <f t="shared" si="3"/>
        <v>45217</v>
      </c>
      <c r="V21" s="376">
        <f>COUNTIFS('KIDS&amp;ADULTS'!$V$3:$V$12006,U21,'KIDS&amp;ADULTS'!$B$3:$B$12006,$K$3,'KIDS&amp;ADULTS'!$N$3:$N$12006,"Đã đóng học phí")</f>
        <v>0</v>
      </c>
      <c r="W21" s="376">
        <f>COUNTIFS('KIDS&amp;ADULTS'!$V$3:$V$12006,U21,'KIDS&amp;ADULTS'!$B$3:$B12023,$W$3,'KIDS&amp;ADULTS'!$N$3:$N$12006,"Đã đóng học phí")</f>
        <v>0</v>
      </c>
      <c r="X21" s="376">
        <f>COUNTIFS('KIDS&amp;ADULTS'!$V$3:$V$12006,U21,'KIDS&amp;ADULTS'!$B$3:$B$12006,$X$3,'KIDS&amp;ADULTS'!$N$3:$N$12006,"Đã đóng học phí")</f>
        <v>0</v>
      </c>
      <c r="Y21" s="376">
        <f>COUNTIFS('KIDS&amp;ADULTS'!$V$3:$V$12006,U21,'KIDS&amp;ADULTS'!$B$3:$B$12006,$Y$3,'KIDS&amp;ADULTS'!$N$3:$N$12006,"Đã đóng học phí")</f>
        <v>0</v>
      </c>
      <c r="Z21" s="376">
        <f>COUNTIFS('KIDS&amp;ADULTS'!$V$3:$V$12006,U21,'KIDS&amp;ADULTS'!$B$3:$B$12006,$Z$3,'KIDS&amp;ADULTS'!$N$3:$N$12006,"Đã đóng học phí")</f>
        <v>0</v>
      </c>
      <c r="AA21" s="376">
        <f>COUNTIFS('KIDS&amp;ADULTS'!$V$3:$V$12006,U21,'KIDS&amp;ADULTS'!$B$3:$B$12006,$AA$3,'KIDS&amp;ADULTS'!$N$3:$N$12006,"Đã đóng học phí")</f>
        <v>0</v>
      </c>
      <c r="AB21" s="376">
        <f>COUNTIFS('KIDS&amp;ADULTS'!$V$3:$V$12006,U21,'KIDS&amp;ADULTS'!$B$3:$B$12006,$AB$3,'KIDS&amp;ADULTS'!$N$3:$N$12006,"Đã đóng học phí")</f>
        <v>0</v>
      </c>
      <c r="AC21" s="376">
        <f>COUNTIFS('KIDS&amp;ADULTS'!$V$3:$V$12006,U21,'KIDS&amp;ADULTS'!$B$3:$B$12006,$AC$3,'KIDS&amp;ADULTS'!$N$3:$N$12006,"Đã đóng học phí")</f>
        <v>0</v>
      </c>
    </row>
    <row r="22" ht="15.75" customHeight="1">
      <c r="A22" s="372">
        <v>45218.0</v>
      </c>
      <c r="B22" s="373">
        <f>sumifs('KIDS&amp;ADULTS'!$Z$3:$Z$1015,'KIDS&amp;ADULTS'!$V$3:$V$1015,A22,'KIDS&amp;ADULTS'!$M$3:$M$1015,$B$3)</f>
        <v>0</v>
      </c>
      <c r="C22" s="373">
        <f>sumifs('KIDS&amp;ADULTS'!$Z$3:$Z$1015,'KIDS&amp;ADULTS'!$V$3:$V$1015,A22,'KIDS&amp;ADULTS'!$M$3:$M$1015,"phương")</f>
        <v>0</v>
      </c>
      <c r="D22" s="373">
        <f>sumifs('KIDS&amp;ADULTS'!$Z$3:$Z$1015,'KIDS&amp;ADULTS'!$V$3:$V$1015,A22,'KIDS&amp;ADULTS'!$M$3:$M$1015,$D$3)</f>
        <v>0</v>
      </c>
      <c r="E22" s="373">
        <f>sumifs('KIDS&amp;ADULTS'!$Z$3:$Z$1015,'KIDS&amp;ADULTS'!$V$3:$V$1015,A22,'KIDS&amp;ADULTS'!$M$3:$M$1015,"Ánh")</f>
        <v>3264000</v>
      </c>
      <c r="F22" s="373">
        <f>sumifs('KIDS&amp;ADULTS'!$Z$3:$Z$1015,'KIDS&amp;ADULTS'!$V$3:$V$1015,A22,'KIDS&amp;ADULTS'!$M$3:$M$1015,"Loan")</f>
        <v>0</v>
      </c>
      <c r="G22" s="373">
        <f t="shared" si="1"/>
        <v>3264000</v>
      </c>
      <c r="J22" s="372">
        <v>45218.0</v>
      </c>
      <c r="K22" s="374">
        <f>COUNTIFS('KIDS&amp;ADULTS'!$A$3:$A$12008,J22,'KIDS&amp;ADULTS'!$B$3:$B$12008,$K$3)</f>
        <v>0</v>
      </c>
      <c r="L22" s="374">
        <f>COUNTIFS('KIDS&amp;ADULTS'!$A$3:$A$12008,J22,'KIDS&amp;ADULTS'!$B$3:$B$12008,$L$3)</f>
        <v>0</v>
      </c>
      <c r="M22" s="374">
        <f>COUNTIFS('KIDS&amp;ADULTS'!$A$3:$A$12008,J22,'KIDS&amp;ADULTS'!$B$3:$B$12008,$M$3)</f>
        <v>0</v>
      </c>
      <c r="N22" s="375">
        <f>COUNTIFS('KIDS&amp;ADULTS'!$A$3:$A$12008,J22,'KIDS&amp;ADULTS'!$B$3:$B$12008,$N$3)</f>
        <v>1</v>
      </c>
      <c r="O22" s="375">
        <f>COUNTIFS('KIDS&amp;ADULTS'!$A$3:$A$12008,J22,'KIDS&amp;ADULTS'!$B$3:$B$12008,$O$3)</f>
        <v>0</v>
      </c>
      <c r="P22" s="375">
        <f>COUNTIFS('KIDS&amp;ADULTS'!$A$3:$A$12008,J22,'KIDS&amp;ADULTS'!$B$3:$B$12008,$P$3)</f>
        <v>0</v>
      </c>
      <c r="Q22" s="375">
        <f>COUNTIFS('KIDS&amp;ADULTS'!$A$3:$A$1008,J22,'KIDS&amp;ADULTS'!$B$3:$B$1008,$Q$3)</f>
        <v>0</v>
      </c>
      <c r="R22" s="374">
        <f>COUNTIFS('KIDS&amp;ADULTS'!$A$3:$A$12008,J22,'KIDS&amp;ADULTS'!$B$3:$B$12008,$R$3)</f>
        <v>0</v>
      </c>
      <c r="U22" s="372">
        <f t="shared" si="3"/>
        <v>45218</v>
      </c>
      <c r="V22" s="376">
        <f>COUNTIFS('KIDS&amp;ADULTS'!$V$3:$V$12006,U22,'KIDS&amp;ADULTS'!$B$3:$B$12006,$K$3,'KIDS&amp;ADULTS'!$N$3:$N$12006,"Đã đóng học phí")</f>
        <v>0</v>
      </c>
      <c r="W22" s="376">
        <f>COUNTIFS('KIDS&amp;ADULTS'!$V$3:$V$12006,U22,'KIDS&amp;ADULTS'!$B$3:$B12024,$W$3,'KIDS&amp;ADULTS'!$N$3:$N$12006,"Đã đóng học phí")</f>
        <v>0</v>
      </c>
      <c r="X22" s="376">
        <f>COUNTIFS('KIDS&amp;ADULTS'!$V$3:$V$12006,U22,'KIDS&amp;ADULTS'!$B$3:$B$12006,$X$3,'KIDS&amp;ADULTS'!$N$3:$N$12006,"Đã đóng học phí")</f>
        <v>0</v>
      </c>
      <c r="Y22" s="376">
        <f>COUNTIFS('KIDS&amp;ADULTS'!$V$3:$V$12006,U22,'KIDS&amp;ADULTS'!$B$3:$B$12006,$Y$3,'KIDS&amp;ADULTS'!$N$3:$N$12006,"Đã đóng học phí")</f>
        <v>0</v>
      </c>
      <c r="Z22" s="376">
        <f>COUNTIFS('KIDS&amp;ADULTS'!$V$3:$V$12006,U22,'KIDS&amp;ADULTS'!$B$3:$B$12006,$Z$3,'KIDS&amp;ADULTS'!$N$3:$N$12006,"Đã đóng học phí")</f>
        <v>1</v>
      </c>
      <c r="AA22" s="376">
        <f>COUNTIFS('KIDS&amp;ADULTS'!$V$3:$V$12006,U22,'KIDS&amp;ADULTS'!$B$3:$B$12006,$AA$3,'KIDS&amp;ADULTS'!$N$3:$N$12006,"Đã đóng học phí")</f>
        <v>0</v>
      </c>
      <c r="AB22" s="376">
        <f>COUNTIFS('KIDS&amp;ADULTS'!$V$3:$V$12006,U22,'KIDS&amp;ADULTS'!$B$3:$B$12006,$AB$3,'KIDS&amp;ADULTS'!$N$3:$N$12006,"Đã đóng học phí")</f>
        <v>0</v>
      </c>
      <c r="AC22" s="376">
        <f>COUNTIFS('KIDS&amp;ADULTS'!$V$3:$V$12006,U22,'KIDS&amp;ADULTS'!$B$3:$B$12006,$AC$3,'KIDS&amp;ADULTS'!$N$3:$N$12006,"Đã đóng học phí")</f>
        <v>0</v>
      </c>
    </row>
    <row r="23" ht="15.75" customHeight="1">
      <c r="A23" s="372">
        <v>45219.0</v>
      </c>
      <c r="B23" s="373">
        <f>sumifs('KIDS&amp;ADULTS'!$Z$3:$Z$1015,'KIDS&amp;ADULTS'!$V$3:$V$1015,A23,'KIDS&amp;ADULTS'!$M$3:$M$1015,$B$3)</f>
        <v>0</v>
      </c>
      <c r="C23" s="373">
        <f>sumifs('KIDS&amp;ADULTS'!$Z$3:$Z$1015,'KIDS&amp;ADULTS'!$V$3:$V$1015,A23,'KIDS&amp;ADULTS'!$M$3:$M$1015,"phương")</f>
        <v>0</v>
      </c>
      <c r="D23" s="373">
        <f>sumifs('KIDS&amp;ADULTS'!$Z$3:$Z$1015,'KIDS&amp;ADULTS'!$V$3:$V$1015,A23,'KIDS&amp;ADULTS'!$M$3:$M$1015,$D$3)</f>
        <v>0</v>
      </c>
      <c r="E23" s="373">
        <f>sumifs('KIDS&amp;ADULTS'!$Z$3:$Z$1015,'KIDS&amp;ADULTS'!$V$3:$V$1015,A23,'KIDS&amp;ADULTS'!$M$3:$M$1015,"Ánh")</f>
        <v>2496000</v>
      </c>
      <c r="F23" s="373">
        <f>sumifs('KIDS&amp;ADULTS'!$Z$3:$Z$1015,'KIDS&amp;ADULTS'!$V$3:$V$1015,A23,'KIDS&amp;ADULTS'!$M$3:$M$1015,"Loan")</f>
        <v>0</v>
      </c>
      <c r="G23" s="373">
        <f t="shared" si="1"/>
        <v>2496000</v>
      </c>
      <c r="J23" s="372">
        <v>45219.0</v>
      </c>
      <c r="K23" s="374">
        <f>COUNTIFS('KIDS&amp;ADULTS'!$A$3:$A$12008,J23,'KIDS&amp;ADULTS'!$B$3:$B$12008,$K$3)</f>
        <v>0</v>
      </c>
      <c r="L23" s="374">
        <f>COUNTIFS('KIDS&amp;ADULTS'!$A$3:$A$12008,J23,'KIDS&amp;ADULTS'!$B$3:$B$12008,$L$3)</f>
        <v>0</v>
      </c>
      <c r="M23" s="374">
        <f>COUNTIFS('KIDS&amp;ADULTS'!$A$3:$A$12008,J23,'KIDS&amp;ADULTS'!$B$3:$B$12008,$M$3)</f>
        <v>0</v>
      </c>
      <c r="N23" s="375">
        <f>COUNTIFS('KIDS&amp;ADULTS'!$A$3:$A$12008,J23,'KIDS&amp;ADULTS'!$B$3:$B$12008,$N$3)</f>
        <v>0</v>
      </c>
      <c r="O23" s="375">
        <f>COUNTIFS('KIDS&amp;ADULTS'!$A$3:$A$12008,J23,'KIDS&amp;ADULTS'!$B$3:$B$12008,$O$3)</f>
        <v>0</v>
      </c>
      <c r="P23" s="375">
        <f>COUNTIFS('KIDS&amp;ADULTS'!$A$3:$A$12008,J23,'KIDS&amp;ADULTS'!$B$3:$B$12008,$P$3)</f>
        <v>0</v>
      </c>
      <c r="Q23" s="375">
        <f>COUNTIFS('KIDS&amp;ADULTS'!$A$3:$A$1008,J23,'KIDS&amp;ADULTS'!$B$3:$B$1008,$Q$3)</f>
        <v>0</v>
      </c>
      <c r="R23" s="374">
        <f>COUNTIFS('KIDS&amp;ADULTS'!$A$3:$A$12008,J23,'KIDS&amp;ADULTS'!$B$3:$B$12008,$R$3)</f>
        <v>0</v>
      </c>
      <c r="U23" s="372">
        <f t="shared" si="3"/>
        <v>45219</v>
      </c>
      <c r="V23" s="376">
        <f>COUNTIFS('KIDS&amp;ADULTS'!$V$3:$V$12006,U23,'KIDS&amp;ADULTS'!$B$3:$B$12006,$K$3,'KIDS&amp;ADULTS'!$N$3:$N$12006,"Đã đóng học phí")</f>
        <v>0</v>
      </c>
      <c r="W23" s="376">
        <f>COUNTIFS('KIDS&amp;ADULTS'!$V$3:$V$12006,U23,'KIDS&amp;ADULTS'!$B$3:$B12025,$W$3,'KIDS&amp;ADULTS'!$N$3:$N$12006,"Đã đóng học phí")</f>
        <v>0</v>
      </c>
      <c r="X23" s="376">
        <f>COUNTIFS('KIDS&amp;ADULTS'!$V$3:$V$12006,U23,'KIDS&amp;ADULTS'!$B$3:$B$12006,$X$3,'KIDS&amp;ADULTS'!$N$3:$N$12006,"Đã đóng học phí")</f>
        <v>0</v>
      </c>
      <c r="Y23" s="376">
        <f>COUNTIFS('KIDS&amp;ADULTS'!$V$3:$V$12006,U23,'KIDS&amp;ADULTS'!$B$3:$B$12006,$Y$3,'KIDS&amp;ADULTS'!$N$3:$N$12006,"Đã đóng học phí")</f>
        <v>0</v>
      </c>
      <c r="Z23" s="376">
        <f>COUNTIFS('KIDS&amp;ADULTS'!$V$3:$V$12006,U23,'KIDS&amp;ADULTS'!$B$3:$B$12006,$Z$3,'KIDS&amp;ADULTS'!$N$3:$N$12006,"Đã đóng học phí")</f>
        <v>0</v>
      </c>
      <c r="AA23" s="376">
        <f>COUNTIFS('KIDS&amp;ADULTS'!$V$3:$V$12006,U23,'KIDS&amp;ADULTS'!$B$3:$B$12006,$AA$3,'KIDS&amp;ADULTS'!$N$3:$N$12006,"Đã đóng học phí")</f>
        <v>0</v>
      </c>
      <c r="AB23" s="376">
        <f>COUNTIFS('KIDS&amp;ADULTS'!$V$3:$V$12006,U23,'KIDS&amp;ADULTS'!$B$3:$B$12006,$AB$3,'KIDS&amp;ADULTS'!$N$3:$N$12006,"Đã đóng học phí")</f>
        <v>0</v>
      </c>
      <c r="AC23" s="376">
        <f>COUNTIFS('KIDS&amp;ADULTS'!$V$3:$V$12006,U23,'KIDS&amp;ADULTS'!$B$3:$B$12006,$AC$3,'KIDS&amp;ADULTS'!$N$3:$N$12006,"Đã đóng học phí")</f>
        <v>0</v>
      </c>
    </row>
    <row r="24" ht="15.75" customHeight="1">
      <c r="A24" s="372">
        <v>45220.0</v>
      </c>
      <c r="B24" s="373">
        <f>sumifs('KIDS&amp;ADULTS'!$Z$3:$Z$1015,'KIDS&amp;ADULTS'!$V$3:$V$1015,A24,'KIDS&amp;ADULTS'!$M$3:$M$1015,$B$3)</f>
        <v>0</v>
      </c>
      <c r="C24" s="373">
        <f>sumifs('KIDS&amp;ADULTS'!$Z$3:$Z$1015,'KIDS&amp;ADULTS'!$V$3:$V$1015,A24,'KIDS&amp;ADULTS'!$M$3:$M$1015,"phương")</f>
        <v>0</v>
      </c>
      <c r="D24" s="373">
        <f>sumifs('KIDS&amp;ADULTS'!$Z$3:$Z$1015,'KIDS&amp;ADULTS'!$V$3:$V$1015,A24,'KIDS&amp;ADULTS'!$M$3:$M$1015,$D$3)</f>
        <v>0</v>
      </c>
      <c r="E24" s="373">
        <f>sumifs('KIDS&amp;ADULTS'!$Z$3:$Z$1015,'KIDS&amp;ADULTS'!$V$3:$V$1015,A24,'KIDS&amp;ADULTS'!$M$3:$M$1015,"Ánh")</f>
        <v>0</v>
      </c>
      <c r="F24" s="373">
        <f>sumifs('KIDS&amp;ADULTS'!$Z$3:$Z$1015,'KIDS&amp;ADULTS'!$V$3:$V$1015,A24,'KIDS&amp;ADULTS'!$M$3:$M$1015,"Loan")</f>
        <v>0</v>
      </c>
      <c r="G24" s="373">
        <f t="shared" si="1"/>
        <v>0</v>
      </c>
      <c r="J24" s="372">
        <v>45220.0</v>
      </c>
      <c r="K24" s="374">
        <f>COUNTIFS('KIDS&amp;ADULTS'!$A$3:$A$12008,J24,'KIDS&amp;ADULTS'!$B$3:$B$12008,$K$3)</f>
        <v>0</v>
      </c>
      <c r="L24" s="374">
        <f>COUNTIFS('KIDS&amp;ADULTS'!$A$3:$A$12008,J24,'KIDS&amp;ADULTS'!$B$3:$B$12008,$L$3)</f>
        <v>0</v>
      </c>
      <c r="M24" s="374">
        <f>COUNTIFS('KIDS&amp;ADULTS'!$A$3:$A$12008,J24,'KIDS&amp;ADULTS'!$B$3:$B$12008,$M$3)</f>
        <v>0</v>
      </c>
      <c r="N24" s="375">
        <f>COUNTIFS('KIDS&amp;ADULTS'!$A$3:$A$12008,J24,'KIDS&amp;ADULTS'!$B$3:$B$12008,$N$3)</f>
        <v>0</v>
      </c>
      <c r="O24" s="375">
        <f>COUNTIFS('KIDS&amp;ADULTS'!$A$3:$A$12008,J24,'KIDS&amp;ADULTS'!$B$3:$B$12008,$O$3)</f>
        <v>0</v>
      </c>
      <c r="P24" s="375">
        <f>COUNTIFS('KIDS&amp;ADULTS'!$A$3:$A$12008,J24,'KIDS&amp;ADULTS'!$B$3:$B$12008,$P$3)</f>
        <v>0</v>
      </c>
      <c r="Q24" s="375">
        <f>COUNTIFS('KIDS&amp;ADULTS'!$A$3:$A$1008,J24,'KIDS&amp;ADULTS'!$B$3:$B$1008,$Q$3)</f>
        <v>0</v>
      </c>
      <c r="R24" s="374">
        <f>COUNTIFS('KIDS&amp;ADULTS'!$A$3:$A$12008,J24,'KIDS&amp;ADULTS'!$B$3:$B$12008,$R$3)</f>
        <v>0</v>
      </c>
      <c r="U24" s="372">
        <f t="shared" si="3"/>
        <v>45220</v>
      </c>
      <c r="V24" s="376">
        <f>COUNTIFS('KIDS&amp;ADULTS'!$V$3:$V$12006,U24,'KIDS&amp;ADULTS'!$B$3:$B$12006,$K$3,'KIDS&amp;ADULTS'!$N$3:$N$12006,"Đã đóng học phí")</f>
        <v>0</v>
      </c>
      <c r="W24" s="376">
        <f>COUNTIFS('KIDS&amp;ADULTS'!$V$3:$V$12006,U24,'KIDS&amp;ADULTS'!$B$3:$B12026,$W$3,'KIDS&amp;ADULTS'!$N$3:$N$12006,"Đã đóng học phí")</f>
        <v>0</v>
      </c>
      <c r="X24" s="376">
        <f>COUNTIFS('KIDS&amp;ADULTS'!$V$3:$V$12006,U24,'KIDS&amp;ADULTS'!$B$3:$B$12006,$X$3,'KIDS&amp;ADULTS'!$N$3:$N$12006,"Đã đóng học phí")</f>
        <v>0</v>
      </c>
      <c r="Y24" s="376">
        <f>COUNTIFS('KIDS&amp;ADULTS'!$V$3:$V$12006,U24,'KIDS&amp;ADULTS'!$B$3:$B$12006,$Y$3,'KIDS&amp;ADULTS'!$N$3:$N$12006,"Đã đóng học phí")</f>
        <v>0</v>
      </c>
      <c r="Z24" s="376">
        <f>COUNTIFS('KIDS&amp;ADULTS'!$V$3:$V$12006,U24,'KIDS&amp;ADULTS'!$B$3:$B$12006,$Z$3,'KIDS&amp;ADULTS'!$N$3:$N$12006,"Đã đóng học phí")</f>
        <v>0</v>
      </c>
      <c r="AA24" s="376">
        <f>COUNTIFS('KIDS&amp;ADULTS'!$V$3:$V$12006,U24,'KIDS&amp;ADULTS'!$B$3:$B$12006,$AA$3,'KIDS&amp;ADULTS'!$N$3:$N$12006,"Đã đóng học phí")</f>
        <v>0</v>
      </c>
      <c r="AB24" s="376">
        <f>COUNTIFS('KIDS&amp;ADULTS'!$V$3:$V$12006,U24,'KIDS&amp;ADULTS'!$B$3:$B$12006,$AB$3,'KIDS&amp;ADULTS'!$N$3:$N$12006,"Đã đóng học phí")</f>
        <v>0</v>
      </c>
      <c r="AC24" s="376">
        <f>COUNTIFS('KIDS&amp;ADULTS'!$V$3:$V$12006,U24,'KIDS&amp;ADULTS'!$B$3:$B$12006,$AC$3,'KIDS&amp;ADULTS'!$N$3:$N$12006,"Đã đóng học phí")</f>
        <v>0</v>
      </c>
    </row>
    <row r="25" ht="15.75" customHeight="1">
      <c r="A25" s="372">
        <v>45221.0</v>
      </c>
      <c r="B25" s="373">
        <f>sumifs('KIDS&amp;ADULTS'!$Z$3:$Z$1015,'KIDS&amp;ADULTS'!$V$3:$V$1015,A25,'KIDS&amp;ADULTS'!$M$3:$M$1015,$B$3)</f>
        <v>0</v>
      </c>
      <c r="C25" s="373">
        <f>sumifs('KIDS&amp;ADULTS'!$Z$3:$Z$1015,'KIDS&amp;ADULTS'!$V$3:$V$1015,A25,'KIDS&amp;ADULTS'!$M$3:$M$1015,"phương")</f>
        <v>0</v>
      </c>
      <c r="D25" s="373">
        <f>sumifs('KIDS&amp;ADULTS'!$Z$3:$Z$1015,'KIDS&amp;ADULTS'!$V$3:$V$1015,A25,'KIDS&amp;ADULTS'!$M$3:$M$1015,$D$3)</f>
        <v>0</v>
      </c>
      <c r="E25" s="373">
        <f>sumifs('KIDS&amp;ADULTS'!$Z$3:$Z$1015,'KIDS&amp;ADULTS'!$V$3:$V$1015,A25,'KIDS&amp;ADULTS'!$M$3:$M$1015,"Ánh")</f>
        <v>0</v>
      </c>
      <c r="F25" s="373">
        <f>sumifs('KIDS&amp;ADULTS'!$Z$3:$Z$1015,'KIDS&amp;ADULTS'!$V$3:$V$1015,A25,'KIDS&amp;ADULTS'!$M$3:$M$1015,"Loan")</f>
        <v>0</v>
      </c>
      <c r="G25" s="373">
        <f t="shared" si="1"/>
        <v>0</v>
      </c>
      <c r="J25" s="372">
        <v>45221.0</v>
      </c>
      <c r="K25" s="374">
        <f>COUNTIFS('KIDS&amp;ADULTS'!$A$3:$A$12008,J25,'KIDS&amp;ADULTS'!$B$3:$B$12008,$K$3)</f>
        <v>0</v>
      </c>
      <c r="L25" s="374">
        <f>COUNTIFS('KIDS&amp;ADULTS'!$A$3:$A$12008,J25,'KIDS&amp;ADULTS'!$B$3:$B$12008,$L$3)</f>
        <v>0</v>
      </c>
      <c r="M25" s="374">
        <f>COUNTIFS('KIDS&amp;ADULTS'!$A$3:$A$12008,J25,'KIDS&amp;ADULTS'!$B$3:$B$12008,$M$3)</f>
        <v>0</v>
      </c>
      <c r="N25" s="375">
        <f>COUNTIFS('KIDS&amp;ADULTS'!$A$3:$A$12008,J25,'KIDS&amp;ADULTS'!$B$3:$B$12008,$N$3)</f>
        <v>0</v>
      </c>
      <c r="O25" s="375">
        <f>COUNTIFS('KIDS&amp;ADULTS'!$A$3:$A$12008,J25,'KIDS&amp;ADULTS'!$B$3:$B$12008,$O$3)</f>
        <v>0</v>
      </c>
      <c r="P25" s="375">
        <f>COUNTIFS('KIDS&amp;ADULTS'!$A$3:$A$12008,J25,'KIDS&amp;ADULTS'!$B$3:$B$12008,$P$3)</f>
        <v>0</v>
      </c>
      <c r="Q25" s="375">
        <f>COUNTIFS('KIDS&amp;ADULTS'!$A$3:$A$1008,J25,'KIDS&amp;ADULTS'!$B$3:$B$1008,$Q$3)</f>
        <v>0</v>
      </c>
      <c r="R25" s="374">
        <f>COUNTIFS('KIDS&amp;ADULTS'!$A$3:$A$12008,J25,'KIDS&amp;ADULTS'!$B$3:$B$12008,$R$3)</f>
        <v>0</v>
      </c>
      <c r="U25" s="372">
        <f t="shared" si="3"/>
        <v>45221</v>
      </c>
      <c r="V25" s="376">
        <f>COUNTIFS('KIDS&amp;ADULTS'!$V$3:$V$12006,U25,'KIDS&amp;ADULTS'!$B$3:$B$12006,$K$3,'KIDS&amp;ADULTS'!$N$3:$N$12006,"Đã đóng học phí")</f>
        <v>0</v>
      </c>
      <c r="W25" s="376">
        <f>COUNTIFS('KIDS&amp;ADULTS'!$V$3:$V$12006,U25,'KIDS&amp;ADULTS'!$B$3:$B12027,$W$3,'KIDS&amp;ADULTS'!$N$3:$N$12006,"Đã đóng học phí")</f>
        <v>0</v>
      </c>
      <c r="X25" s="376">
        <f>COUNTIFS('KIDS&amp;ADULTS'!$V$3:$V$12006,U25,'KIDS&amp;ADULTS'!$B$3:$B$12006,$X$3,'KIDS&amp;ADULTS'!$N$3:$N$12006,"Đã đóng học phí")</f>
        <v>0</v>
      </c>
      <c r="Y25" s="376">
        <f>COUNTIFS('KIDS&amp;ADULTS'!$V$3:$V$12006,U25,'KIDS&amp;ADULTS'!$B$3:$B$12006,$Y$3,'KIDS&amp;ADULTS'!$N$3:$N$12006,"Đã đóng học phí")</f>
        <v>0</v>
      </c>
      <c r="Z25" s="376">
        <f>COUNTIFS('KIDS&amp;ADULTS'!$V$3:$V$12006,U25,'KIDS&amp;ADULTS'!$B$3:$B$12006,$Z$3,'KIDS&amp;ADULTS'!$N$3:$N$12006,"Đã đóng học phí")</f>
        <v>0</v>
      </c>
      <c r="AA25" s="376">
        <f>COUNTIFS('KIDS&amp;ADULTS'!$V$3:$V$12006,U25,'KIDS&amp;ADULTS'!$B$3:$B$12006,$AA$3,'KIDS&amp;ADULTS'!$N$3:$N$12006,"Đã đóng học phí")</f>
        <v>0</v>
      </c>
      <c r="AB25" s="376">
        <f>COUNTIFS('KIDS&amp;ADULTS'!$V$3:$V$12006,U25,'KIDS&amp;ADULTS'!$B$3:$B$12006,$AB$3,'KIDS&amp;ADULTS'!$N$3:$N$12006,"Đã đóng học phí")</f>
        <v>0</v>
      </c>
      <c r="AC25" s="376">
        <f>COUNTIFS('KIDS&amp;ADULTS'!$V$3:$V$12006,U25,'KIDS&amp;ADULTS'!$B$3:$B$12006,$AC$3,'KIDS&amp;ADULTS'!$N$3:$N$12006,"Đã đóng học phí")</f>
        <v>0</v>
      </c>
    </row>
    <row r="26" ht="15.75" customHeight="1">
      <c r="A26" s="372">
        <v>45222.0</v>
      </c>
      <c r="B26" s="373">
        <f>sumifs('KIDS&amp;ADULTS'!$Z$3:$Z$1015,'KIDS&amp;ADULTS'!$V$3:$V$1015,A26,'KIDS&amp;ADULTS'!$M$3:$M$1015,$B$3)</f>
        <v>0</v>
      </c>
      <c r="C26" s="373">
        <f>sumifs('KIDS&amp;ADULTS'!$Z$3:$Z$1015,'KIDS&amp;ADULTS'!$V$3:$V$1015,A26,'KIDS&amp;ADULTS'!$M$3:$M$1015,"phương")</f>
        <v>0</v>
      </c>
      <c r="D26" s="373">
        <f>sumifs('KIDS&amp;ADULTS'!$Z$3:$Z$1015,'KIDS&amp;ADULTS'!$V$3:$V$1015,A26,'KIDS&amp;ADULTS'!$M$3:$M$1015,$D$3)</f>
        <v>0</v>
      </c>
      <c r="E26" s="373">
        <f>sumifs('KIDS&amp;ADULTS'!$Z$3:$Z$1015,'KIDS&amp;ADULTS'!$V$3:$V$1015,A26,'KIDS&amp;ADULTS'!$M$3:$M$1015,"Ánh")</f>
        <v>0</v>
      </c>
      <c r="F26" s="373">
        <f>sumifs('KIDS&amp;ADULTS'!$Z$3:$Z$1015,'KIDS&amp;ADULTS'!$V$3:$V$1015,A26,'KIDS&amp;ADULTS'!$M$3:$M$1015,"Loan")</f>
        <v>0</v>
      </c>
      <c r="G26" s="373">
        <f t="shared" si="1"/>
        <v>0</v>
      </c>
      <c r="J26" s="372">
        <v>45222.0</v>
      </c>
      <c r="K26" s="374">
        <f>COUNTIFS('KIDS&amp;ADULTS'!$A$3:$A$12008,J26,'KIDS&amp;ADULTS'!$B$3:$B$12008,$K$3)</f>
        <v>0</v>
      </c>
      <c r="L26" s="374">
        <f>COUNTIFS('KIDS&amp;ADULTS'!$A$3:$A$12008,J26,'KIDS&amp;ADULTS'!$B$3:$B$12008,$L$3)</f>
        <v>0</v>
      </c>
      <c r="M26" s="374">
        <f>COUNTIFS('KIDS&amp;ADULTS'!$A$3:$A$12008,J26,'KIDS&amp;ADULTS'!$B$3:$B$12008,$M$3)</f>
        <v>0</v>
      </c>
      <c r="N26" s="375">
        <f>COUNTIFS('KIDS&amp;ADULTS'!$A$3:$A$12008,J26,'KIDS&amp;ADULTS'!$B$3:$B$12008,$N$3)</f>
        <v>0</v>
      </c>
      <c r="O26" s="375">
        <f>COUNTIFS('KIDS&amp;ADULTS'!$A$3:$A$12008,J26,'KIDS&amp;ADULTS'!$B$3:$B$12008,$O$3)</f>
        <v>0</v>
      </c>
      <c r="P26" s="375">
        <f>COUNTIFS('KIDS&amp;ADULTS'!$A$3:$A$12008,J26,'KIDS&amp;ADULTS'!$B$3:$B$12008,$P$3)</f>
        <v>0</v>
      </c>
      <c r="Q26" s="375">
        <f>COUNTIFS('KIDS&amp;ADULTS'!$A$3:$A$1008,J26,'KIDS&amp;ADULTS'!$B$3:$B$1008,$Q$3)</f>
        <v>0</v>
      </c>
      <c r="R26" s="374">
        <f>COUNTIFS('KIDS&amp;ADULTS'!$A$3:$A$12008,J26,'KIDS&amp;ADULTS'!$B$3:$B$12008,$R$3)</f>
        <v>0</v>
      </c>
      <c r="U26" s="372">
        <f t="shared" si="3"/>
        <v>45222</v>
      </c>
      <c r="V26" s="376">
        <f>COUNTIFS('KIDS&amp;ADULTS'!$V$3:$V$12006,U26,'KIDS&amp;ADULTS'!$B$3:$B$12006,$K$3,'KIDS&amp;ADULTS'!$N$3:$N$12006,"Đã đóng học phí")</f>
        <v>0</v>
      </c>
      <c r="W26" s="376">
        <f>COUNTIFS('KIDS&amp;ADULTS'!$V$3:$V$12006,U26,'KIDS&amp;ADULTS'!$B$3:$B12028,$W$3,'KIDS&amp;ADULTS'!$N$3:$N$12006,"Đã đóng học phí")</f>
        <v>0</v>
      </c>
      <c r="X26" s="376">
        <f>COUNTIFS('KIDS&amp;ADULTS'!$V$3:$V$12006,U26,'KIDS&amp;ADULTS'!$B$3:$B$12006,$X$3,'KIDS&amp;ADULTS'!$N$3:$N$12006,"Đã đóng học phí")</f>
        <v>0</v>
      </c>
      <c r="Y26" s="376">
        <f>COUNTIFS('KIDS&amp;ADULTS'!$V$3:$V$12006,U26,'KIDS&amp;ADULTS'!$B$3:$B$12006,$Y$3,'KIDS&amp;ADULTS'!$N$3:$N$12006,"Đã đóng học phí")</f>
        <v>0</v>
      </c>
      <c r="Z26" s="376">
        <f>COUNTIFS('KIDS&amp;ADULTS'!$V$3:$V$12006,U26,'KIDS&amp;ADULTS'!$B$3:$B$12006,$Z$3,'KIDS&amp;ADULTS'!$N$3:$N$12006,"Đã đóng học phí")</f>
        <v>0</v>
      </c>
      <c r="AA26" s="376">
        <f>COUNTIFS('KIDS&amp;ADULTS'!$V$3:$V$12006,U26,'KIDS&amp;ADULTS'!$B$3:$B$12006,$AA$3,'KIDS&amp;ADULTS'!$N$3:$N$12006,"Đã đóng học phí")</f>
        <v>0</v>
      </c>
      <c r="AB26" s="376">
        <f>COUNTIFS('KIDS&amp;ADULTS'!$V$3:$V$12006,U26,'KIDS&amp;ADULTS'!$B$3:$B$12006,$AB$3,'KIDS&amp;ADULTS'!$N$3:$N$12006,"Đã đóng học phí")</f>
        <v>0</v>
      </c>
      <c r="AC26" s="376">
        <f>COUNTIFS('KIDS&amp;ADULTS'!$V$3:$V$12006,U26,'KIDS&amp;ADULTS'!$B$3:$B$12006,$AC$3,'KIDS&amp;ADULTS'!$N$3:$N$12006,"Đã đóng học phí")</f>
        <v>0</v>
      </c>
    </row>
    <row r="27" ht="15.75" customHeight="1">
      <c r="A27" s="372">
        <v>45223.0</v>
      </c>
      <c r="B27" s="373">
        <f>sumifs('KIDS&amp;ADULTS'!$Z$3:$Z$1015,'KIDS&amp;ADULTS'!$V$3:$V$1015,A27,'KIDS&amp;ADULTS'!$M$3:$M$1015,$B$3)</f>
        <v>0</v>
      </c>
      <c r="C27" s="373">
        <f>sumifs('KIDS&amp;ADULTS'!$Z$3:$Z$1015,'KIDS&amp;ADULTS'!$V$3:$V$1015,A27,'KIDS&amp;ADULTS'!$M$3:$M$1015,"phương")</f>
        <v>0</v>
      </c>
      <c r="D27" s="373">
        <f>sumifs('KIDS&amp;ADULTS'!$Z$3:$Z$1015,'KIDS&amp;ADULTS'!$V$3:$V$1015,A27,'KIDS&amp;ADULTS'!$M$3:$M$1015,$D$3)</f>
        <v>0</v>
      </c>
      <c r="E27" s="373">
        <f>sumifs('KIDS&amp;ADULTS'!$Z$3:$Z$1015,'KIDS&amp;ADULTS'!$V$3:$V$1015,A27,'KIDS&amp;ADULTS'!$M$3:$M$1015,"Ánh")</f>
        <v>5328000</v>
      </c>
      <c r="F27" s="373">
        <f>sumifs('KIDS&amp;ADULTS'!$Z$3:$Z$1015,'KIDS&amp;ADULTS'!$V$3:$V$1015,A27,'KIDS&amp;ADULTS'!$M$3:$M$1015,"Loan")</f>
        <v>0</v>
      </c>
      <c r="G27" s="373">
        <f t="shared" si="1"/>
        <v>5328000</v>
      </c>
      <c r="J27" s="372">
        <v>45223.0</v>
      </c>
      <c r="K27" s="374">
        <f>COUNTIFS('KIDS&amp;ADULTS'!$A$3:$A$12008,J27,'KIDS&amp;ADULTS'!$B$3:$B$12008,$K$3)</f>
        <v>0</v>
      </c>
      <c r="L27" s="374">
        <f>COUNTIFS('KIDS&amp;ADULTS'!$A$3:$A$12008,J27,'KIDS&amp;ADULTS'!$B$3:$B$12008,$L$3)</f>
        <v>0</v>
      </c>
      <c r="M27" s="374">
        <f>COUNTIFS('KIDS&amp;ADULTS'!$A$3:$A$12008,J27,'KIDS&amp;ADULTS'!$B$3:$B$12008,$M$3)</f>
        <v>0</v>
      </c>
      <c r="N27" s="375">
        <f>COUNTIFS('KIDS&amp;ADULTS'!$A$3:$A$12008,J27,'KIDS&amp;ADULTS'!$B$3:$B$12008,$N$3)</f>
        <v>0</v>
      </c>
      <c r="O27" s="375">
        <f>COUNTIFS('KIDS&amp;ADULTS'!$A$3:$A$12008,J27,'KIDS&amp;ADULTS'!$B$3:$B$12008,$O$3)</f>
        <v>2</v>
      </c>
      <c r="P27" s="375">
        <f>COUNTIFS('KIDS&amp;ADULTS'!$A$3:$A$12008,J27,'KIDS&amp;ADULTS'!$B$3:$B$12008,$P$3)</f>
        <v>0</v>
      </c>
      <c r="Q27" s="375">
        <f>COUNTIFS('KIDS&amp;ADULTS'!$A$3:$A$1008,J27,'KIDS&amp;ADULTS'!$B$3:$B$1008,$Q$3)</f>
        <v>0</v>
      </c>
      <c r="R27" s="374">
        <f>COUNTIFS('KIDS&amp;ADULTS'!$A$3:$A$12008,J27,'KIDS&amp;ADULTS'!$B$3:$B$12008,$R$3)</f>
        <v>0</v>
      </c>
      <c r="U27" s="372">
        <f t="shared" si="3"/>
        <v>45223</v>
      </c>
      <c r="V27" s="376">
        <f>COUNTIFS('KIDS&amp;ADULTS'!$V$3:$V$12006,U27,'KIDS&amp;ADULTS'!$B$3:$B$12006,$K$3,'KIDS&amp;ADULTS'!$N$3:$N$12006,"Đã đóng học phí")</f>
        <v>0</v>
      </c>
      <c r="W27" s="376">
        <f>COUNTIFS('KIDS&amp;ADULTS'!$V$3:$V$12006,U27,'KIDS&amp;ADULTS'!$B$3:$B12029,$W$3,'KIDS&amp;ADULTS'!$N$3:$N$12006,"Đã đóng học phí")</f>
        <v>0</v>
      </c>
      <c r="X27" s="376">
        <f>COUNTIFS('KIDS&amp;ADULTS'!$V$3:$V$12006,U27,'KIDS&amp;ADULTS'!$B$3:$B$12006,$X$3,'KIDS&amp;ADULTS'!$N$3:$N$12006,"Đã đóng học phí")</f>
        <v>0</v>
      </c>
      <c r="Y27" s="376">
        <f>COUNTIFS('KIDS&amp;ADULTS'!$V$3:$V$12006,U27,'KIDS&amp;ADULTS'!$B$3:$B$12006,$Y$3,'KIDS&amp;ADULTS'!$N$3:$N$12006,"Đã đóng học phí")</f>
        <v>1</v>
      </c>
      <c r="Z27" s="376">
        <f>COUNTIFS('KIDS&amp;ADULTS'!$V$3:$V$12006,U27,'KIDS&amp;ADULTS'!$B$3:$B$12006,$Z$3,'KIDS&amp;ADULTS'!$N$3:$N$12006,"Đã đóng học phí")</f>
        <v>0</v>
      </c>
      <c r="AA27" s="376">
        <f>COUNTIFS('KIDS&amp;ADULTS'!$V$3:$V$12006,U27,'KIDS&amp;ADULTS'!$B$3:$B$12006,$AA$3,'KIDS&amp;ADULTS'!$N$3:$N$12006,"Đã đóng học phí")</f>
        <v>0</v>
      </c>
      <c r="AB27" s="376">
        <f>COUNTIFS('KIDS&amp;ADULTS'!$V$3:$V$12006,U27,'KIDS&amp;ADULTS'!$B$3:$B$12006,$AB$3,'KIDS&amp;ADULTS'!$N$3:$N$12006,"Đã đóng học phí")</f>
        <v>0</v>
      </c>
      <c r="AC27" s="376">
        <f>COUNTIFS('KIDS&amp;ADULTS'!$V$3:$V$12006,U27,'KIDS&amp;ADULTS'!$B$3:$B$12006,$AC$3,'KIDS&amp;ADULTS'!$N$3:$N$12006,"Đã đóng học phí")</f>
        <v>0</v>
      </c>
    </row>
    <row r="28" ht="15.75" customHeight="1">
      <c r="A28" s="372">
        <v>45224.0</v>
      </c>
      <c r="B28" s="373">
        <f>sumifs('KIDS&amp;ADULTS'!$Z$3:$Z$1015,'KIDS&amp;ADULTS'!$V$3:$V$1015,A28,'KIDS&amp;ADULTS'!$M$3:$M$1015,$B$3)</f>
        <v>0</v>
      </c>
      <c r="C28" s="373">
        <f>sumifs('KIDS&amp;ADULTS'!$Z$3:$Z$1015,'KIDS&amp;ADULTS'!$V$3:$V$1015,A28,'KIDS&amp;ADULTS'!$M$3:$M$1015,"phương")</f>
        <v>0</v>
      </c>
      <c r="D28" s="373">
        <f>sumifs('KIDS&amp;ADULTS'!$Z$3:$Z$1015,'KIDS&amp;ADULTS'!$V$3:$V$1015,A28,'KIDS&amp;ADULTS'!$M$3:$M$1015,$D$3)</f>
        <v>0</v>
      </c>
      <c r="E28" s="373">
        <f>sumifs('KIDS&amp;ADULTS'!$Z$3:$Z$1015,'KIDS&amp;ADULTS'!$V$3:$V$1015,A28,'KIDS&amp;ADULTS'!$M$3:$M$1015,"Ánh")</f>
        <v>0</v>
      </c>
      <c r="F28" s="373">
        <f>sumifs('KIDS&amp;ADULTS'!$Z$3:$Z$1015,'KIDS&amp;ADULTS'!$V$3:$V$1015,A28,'KIDS&amp;ADULTS'!$M$3:$M$1015,"Loan")</f>
        <v>0</v>
      </c>
      <c r="G28" s="373">
        <f t="shared" si="1"/>
        <v>0</v>
      </c>
      <c r="J28" s="372">
        <v>45224.0</v>
      </c>
      <c r="K28" s="374">
        <f>COUNTIFS('KIDS&amp;ADULTS'!$A$3:$A$12008,J28,'KIDS&amp;ADULTS'!$B$3:$B$12008,$K$3)</f>
        <v>0</v>
      </c>
      <c r="L28" s="374">
        <f>COUNTIFS('KIDS&amp;ADULTS'!$A$3:$A$12008,J28,'KIDS&amp;ADULTS'!$B$3:$B$12008,$L$3)</f>
        <v>0</v>
      </c>
      <c r="M28" s="374">
        <f>COUNTIFS('KIDS&amp;ADULTS'!$A$3:$A$12008,J28,'KIDS&amp;ADULTS'!$B$3:$B$12008,$M$3)</f>
        <v>0</v>
      </c>
      <c r="N28" s="375">
        <f>COUNTIFS('KIDS&amp;ADULTS'!$A$3:$A$12008,J28,'KIDS&amp;ADULTS'!$B$3:$B$12008,$N$3)</f>
        <v>0</v>
      </c>
      <c r="O28" s="375">
        <f>COUNTIFS('KIDS&amp;ADULTS'!$A$3:$A$12008,J28,'KIDS&amp;ADULTS'!$B$3:$B$12008,$O$3)</f>
        <v>0</v>
      </c>
      <c r="P28" s="375">
        <f>COUNTIFS('KIDS&amp;ADULTS'!$A$3:$A$12008,J28,'KIDS&amp;ADULTS'!$B$3:$B$12008,$P$3)</f>
        <v>0</v>
      </c>
      <c r="Q28" s="375">
        <f>COUNTIFS('KIDS&amp;ADULTS'!$A$3:$A$1008,J28,'KIDS&amp;ADULTS'!$B$3:$B$1008,$Q$3)</f>
        <v>0</v>
      </c>
      <c r="R28" s="374">
        <f>COUNTIFS('KIDS&amp;ADULTS'!$A$3:$A$12008,J28,'KIDS&amp;ADULTS'!$B$3:$B$12008,$R$3)</f>
        <v>0</v>
      </c>
      <c r="U28" s="372">
        <f t="shared" si="3"/>
        <v>45224</v>
      </c>
      <c r="V28" s="376">
        <f>COUNTIFS('KIDS&amp;ADULTS'!$V$3:$V$12006,U28,'KIDS&amp;ADULTS'!$B$3:$B$12006,$K$3,'KIDS&amp;ADULTS'!$N$3:$N$12006,"Đã đóng học phí")</f>
        <v>0</v>
      </c>
      <c r="W28" s="376">
        <f>COUNTIFS('KIDS&amp;ADULTS'!$V$3:$V$12006,U28,'KIDS&amp;ADULTS'!$B$3:$B12030,$W$3,'KIDS&amp;ADULTS'!$N$3:$N$12006,"Đã đóng học phí")</f>
        <v>0</v>
      </c>
      <c r="X28" s="376">
        <f>COUNTIFS('KIDS&amp;ADULTS'!$V$3:$V$12006,U28,'KIDS&amp;ADULTS'!$B$3:$B$12006,$X$3,'KIDS&amp;ADULTS'!$N$3:$N$12006,"Đã đóng học phí")</f>
        <v>0</v>
      </c>
      <c r="Y28" s="376">
        <f>COUNTIFS('KIDS&amp;ADULTS'!$V$3:$V$12006,U28,'KIDS&amp;ADULTS'!$B$3:$B$12006,$Y$3,'KIDS&amp;ADULTS'!$N$3:$N$12006,"Đã đóng học phí")</f>
        <v>0</v>
      </c>
      <c r="Z28" s="376">
        <f>COUNTIFS('KIDS&amp;ADULTS'!$V$3:$V$12006,U28,'KIDS&amp;ADULTS'!$B$3:$B$12006,$Z$3,'KIDS&amp;ADULTS'!$N$3:$N$12006,"Đã đóng học phí")</f>
        <v>0</v>
      </c>
      <c r="AA28" s="376">
        <f>COUNTIFS('KIDS&amp;ADULTS'!$V$3:$V$12006,U28,'KIDS&amp;ADULTS'!$B$3:$B$12006,$AA$3,'KIDS&amp;ADULTS'!$N$3:$N$12006,"Đã đóng học phí")</f>
        <v>0</v>
      </c>
      <c r="AB28" s="376">
        <f>COUNTIFS('KIDS&amp;ADULTS'!$V$3:$V$12006,U28,'KIDS&amp;ADULTS'!$B$3:$B$12006,$AB$3,'KIDS&amp;ADULTS'!$N$3:$N$12006,"Đã đóng học phí")</f>
        <v>0</v>
      </c>
      <c r="AC28" s="376">
        <f>COUNTIFS('KIDS&amp;ADULTS'!$V$3:$V$12006,U28,'KIDS&amp;ADULTS'!$B$3:$B$12006,$AC$3,'KIDS&amp;ADULTS'!$N$3:$N$12006,"Đã đóng học phí")</f>
        <v>0</v>
      </c>
    </row>
    <row r="29" ht="15.75" customHeight="1">
      <c r="A29" s="372">
        <v>45225.0</v>
      </c>
      <c r="B29" s="373">
        <f>sumifs('KIDS&amp;ADULTS'!$Z$3:$Z$1015,'KIDS&amp;ADULTS'!$V$3:$V$1015,A29,'KIDS&amp;ADULTS'!$M$3:$M$1015,$B$3)</f>
        <v>0</v>
      </c>
      <c r="C29" s="373">
        <f>sumifs('KIDS&amp;ADULTS'!$Z$3:$Z$1015,'KIDS&amp;ADULTS'!$V$3:$V$1015,A29,'KIDS&amp;ADULTS'!$M$3:$M$1015,"phương")</f>
        <v>0</v>
      </c>
      <c r="D29" s="373">
        <f>sumifs('KIDS&amp;ADULTS'!$Z$3:$Z$1015,'KIDS&amp;ADULTS'!$V$3:$V$1015,A29,'KIDS&amp;ADULTS'!$M$3:$M$1015,$D$3)</f>
        <v>0</v>
      </c>
      <c r="E29" s="373">
        <f>sumifs('KIDS&amp;ADULTS'!$Z$3:$Z$1015,'KIDS&amp;ADULTS'!$V$3:$V$1015,A29,'KIDS&amp;ADULTS'!$M$3:$M$1015,"Ánh")</f>
        <v>0</v>
      </c>
      <c r="F29" s="373">
        <f>sumifs('KIDS&amp;ADULTS'!$Z$3:$Z$1015,'KIDS&amp;ADULTS'!$V$3:$V$1015,A29,'KIDS&amp;ADULTS'!$M$3:$M$1015,"Loan")</f>
        <v>0</v>
      </c>
      <c r="G29" s="373">
        <f t="shared" si="1"/>
        <v>0</v>
      </c>
      <c r="J29" s="372">
        <v>45225.0</v>
      </c>
      <c r="K29" s="374">
        <f>COUNTIFS('KIDS&amp;ADULTS'!$A$3:$A$12008,J29,'KIDS&amp;ADULTS'!$B$3:$B$12008,$K$3)</f>
        <v>0</v>
      </c>
      <c r="L29" s="374">
        <f>COUNTIFS('KIDS&amp;ADULTS'!$A$3:$A$12008,J29,'KIDS&amp;ADULTS'!$B$3:$B$12008,$L$3)</f>
        <v>0</v>
      </c>
      <c r="M29" s="374">
        <f>COUNTIFS('KIDS&amp;ADULTS'!$A$3:$A$12008,J29,'KIDS&amp;ADULTS'!$B$3:$B$12008,$M$3)</f>
        <v>0</v>
      </c>
      <c r="N29" s="375">
        <f>COUNTIFS('KIDS&amp;ADULTS'!$A$3:$A$12008,J29,'KIDS&amp;ADULTS'!$B$3:$B$12008,$N$3)</f>
        <v>0</v>
      </c>
      <c r="O29" s="375">
        <f>COUNTIFS('KIDS&amp;ADULTS'!$A$3:$A$12008,J29,'KIDS&amp;ADULTS'!$B$3:$B$12008,$O$3)</f>
        <v>0</v>
      </c>
      <c r="P29" s="375">
        <f>COUNTIFS('KIDS&amp;ADULTS'!$A$3:$A$12008,J29,'KIDS&amp;ADULTS'!$B$3:$B$12008,$P$3)</f>
        <v>0</v>
      </c>
      <c r="Q29" s="375">
        <f>COUNTIFS('KIDS&amp;ADULTS'!$A$3:$A$1008,J29,'KIDS&amp;ADULTS'!$B$3:$B$1008,$Q$3)</f>
        <v>0</v>
      </c>
      <c r="R29" s="374">
        <f>COUNTIFS('KIDS&amp;ADULTS'!$A$3:$A$12008,J29,'KIDS&amp;ADULTS'!$B$3:$B$12008,$R$3)</f>
        <v>0</v>
      </c>
      <c r="U29" s="372">
        <f t="shared" si="3"/>
        <v>45225</v>
      </c>
      <c r="V29" s="376">
        <f>COUNTIFS('KIDS&amp;ADULTS'!$V$3:$V$12006,U29,'KIDS&amp;ADULTS'!$B$3:$B$12006,$K$3,'KIDS&amp;ADULTS'!$N$3:$N$12006,"Đã đóng học phí")</f>
        <v>0</v>
      </c>
      <c r="W29" s="376">
        <f>COUNTIFS('KIDS&amp;ADULTS'!$V$3:$V$12006,U29,'KIDS&amp;ADULTS'!$B$3:$B12031,$W$3,'KIDS&amp;ADULTS'!$N$3:$N$12006,"Đã đóng học phí")</f>
        <v>0</v>
      </c>
      <c r="X29" s="376">
        <f>COUNTIFS('KIDS&amp;ADULTS'!$V$3:$V$12006,U29,'KIDS&amp;ADULTS'!$B$3:$B$12006,$X$3,'KIDS&amp;ADULTS'!$N$3:$N$12006,"Đã đóng học phí")</f>
        <v>0</v>
      </c>
      <c r="Y29" s="376">
        <f>COUNTIFS('KIDS&amp;ADULTS'!$V$3:$V$12006,U29,'KIDS&amp;ADULTS'!$B$3:$B$12006,$Y$3,'KIDS&amp;ADULTS'!$N$3:$N$12006,"Đã đóng học phí")</f>
        <v>0</v>
      </c>
      <c r="Z29" s="376">
        <f>COUNTIFS('KIDS&amp;ADULTS'!$V$3:$V$12006,U29,'KIDS&amp;ADULTS'!$B$3:$B$12006,$Z$3,'KIDS&amp;ADULTS'!$N$3:$N$12006,"Đã đóng học phí")</f>
        <v>0</v>
      </c>
      <c r="AA29" s="376">
        <f>COUNTIFS('KIDS&amp;ADULTS'!$V$3:$V$12006,U29,'KIDS&amp;ADULTS'!$B$3:$B$12006,$AA$3,'KIDS&amp;ADULTS'!$N$3:$N$12006,"Đã đóng học phí")</f>
        <v>0</v>
      </c>
      <c r="AB29" s="376">
        <f>COUNTIFS('KIDS&amp;ADULTS'!$V$3:$V$12006,U29,'KIDS&amp;ADULTS'!$B$3:$B$12006,$AB$3,'KIDS&amp;ADULTS'!$N$3:$N$12006,"Đã đóng học phí")</f>
        <v>0</v>
      </c>
      <c r="AC29" s="376">
        <f>COUNTIFS('KIDS&amp;ADULTS'!$V$3:$V$12006,U29,'KIDS&amp;ADULTS'!$B$3:$B$12006,$AC$3,'KIDS&amp;ADULTS'!$N$3:$N$12006,"Đã đóng học phí")</f>
        <v>0</v>
      </c>
    </row>
    <row r="30" ht="15.75" customHeight="1">
      <c r="A30" s="372">
        <v>45226.0</v>
      </c>
      <c r="B30" s="373">
        <f>sumifs('KIDS&amp;ADULTS'!$Z$3:$Z$1015,'KIDS&amp;ADULTS'!$V$3:$V$1015,A30,'KIDS&amp;ADULTS'!$M$3:$M$1015,$B$3)</f>
        <v>0</v>
      </c>
      <c r="C30" s="373">
        <f>sumifs('KIDS&amp;ADULTS'!$Z$3:$Z$1015,'KIDS&amp;ADULTS'!$V$3:$V$1015,A30,'KIDS&amp;ADULTS'!$M$3:$M$1015,"phương")</f>
        <v>0</v>
      </c>
      <c r="D30" s="373">
        <f>sumifs('KIDS&amp;ADULTS'!$Z$3:$Z$1015,'KIDS&amp;ADULTS'!$V$3:$V$1015,A30,'KIDS&amp;ADULTS'!$M$3:$M$1015,$D$3)</f>
        <v>0</v>
      </c>
      <c r="E30" s="373">
        <f>sumifs('KIDS&amp;ADULTS'!$Z$3:$Z$1015,'KIDS&amp;ADULTS'!$V$3:$V$1015,A30,'KIDS&amp;ADULTS'!$M$3:$M$1015,"Ánh")</f>
        <v>4785000</v>
      </c>
      <c r="F30" s="373">
        <f>sumifs('KIDS&amp;ADULTS'!$Z$3:$Z$1015,'KIDS&amp;ADULTS'!$V$3:$V$1015,A30,'KIDS&amp;ADULTS'!$M$3:$M$1015,"Loan")</f>
        <v>0</v>
      </c>
      <c r="G30" s="373">
        <f t="shared" si="1"/>
        <v>4785000</v>
      </c>
      <c r="J30" s="372">
        <v>45226.0</v>
      </c>
      <c r="K30" s="374">
        <f>COUNTIFS('KIDS&amp;ADULTS'!$A$3:$A$12008,J30,'KIDS&amp;ADULTS'!$B$3:$B$12008,$K$3)</f>
        <v>0</v>
      </c>
      <c r="L30" s="374">
        <f>COUNTIFS('KIDS&amp;ADULTS'!$A$3:$A$12008,J30,'KIDS&amp;ADULTS'!$B$3:$B$12008,$L$3)</f>
        <v>0</v>
      </c>
      <c r="M30" s="374">
        <f>COUNTIFS('KIDS&amp;ADULTS'!$A$3:$A$12008,J30,'KIDS&amp;ADULTS'!$B$3:$B$12008,$M$3)</f>
        <v>0</v>
      </c>
      <c r="N30" s="375">
        <f>COUNTIFS('KIDS&amp;ADULTS'!$A$3:$A$12008,J30,'KIDS&amp;ADULTS'!$B$3:$B$12008,$N$3)</f>
        <v>0</v>
      </c>
      <c r="O30" s="375">
        <f>COUNTIFS('KIDS&amp;ADULTS'!$A$3:$A$12008,J30,'KIDS&amp;ADULTS'!$B$3:$B$12008,$O$3)</f>
        <v>0</v>
      </c>
      <c r="P30" s="375">
        <f>COUNTIFS('KIDS&amp;ADULTS'!$A$3:$A$12008,J30,'KIDS&amp;ADULTS'!$B$3:$B$12008,$P$3)</f>
        <v>0</v>
      </c>
      <c r="Q30" s="375">
        <f>COUNTIFS('KIDS&amp;ADULTS'!$A$3:$A$1008,J30,'KIDS&amp;ADULTS'!$B$3:$B$1008,$Q$3)</f>
        <v>3</v>
      </c>
      <c r="R30" s="374">
        <f>COUNTIFS('KIDS&amp;ADULTS'!$A$3:$A$12008,J30,'KIDS&amp;ADULTS'!$B$3:$B$12008,$R$3)</f>
        <v>0</v>
      </c>
      <c r="U30" s="372">
        <f t="shared" si="3"/>
        <v>45226</v>
      </c>
      <c r="V30" s="376">
        <f>COUNTIFS('KIDS&amp;ADULTS'!$V$3:$V$12006,U30,'KIDS&amp;ADULTS'!$B$3:$B$12006,$K$3,'KIDS&amp;ADULTS'!$N$3:$N$12006,"Đã đóng học phí")</f>
        <v>0</v>
      </c>
      <c r="W30" s="376">
        <f>COUNTIFS('KIDS&amp;ADULTS'!$V$3:$V$12006,U30,'KIDS&amp;ADULTS'!$B$3:$B12032,$W$3,'KIDS&amp;ADULTS'!$N$3:$N$12006,"Đã đóng học phí")</f>
        <v>0</v>
      </c>
      <c r="X30" s="376">
        <f>COUNTIFS('KIDS&amp;ADULTS'!$V$3:$V$12006,U30,'KIDS&amp;ADULTS'!$B$3:$B$12006,$X$3,'KIDS&amp;ADULTS'!$N$3:$N$12006,"Đã đóng học phí")</f>
        <v>0</v>
      </c>
      <c r="Y30" s="376">
        <f>COUNTIFS('KIDS&amp;ADULTS'!$V$3:$V$12006,U30,'KIDS&amp;ADULTS'!$B$3:$B$12006,$Y$3,'KIDS&amp;ADULTS'!$N$3:$N$12006,"Đã đóng học phí")</f>
        <v>0</v>
      </c>
      <c r="Z30" s="376">
        <f>COUNTIFS('KIDS&amp;ADULTS'!$V$3:$V$12006,U30,'KIDS&amp;ADULTS'!$B$3:$B$12006,$Z$3,'KIDS&amp;ADULTS'!$N$3:$N$12006,"Đã đóng học phí")</f>
        <v>1</v>
      </c>
      <c r="AA30" s="376">
        <f>COUNTIFS('KIDS&amp;ADULTS'!$V$3:$V$12006,U30,'KIDS&amp;ADULTS'!$B$3:$B$12006,$AA$3,'KIDS&amp;ADULTS'!$N$3:$N$12006,"Đã đóng học phí")</f>
        <v>0</v>
      </c>
      <c r="AB30" s="376">
        <f>COUNTIFS('KIDS&amp;ADULTS'!$V$3:$V$12006,U30,'KIDS&amp;ADULTS'!$B$3:$B$12006,$AB$3,'KIDS&amp;ADULTS'!$N$3:$N$12006,"Đã đóng học phí")</f>
        <v>0</v>
      </c>
      <c r="AC30" s="376">
        <f>COUNTIFS('KIDS&amp;ADULTS'!$V$3:$V$12006,U30,'KIDS&amp;ADULTS'!$B$3:$B$12006,$AC$3,'KIDS&amp;ADULTS'!$N$3:$N$12006,"Đã đóng học phí")</f>
        <v>0</v>
      </c>
    </row>
    <row r="31" ht="15.75" customHeight="1">
      <c r="A31" s="372">
        <v>45227.0</v>
      </c>
      <c r="B31" s="373">
        <f>sumifs('KIDS&amp;ADULTS'!$Z$3:$Z$1015,'KIDS&amp;ADULTS'!$V$3:$V$1015,A31,'KIDS&amp;ADULTS'!$M$3:$M$1015,$B$3)</f>
        <v>0</v>
      </c>
      <c r="C31" s="373">
        <f>sumifs('KIDS&amp;ADULTS'!$Z$3:$Z$1015,'KIDS&amp;ADULTS'!$V$3:$V$1015,A31,'KIDS&amp;ADULTS'!$M$3:$M$1015,"phương")</f>
        <v>0</v>
      </c>
      <c r="D31" s="373">
        <f>sumifs('KIDS&amp;ADULTS'!$Z$3:$Z$1015,'KIDS&amp;ADULTS'!$V$3:$V$1015,A31,'KIDS&amp;ADULTS'!$M$3:$M$1015,$D$3)</f>
        <v>0</v>
      </c>
      <c r="E31" s="373">
        <f>sumifs('KIDS&amp;ADULTS'!$Z$3:$Z$1015,'KIDS&amp;ADULTS'!$V$3:$V$1015,A31,'KIDS&amp;ADULTS'!$M$3:$M$1015,"Ánh")</f>
        <v>0</v>
      </c>
      <c r="F31" s="373">
        <f>sumifs('KIDS&amp;ADULTS'!$Z$3:$Z$1015,'KIDS&amp;ADULTS'!$V$3:$V$1015,A31,'KIDS&amp;ADULTS'!$M$3:$M$1015,"Loan")</f>
        <v>0</v>
      </c>
      <c r="G31" s="373">
        <f t="shared" si="1"/>
        <v>0</v>
      </c>
      <c r="J31" s="372">
        <v>45227.0</v>
      </c>
      <c r="K31" s="374">
        <f>COUNTIFS('KIDS&amp;ADULTS'!$A$3:$A$12008,J31,'KIDS&amp;ADULTS'!$B$3:$B$12008,$K$3)</f>
        <v>0</v>
      </c>
      <c r="L31" s="374">
        <f>COUNTIFS('KIDS&amp;ADULTS'!$A$3:$A$12008,J31,'KIDS&amp;ADULTS'!$B$3:$B$12008,$L$3)</f>
        <v>0</v>
      </c>
      <c r="M31" s="374">
        <f>COUNTIFS('KIDS&amp;ADULTS'!$A$3:$A$12008,J31,'KIDS&amp;ADULTS'!$B$3:$B$12008,$M$3)</f>
        <v>0</v>
      </c>
      <c r="N31" s="375">
        <f>COUNTIFS('KIDS&amp;ADULTS'!$A$3:$A$12008,J31,'KIDS&amp;ADULTS'!$B$3:$B$12008,$N$3)</f>
        <v>0</v>
      </c>
      <c r="O31" s="375">
        <f>COUNTIFS('KIDS&amp;ADULTS'!$A$3:$A$12008,J31,'KIDS&amp;ADULTS'!$B$3:$B$12008,$O$3)</f>
        <v>0</v>
      </c>
      <c r="P31" s="375">
        <f>COUNTIFS('KIDS&amp;ADULTS'!$A$3:$A$12008,J31,'KIDS&amp;ADULTS'!$B$3:$B$12008,$P$3)</f>
        <v>0</v>
      </c>
      <c r="Q31" s="375">
        <f>COUNTIFS('KIDS&amp;ADULTS'!$A$3:$A$1008,J31,'KIDS&amp;ADULTS'!$B$3:$B$1008,$Q$3)</f>
        <v>0</v>
      </c>
      <c r="R31" s="374">
        <f>COUNTIFS('KIDS&amp;ADULTS'!$A$3:$A$12008,J31,'KIDS&amp;ADULTS'!$B$3:$B$12008,$R$3)</f>
        <v>0</v>
      </c>
      <c r="U31" s="372">
        <f t="shared" si="3"/>
        <v>45227</v>
      </c>
      <c r="V31" s="376">
        <f>COUNTIFS('KIDS&amp;ADULTS'!$V$3:$V$12006,U31,'KIDS&amp;ADULTS'!$B$3:$B$12006,$K$3,'KIDS&amp;ADULTS'!$N$3:$N$12006,"Đã đóng học phí")</f>
        <v>0</v>
      </c>
      <c r="W31" s="376">
        <f>COUNTIFS('KIDS&amp;ADULTS'!$V$3:$V$12006,U31,'KIDS&amp;ADULTS'!$B$3:$B12033,$W$3,'KIDS&amp;ADULTS'!$N$3:$N$12006,"Đã đóng học phí")</f>
        <v>0</v>
      </c>
      <c r="X31" s="376">
        <f>COUNTIFS('KIDS&amp;ADULTS'!$V$3:$V$12006,U31,'KIDS&amp;ADULTS'!$B$3:$B$12006,$X$3,'KIDS&amp;ADULTS'!$N$3:$N$12006,"Đã đóng học phí")</f>
        <v>0</v>
      </c>
      <c r="Y31" s="376">
        <f>COUNTIFS('KIDS&amp;ADULTS'!$V$3:$V$12006,U31,'KIDS&amp;ADULTS'!$B$3:$B$12006,$Y$3,'KIDS&amp;ADULTS'!$N$3:$N$12006,"Đã đóng học phí")</f>
        <v>0</v>
      </c>
      <c r="Z31" s="376">
        <f>COUNTIFS('KIDS&amp;ADULTS'!$V$3:$V$12006,U31,'KIDS&amp;ADULTS'!$B$3:$B$12006,$Z$3,'KIDS&amp;ADULTS'!$N$3:$N$12006,"Đã đóng học phí")</f>
        <v>0</v>
      </c>
      <c r="AA31" s="376">
        <f>COUNTIFS('KIDS&amp;ADULTS'!$V$3:$V$12006,U31,'KIDS&amp;ADULTS'!$B$3:$B$12006,$AA$3,'KIDS&amp;ADULTS'!$N$3:$N$12006,"Đã đóng học phí")</f>
        <v>0</v>
      </c>
      <c r="AB31" s="376">
        <f>COUNTIFS('KIDS&amp;ADULTS'!$V$3:$V$12006,U31,'KIDS&amp;ADULTS'!$B$3:$B$12006,$AB$3,'KIDS&amp;ADULTS'!$N$3:$N$12006,"Đã đóng học phí")</f>
        <v>0</v>
      </c>
      <c r="AC31" s="376">
        <f>COUNTIFS('KIDS&amp;ADULTS'!$V$3:$V$12006,U31,'KIDS&amp;ADULTS'!$B$3:$B$12006,$AC$3,'KIDS&amp;ADULTS'!$N$3:$N$12006,"Đã đóng học phí")</f>
        <v>0</v>
      </c>
    </row>
    <row r="32" ht="15.75" customHeight="1">
      <c r="A32" s="372">
        <v>45228.0</v>
      </c>
      <c r="B32" s="373">
        <f>sumifs('KIDS&amp;ADULTS'!$Z$3:$Z$1015,'KIDS&amp;ADULTS'!$V$3:$V$1015,A32,'KIDS&amp;ADULTS'!$M$3:$M$1015,$B$3)</f>
        <v>0</v>
      </c>
      <c r="C32" s="373">
        <f>sumifs('KIDS&amp;ADULTS'!$Z$3:$Z$1015,'KIDS&amp;ADULTS'!$V$3:$V$1015,A32,'KIDS&amp;ADULTS'!$M$3:$M$1015,"phương")</f>
        <v>0</v>
      </c>
      <c r="D32" s="373">
        <f>sumifs('KIDS&amp;ADULTS'!$Z$3:$Z$1015,'KIDS&amp;ADULTS'!$V$3:$V$1015,A32,'KIDS&amp;ADULTS'!$M$3:$M$1015,$D$3)</f>
        <v>0</v>
      </c>
      <c r="E32" s="373">
        <f>sumifs('KIDS&amp;ADULTS'!$Z$3:$Z$1015,'KIDS&amp;ADULTS'!$V$3:$V$1015,A32,'KIDS&amp;ADULTS'!$M$3:$M$1015,"Ánh")</f>
        <v>0</v>
      </c>
      <c r="F32" s="373">
        <f>sumifs('KIDS&amp;ADULTS'!$Z$3:$Z$1015,'KIDS&amp;ADULTS'!$V$3:$V$1015,A32,'KIDS&amp;ADULTS'!$M$3:$M$1015,"Loan")</f>
        <v>0</v>
      </c>
      <c r="G32" s="373">
        <f t="shared" si="1"/>
        <v>0</v>
      </c>
      <c r="J32" s="372">
        <v>45228.0</v>
      </c>
      <c r="K32" s="374">
        <f>COUNTIFS('KIDS&amp;ADULTS'!$A$3:$A$12008,J32,'KIDS&amp;ADULTS'!$B$3:$B$12008,$K$3)</f>
        <v>0</v>
      </c>
      <c r="L32" s="374">
        <f>COUNTIFS('KIDS&amp;ADULTS'!$A$3:$A$12008,J32,'KIDS&amp;ADULTS'!$B$3:$B$12008,$L$3)</f>
        <v>0</v>
      </c>
      <c r="M32" s="374">
        <f>COUNTIFS('KIDS&amp;ADULTS'!$A$3:$A$12008,J32,'KIDS&amp;ADULTS'!$B$3:$B$12008,$M$3)</f>
        <v>0</v>
      </c>
      <c r="N32" s="375">
        <f>COUNTIFS('KIDS&amp;ADULTS'!$A$3:$A$12008,J32,'KIDS&amp;ADULTS'!$B$3:$B$12008,$N$3)</f>
        <v>0</v>
      </c>
      <c r="O32" s="375">
        <f>COUNTIFS('KIDS&amp;ADULTS'!$A$3:$A$12008,J32,'KIDS&amp;ADULTS'!$B$3:$B$12008,$O$3)</f>
        <v>0</v>
      </c>
      <c r="P32" s="375">
        <f>COUNTIFS('KIDS&amp;ADULTS'!$A$3:$A$12008,J32,'KIDS&amp;ADULTS'!$B$3:$B$12008,$P$3)</f>
        <v>0</v>
      </c>
      <c r="Q32" s="375">
        <f>COUNTIFS('KIDS&amp;ADULTS'!$A$3:$A$1008,J32,'KIDS&amp;ADULTS'!$B$3:$B$1008,$Q$3)</f>
        <v>0</v>
      </c>
      <c r="R32" s="374">
        <f>COUNTIFS('KIDS&amp;ADULTS'!$A$3:$A$12008,J32,'KIDS&amp;ADULTS'!$B$3:$B$12008,$R$3)</f>
        <v>0</v>
      </c>
      <c r="U32" s="372">
        <f t="shared" si="3"/>
        <v>45228</v>
      </c>
      <c r="V32" s="376">
        <f>COUNTIFS('KIDS&amp;ADULTS'!$V$3:$V$12006,U32,'KIDS&amp;ADULTS'!$B$3:$B$12006,$K$3,'KIDS&amp;ADULTS'!$N$3:$N$12006,"Đã đóng học phí")</f>
        <v>0</v>
      </c>
      <c r="W32" s="376">
        <f>COUNTIFS('KIDS&amp;ADULTS'!$V$3:$V$12006,U32,'KIDS&amp;ADULTS'!$B$3:$B12034,$W$3,'KIDS&amp;ADULTS'!$N$3:$N$12006,"Đã đóng học phí")</f>
        <v>0</v>
      </c>
      <c r="X32" s="376">
        <f>COUNTIFS('KIDS&amp;ADULTS'!$V$3:$V$12006,U32,'KIDS&amp;ADULTS'!$B$3:$B$12006,$X$3,'KIDS&amp;ADULTS'!$N$3:$N$12006,"Đã đóng học phí")</f>
        <v>0</v>
      </c>
      <c r="Y32" s="376">
        <f>COUNTIFS('KIDS&amp;ADULTS'!$V$3:$V$12006,U32,'KIDS&amp;ADULTS'!$B$3:$B$12006,$Y$3,'KIDS&amp;ADULTS'!$N$3:$N$12006,"Đã đóng học phí")</f>
        <v>0</v>
      </c>
      <c r="Z32" s="376">
        <f>COUNTIFS('KIDS&amp;ADULTS'!$V$3:$V$12006,U32,'KIDS&amp;ADULTS'!$B$3:$B$12006,$Z$3,'KIDS&amp;ADULTS'!$N$3:$N$12006,"Đã đóng học phí")</f>
        <v>0</v>
      </c>
      <c r="AA32" s="376">
        <f>COUNTIFS('KIDS&amp;ADULTS'!$V$3:$V$12006,U32,'KIDS&amp;ADULTS'!$B$3:$B$12006,$AA$3,'KIDS&amp;ADULTS'!$N$3:$N$12006,"Đã đóng học phí")</f>
        <v>0</v>
      </c>
      <c r="AB32" s="376">
        <f>COUNTIFS('KIDS&amp;ADULTS'!$V$3:$V$12006,U32,'KIDS&amp;ADULTS'!$B$3:$B$12006,$AB$3,'KIDS&amp;ADULTS'!$N$3:$N$12006,"Đã đóng học phí")</f>
        <v>0</v>
      </c>
      <c r="AC32" s="376">
        <f>COUNTIFS('KIDS&amp;ADULTS'!$V$3:$V$12006,U32,'KIDS&amp;ADULTS'!$B$3:$B$12006,$AC$3,'KIDS&amp;ADULTS'!$N$3:$N$12006,"Đã đóng học phí")</f>
        <v>0</v>
      </c>
    </row>
    <row r="33" ht="15.75" customHeight="1">
      <c r="A33" s="372">
        <v>45229.0</v>
      </c>
      <c r="B33" s="373">
        <f>sumifs('KIDS&amp;ADULTS'!$Z$3:$Z$1015,'KIDS&amp;ADULTS'!$V$3:$V$1015,A33,'KIDS&amp;ADULTS'!$M$3:$M$1015,$B$3)</f>
        <v>0</v>
      </c>
      <c r="C33" s="373">
        <f>sumifs('KIDS&amp;ADULTS'!$Z$3:$Z$1015,'KIDS&amp;ADULTS'!$V$3:$V$1015,A33,'KIDS&amp;ADULTS'!$M$3:$M$1015,"phương")</f>
        <v>0</v>
      </c>
      <c r="D33" s="373">
        <f>sumifs('KIDS&amp;ADULTS'!$Z$3:$Z$1015,'KIDS&amp;ADULTS'!$V$3:$V$1015,A33,'KIDS&amp;ADULTS'!$M$3:$M$1015,$D$3)</f>
        <v>0</v>
      </c>
      <c r="E33" s="373">
        <f>sumifs('KIDS&amp;ADULTS'!$Z$3:$Z$1015,'KIDS&amp;ADULTS'!$V$3:$V$1015,A33,'KIDS&amp;ADULTS'!$M$3:$M$1015,"Ánh")</f>
        <v>0</v>
      </c>
      <c r="F33" s="373">
        <f>sumifs('KIDS&amp;ADULTS'!$Z$3:$Z$1015,'KIDS&amp;ADULTS'!$V$3:$V$1015,A33,'KIDS&amp;ADULTS'!$M$3:$M$1015,"Loan")</f>
        <v>0</v>
      </c>
      <c r="G33" s="373">
        <f t="shared" si="1"/>
        <v>0</v>
      </c>
      <c r="J33" s="372">
        <v>45229.0</v>
      </c>
      <c r="K33" s="374">
        <f>COUNTIFS('KIDS&amp;ADULTS'!$A$3:$A$12008,J33,'KIDS&amp;ADULTS'!$B$3:$B$12008,$K$3)</f>
        <v>0</v>
      </c>
      <c r="L33" s="374">
        <f>COUNTIFS('KIDS&amp;ADULTS'!$A$3:$A$12008,J33,'KIDS&amp;ADULTS'!$B$3:$B$12008,$L$3)</f>
        <v>0</v>
      </c>
      <c r="M33" s="374">
        <f>COUNTIFS('KIDS&amp;ADULTS'!$A$3:$A$12008,J33,'KIDS&amp;ADULTS'!$B$3:$B$12008,$M$3)</f>
        <v>0</v>
      </c>
      <c r="N33" s="375">
        <f>COUNTIFS('KIDS&amp;ADULTS'!$A$3:$A$12008,J33,'KIDS&amp;ADULTS'!$B$3:$B$12008,$N$3)</f>
        <v>0</v>
      </c>
      <c r="O33" s="375">
        <f>COUNTIFS('KIDS&amp;ADULTS'!$A$3:$A$12008,J33,'KIDS&amp;ADULTS'!$B$3:$B$12008,$O$3)</f>
        <v>0</v>
      </c>
      <c r="P33" s="375">
        <f>COUNTIFS('KIDS&amp;ADULTS'!$A$3:$A$12008,J33,'KIDS&amp;ADULTS'!$B$3:$B$12008,$P$3)</f>
        <v>0</v>
      </c>
      <c r="Q33" s="375">
        <f>COUNTIFS('KIDS&amp;ADULTS'!$A$3:$A$1008,J33,'KIDS&amp;ADULTS'!$B$3:$B$1008,$Q$3)</f>
        <v>0</v>
      </c>
      <c r="R33" s="374">
        <f>COUNTIFS('KIDS&amp;ADULTS'!$A$3:$A$12008,J33,'KIDS&amp;ADULTS'!$B$3:$B$12008,$R$3)</f>
        <v>0</v>
      </c>
      <c r="U33" s="372">
        <f t="shared" si="3"/>
        <v>45229</v>
      </c>
      <c r="V33" s="376">
        <f>COUNTIFS('KIDS&amp;ADULTS'!$V$3:$V$12006,U33,'KIDS&amp;ADULTS'!$B$3:$B$12006,$K$3,'KIDS&amp;ADULTS'!$N$3:$N$12006,"Đã đóng học phí")</f>
        <v>0</v>
      </c>
      <c r="W33" s="376">
        <f>COUNTIFS('KIDS&amp;ADULTS'!$V$3:$V$12006,U33,'KIDS&amp;ADULTS'!$B$3:$B12035,$W$3,'KIDS&amp;ADULTS'!$N$3:$N$12006,"Đã đóng học phí")</f>
        <v>0</v>
      </c>
      <c r="X33" s="376">
        <f>COUNTIFS('KIDS&amp;ADULTS'!$V$3:$V$12006,U33,'KIDS&amp;ADULTS'!$B$3:$B$12006,$X$3,'KIDS&amp;ADULTS'!$N$3:$N$12006,"Đã đóng học phí")</f>
        <v>0</v>
      </c>
      <c r="Y33" s="376">
        <f>COUNTIFS('KIDS&amp;ADULTS'!$V$3:$V$12006,U33,'KIDS&amp;ADULTS'!$B$3:$B$12006,$Y$3,'KIDS&amp;ADULTS'!$N$3:$N$12006,"Đã đóng học phí")</f>
        <v>0</v>
      </c>
      <c r="Z33" s="376">
        <f>COUNTIFS('KIDS&amp;ADULTS'!$V$3:$V$12006,U33,'KIDS&amp;ADULTS'!$B$3:$B$12006,$Z$3,'KIDS&amp;ADULTS'!$N$3:$N$12006,"Đã đóng học phí")</f>
        <v>0</v>
      </c>
      <c r="AA33" s="376">
        <f>COUNTIFS('KIDS&amp;ADULTS'!$V$3:$V$12006,U33,'KIDS&amp;ADULTS'!$B$3:$B$12006,$AA$3,'KIDS&amp;ADULTS'!$N$3:$N$12006,"Đã đóng học phí")</f>
        <v>0</v>
      </c>
      <c r="AB33" s="376">
        <f>COUNTIFS('KIDS&amp;ADULTS'!$V$3:$V$12006,U33,'KIDS&amp;ADULTS'!$B$3:$B$12006,$AB$3,'KIDS&amp;ADULTS'!$N$3:$N$12006,"Đã đóng học phí")</f>
        <v>0</v>
      </c>
      <c r="AC33" s="376">
        <f>COUNTIFS('KIDS&amp;ADULTS'!$V$3:$V$12006,U33,'KIDS&amp;ADULTS'!$B$3:$B$12006,$AC$3,'KIDS&amp;ADULTS'!$N$3:$N$12006,"Đã đóng học phí")</f>
        <v>0</v>
      </c>
    </row>
    <row r="34" ht="15.75" customHeight="1">
      <c r="A34" s="372">
        <v>45230.0</v>
      </c>
      <c r="B34" s="373">
        <f>sumifs('KIDS&amp;ADULTS'!$Z$3:$Z$1015,'KIDS&amp;ADULTS'!$V$3:$V$1015,A34,'KIDS&amp;ADULTS'!$M$3:$M$1015,$B$3)</f>
        <v>0</v>
      </c>
      <c r="C34" s="373">
        <f>sumifs('KIDS&amp;ADULTS'!$Z$3:$Z$1015,'KIDS&amp;ADULTS'!$V$3:$V$1015,A34,'KIDS&amp;ADULTS'!$M$3:$M$1015,"phương")</f>
        <v>0</v>
      </c>
      <c r="D34" s="373">
        <f>sumifs('KIDS&amp;ADULTS'!$Z$3:$Z$1015,'KIDS&amp;ADULTS'!$V$3:$V$1015,A34,'KIDS&amp;ADULTS'!$M$3:$M$1015,$D$3)</f>
        <v>0</v>
      </c>
      <c r="E34" s="373">
        <f>sumifs('KIDS&amp;ADULTS'!$Z$3:$Z$1015,'KIDS&amp;ADULTS'!$V$3:$V$1015,A34,'KIDS&amp;ADULTS'!$M$3:$M$1015,"Ánh")</f>
        <v>5328000</v>
      </c>
      <c r="F34" s="373">
        <f>sumifs('KIDS&amp;ADULTS'!$Z$3:$Z$1015,'KIDS&amp;ADULTS'!$V$3:$V$1015,A34,'KIDS&amp;ADULTS'!$M$3:$M$1015,"Loan")</f>
        <v>0</v>
      </c>
      <c r="G34" s="373">
        <f t="shared" si="1"/>
        <v>5328000</v>
      </c>
      <c r="J34" s="372">
        <v>45230.0</v>
      </c>
      <c r="K34" s="374">
        <f>COUNTIFS('KIDS&amp;ADULTS'!$A$3:$A$12008,J34,'KIDS&amp;ADULTS'!$B$3:$B$12008,$K$3)</f>
        <v>0</v>
      </c>
      <c r="L34" s="374">
        <f>COUNTIFS('KIDS&amp;ADULTS'!$A$3:$A$12008,J34,'KIDS&amp;ADULTS'!$B$3:$B$12008,$L$3)</f>
        <v>0</v>
      </c>
      <c r="M34" s="374">
        <f>COUNTIFS('KIDS&amp;ADULTS'!$A$3:$A$12008,J34,'KIDS&amp;ADULTS'!$B$3:$B$12008,$M$3)</f>
        <v>0</v>
      </c>
      <c r="N34" s="375">
        <f>COUNTIFS('KIDS&amp;ADULTS'!$A$3:$A$12008,J34,'KIDS&amp;ADULTS'!$B$3:$B$12008,$N$3)</f>
        <v>1</v>
      </c>
      <c r="O34" s="375">
        <f>COUNTIFS('KIDS&amp;ADULTS'!$A$3:$A$12008,J34,'KIDS&amp;ADULTS'!$B$3:$B$12008,$O$3)</f>
        <v>0</v>
      </c>
      <c r="P34" s="375">
        <f>COUNTIFS('KIDS&amp;ADULTS'!$A$3:$A$12008,J34,'KIDS&amp;ADULTS'!$B$3:$B$12008,$P$3)</f>
        <v>0</v>
      </c>
      <c r="Q34" s="375">
        <f>COUNTIFS('KIDS&amp;ADULTS'!$A$3:$A$1008,J34,'KIDS&amp;ADULTS'!$B$3:$B$1008,$Q$3)</f>
        <v>0</v>
      </c>
      <c r="R34" s="374">
        <f>COUNTIFS('KIDS&amp;ADULTS'!$A$3:$A$12008,J34,'KIDS&amp;ADULTS'!$B$3:$B$12008,$R$3)</f>
        <v>0</v>
      </c>
      <c r="U34" s="372">
        <f t="shared" si="3"/>
        <v>45230</v>
      </c>
      <c r="V34" s="376">
        <f>COUNTIFS('KIDS&amp;ADULTS'!$V$3:$V$12006,U34,'KIDS&amp;ADULTS'!$B$3:$B$12006,$K$3,'KIDS&amp;ADULTS'!$N$3:$N$12006,"Đã đóng học phí")</f>
        <v>0</v>
      </c>
      <c r="W34" s="376">
        <f>COUNTIFS('KIDS&amp;ADULTS'!$V$3:$V$12006,U34,'KIDS&amp;ADULTS'!$B$3:$B12035,$W$3,'KIDS&amp;ADULTS'!$N$3:$N$12006,"Đã đóng học phí")</f>
        <v>0</v>
      </c>
      <c r="X34" s="376">
        <f>COUNTIFS('KIDS&amp;ADULTS'!$V$3:$V$12006,U34,'KIDS&amp;ADULTS'!$B$3:$B$12006,$X$3,'KIDS&amp;ADULTS'!$N$3:$N$12006,"Đã đóng học phí")</f>
        <v>0</v>
      </c>
      <c r="Y34" s="376">
        <f>COUNTIFS('KIDS&amp;ADULTS'!$V$3:$V$12006,U34,'KIDS&amp;ADULTS'!$B$3:$B$12006,$Y$3,'KIDS&amp;ADULTS'!$N$3:$N$12006,"Đã đóng học phí")</f>
        <v>0</v>
      </c>
      <c r="Z34" s="376">
        <f>COUNTIFS('KIDS&amp;ADULTS'!$V$3:$V$12006,U34,'KIDS&amp;ADULTS'!$B$3:$B$12006,$Z$3,'KIDS&amp;ADULTS'!$N$3:$N$12006,"Đã đóng học phí")</f>
        <v>0</v>
      </c>
      <c r="AA34" s="376">
        <f>COUNTIFS('KIDS&amp;ADULTS'!$V$3:$V$12006,U34,'KIDS&amp;ADULTS'!$B$3:$B$12006,$AA$3,'KIDS&amp;ADULTS'!$N$3:$N$12006,"Đã đóng học phí")</f>
        <v>0</v>
      </c>
      <c r="AB34" s="376">
        <f>COUNTIFS('KIDS&amp;ADULTS'!$V$3:$V$12006,U34,'KIDS&amp;ADULTS'!$B$3:$B$12006,$AB$3,'KIDS&amp;ADULTS'!$N$3:$N$12006,"Đã đóng học phí")</f>
        <v>0</v>
      </c>
      <c r="AC34" s="376">
        <f>COUNTIFS('KIDS&amp;ADULTS'!$V$3:$V$12006,U34,'KIDS&amp;ADULTS'!$B$3:$B$12006,$AC$3,'KIDS&amp;ADULTS'!$N$3:$N$12006,"Đã đóng học phí")</f>
        <v>0</v>
      </c>
    </row>
    <row r="35" ht="15.75" customHeight="1">
      <c r="B35" s="386">
        <f t="shared" ref="B35:F35" si="5">sum(B4:B34)</f>
        <v>0</v>
      </c>
      <c r="C35" s="386">
        <f t="shared" si="5"/>
        <v>0</v>
      </c>
      <c r="D35" s="386">
        <f t="shared" si="5"/>
        <v>0</v>
      </c>
      <c r="E35" s="386">
        <f t="shared" si="5"/>
        <v>58475500</v>
      </c>
      <c r="F35" s="386">
        <f t="shared" si="5"/>
        <v>0</v>
      </c>
      <c r="H35" s="387">
        <f>sum(G4:G34)</f>
        <v>58475500</v>
      </c>
      <c r="J35" s="388" t="s">
        <v>4622</v>
      </c>
      <c r="K35" s="389">
        <f t="shared" ref="K35:R35" si="6">SUM(K4:K34)</f>
        <v>0</v>
      </c>
      <c r="L35" s="389">
        <f t="shared" si="6"/>
        <v>0</v>
      </c>
      <c r="M35" s="389">
        <f t="shared" si="6"/>
        <v>0</v>
      </c>
      <c r="N35" s="380">
        <f t="shared" si="6"/>
        <v>7</v>
      </c>
      <c r="O35" s="380">
        <f t="shared" si="6"/>
        <v>6</v>
      </c>
      <c r="P35" s="380">
        <f t="shared" si="6"/>
        <v>0</v>
      </c>
      <c r="Q35" s="380">
        <f t="shared" si="6"/>
        <v>6</v>
      </c>
      <c r="R35" s="389">
        <f t="shared" si="6"/>
        <v>0</v>
      </c>
      <c r="S35" s="390">
        <f>SUM(K35:R36)</f>
        <v>19</v>
      </c>
      <c r="U35" s="388" t="s">
        <v>4622</v>
      </c>
      <c r="V35" s="366">
        <f t="shared" ref="V35:Z35" si="7">SUM(V4:V34)</f>
        <v>0</v>
      </c>
      <c r="W35" s="367">
        <f t="shared" si="7"/>
        <v>0</v>
      </c>
      <c r="X35" s="377">
        <f t="shared" si="7"/>
        <v>0</v>
      </c>
      <c r="Y35" s="377">
        <f t="shared" si="7"/>
        <v>4</v>
      </c>
      <c r="Z35" s="379">
        <f t="shared" si="7"/>
        <v>4</v>
      </c>
      <c r="AA35" s="380">
        <f t="shared" ref="AA35:AB35" si="8">SUM(AA2:AA34)</f>
        <v>0</v>
      </c>
      <c r="AB35" s="380">
        <f t="shared" si="8"/>
        <v>0</v>
      </c>
      <c r="AC35" s="380">
        <f>SUM(AC4:AC34)</f>
        <v>0</v>
      </c>
      <c r="AD35" s="391">
        <f>SUM(V35:AC35)</f>
        <v>8</v>
      </c>
    </row>
    <row r="36" ht="15.75" customHeight="1">
      <c r="F36" s="392"/>
    </row>
    <row r="37" ht="15.75" customHeight="1">
      <c r="H37" s="383"/>
    </row>
    <row r="38" ht="15.75" customHeight="1">
      <c r="I38" s="383" t="s">
        <v>3683</v>
      </c>
      <c r="J38" s="396" t="s">
        <v>4722</v>
      </c>
      <c r="K38" s="397">
        <f>COUNTIFS('KIDS&amp;ADULTS'!V:V,"&gt;"&amp;"30-9-2023",'KIDS&amp;ADULTS'!V:V,"&lt;"&amp;"1-11-2023")</f>
        <v>10</v>
      </c>
      <c r="M38" s="383">
        <f>K38/S35</f>
        <v>0.5263157895</v>
      </c>
      <c r="U38" s="358" t="s">
        <v>4626</v>
      </c>
    </row>
    <row r="39" ht="15.75" customHeight="1">
      <c r="G39" s="386"/>
      <c r="U39" s="361" t="s">
        <v>4613</v>
      </c>
      <c r="V39" s="363" t="s">
        <v>4616</v>
      </c>
      <c r="W39" s="235"/>
      <c r="X39" s="235"/>
      <c r="Y39" s="235"/>
      <c r="Z39" s="235"/>
      <c r="AA39" s="235"/>
      <c r="AB39" s="235"/>
      <c r="AC39" s="236"/>
    </row>
    <row r="40" ht="15.75" customHeight="1">
      <c r="G40" s="386"/>
      <c r="U40" s="11"/>
      <c r="V40" s="366" t="s">
        <v>4620</v>
      </c>
      <c r="W40" s="367" t="s">
        <v>4621</v>
      </c>
      <c r="X40" s="368" t="s">
        <v>73</v>
      </c>
      <c r="Y40" s="369" t="s">
        <v>201</v>
      </c>
      <c r="Z40" s="370" t="s">
        <v>84</v>
      </c>
      <c r="AA40" s="371" t="s">
        <v>60</v>
      </c>
      <c r="AB40" s="371" t="s">
        <v>539</v>
      </c>
      <c r="AC40" s="371" t="s">
        <v>703</v>
      </c>
    </row>
    <row r="41" ht="15.75" customHeight="1">
      <c r="H41" s="123"/>
      <c r="U41" s="372">
        <v>45200.0</v>
      </c>
      <c r="V41" s="398">
        <f>SUMIFS('KIDS&amp;ADULTS'!$Z$3:$Z$12006,'KIDS&amp;ADULTS'!V$3:V$12006,U41,'KIDS&amp;ADULTS'!$B$3:$B$12006,$K$3,'KIDS&amp;ADULTS'!$N$3:$N$12006,"Đã đóng học phí")</f>
        <v>0</v>
      </c>
      <c r="W41" s="398">
        <f>SUMIFS('KIDS&amp;ADULTS'!$Z$3:$Z$12006,'KIDS&amp;ADULTS'!$V$3:$V$12006,U41,'KIDS&amp;ADULTS'!$B$3:$B$12006,$W$3,'KIDS&amp;ADULTS'!$N$3:$N$12006,"Đã đóng học phí")</f>
        <v>0</v>
      </c>
      <c r="X41" s="398">
        <f>SUMIFS('KIDS&amp;ADULTS'!$Z$3:$Z$12006,'KIDS&amp;ADULTS'!$V$3:$V$12006,U41,'KIDS&amp;ADULTS'!$B$3:$B$12006,$X$3,'KIDS&amp;ADULTS'!$N$3:$N$12006,"Đã đóng học phí")</f>
        <v>0</v>
      </c>
      <c r="Y41" s="398">
        <f>SUMIFS('KIDS&amp;ADULTS'!$Z$3:$Z$12006,'KIDS&amp;ADULTS'!$V$3:$V$12006,U41,'KIDS&amp;ADULTS'!$B$3:$B$12006,$Y$3,'KIDS&amp;ADULTS'!$N$3:$N$12006,"Đã đóng học phí")</f>
        <v>0</v>
      </c>
      <c r="Z41" s="398">
        <f>SUMIFS('KIDS&amp;ADULTS'!$Z$3:$Z$12006,'KIDS&amp;ADULTS'!$V$3:$V$12006,U41,'KIDS&amp;ADULTS'!$B$3:$B$12006,$Z$3,'KIDS&amp;ADULTS'!$N$3:$N$12006,"Đã đóng học phí")</f>
        <v>0</v>
      </c>
      <c r="AA41" s="398">
        <f>SUMIFS('KIDS&amp;ADULTS'!$Z$3:$Z$12006,'KIDS&amp;ADULTS'!$V$3:$V$12006,U41,'KIDS&amp;ADULTS'!$B$3:$B$12006,$AA$3,'KIDS&amp;ADULTS'!$N$3:$N$12006,"Đã đóng học phí")</f>
        <v>0</v>
      </c>
      <c r="AB41" s="398">
        <f>SUMIFS('KIDS&amp;ADULTS'!$Z$3:$Z$12006,'KIDS&amp;ADULTS'!$V$3:$V$12006,U41,'KIDS&amp;ADULTS'!$B$3:$B$12006,$AB$3,'KIDS&amp;ADULTS'!$N$3:$N$12006,"Đã đóng học phí")</f>
        <v>0</v>
      </c>
      <c r="AC41" s="398">
        <f>SUMIFS('KIDS&amp;ADULTS'!$Z$3:$Z$12006,'KIDS&amp;ADULTS'!$V$3:$V$12006,U41,'KIDS&amp;ADULTS'!$B$3:$B$12006,$AC$3,'KIDS&amp;ADULTS'!$N$3:$N$12006,"Đã đóng học phí")</f>
        <v>0</v>
      </c>
      <c r="AD41" s="398">
        <f t="shared" ref="AD41:AD72" si="9">SUM(V41:AC41)</f>
        <v>0</v>
      </c>
      <c r="AE41" s="373"/>
    </row>
    <row r="42" ht="15.75" customHeight="1">
      <c r="U42" s="372">
        <f t="shared" ref="U42:U71" si="10">U41+1</f>
        <v>45201</v>
      </c>
      <c r="V42" s="398">
        <f>SUMIFS('KIDS&amp;ADULTS'!$Z$3:$Z$12006,'KIDS&amp;ADULTS'!V$3:V$12006,U42,'KIDS&amp;ADULTS'!$B$3:$B$12006,$K$3,'KIDS&amp;ADULTS'!$N$3:$N$12006,"Đã đóng học phí")</f>
        <v>0</v>
      </c>
      <c r="W42" s="398">
        <f>SUMIFS('KIDS&amp;ADULTS'!$Z$3:$Z$12006,'KIDS&amp;ADULTS'!$V$3:$V$12006,U42,'KIDS&amp;ADULTS'!$B$3:$B$12006,$W$3,'KIDS&amp;ADULTS'!$N$3:$N$12006,"Đã đóng học phí")</f>
        <v>0</v>
      </c>
      <c r="X42" s="398">
        <f>SUMIFS('KIDS&amp;ADULTS'!$Z$3:$Z$12006,'KIDS&amp;ADULTS'!$V$3:$V$12006,U42,'KIDS&amp;ADULTS'!$B$3:$B$12006,$X$3,'KIDS&amp;ADULTS'!$N$3:$N$12006,"Đã đóng học phí")</f>
        <v>0</v>
      </c>
      <c r="Y42" s="398">
        <f>SUMIFS('KIDS&amp;ADULTS'!$Z$3:$Z$12006,'KIDS&amp;ADULTS'!$V$3:$V$12006,U42,'KIDS&amp;ADULTS'!$B$3:$B$12006,$Y$3,'KIDS&amp;ADULTS'!$N$3:$N$12006,"Đã đóng học phí")</f>
        <v>0</v>
      </c>
      <c r="Z42" s="398">
        <f>SUMIFS('KIDS&amp;ADULTS'!$Z$3:$Z$12006,'KIDS&amp;ADULTS'!$V$3:$V$12006,U42,'KIDS&amp;ADULTS'!$B$3:$B$12006,$Z$3,'KIDS&amp;ADULTS'!$N$3:$N$12006,"Đã đóng học phí")</f>
        <v>7437500</v>
      </c>
      <c r="AA42" s="398">
        <f>SUMIFS('KIDS&amp;ADULTS'!$Z$3:$Z$12006,'KIDS&amp;ADULTS'!$V$3:$V$12006,U42,'KIDS&amp;ADULTS'!$B$3:$B$12006,$AA$3,'KIDS&amp;ADULTS'!$N$3:$N$12006,"Đã đóng học phí")</f>
        <v>0</v>
      </c>
      <c r="AB42" s="398">
        <f>SUMIFS('KIDS&amp;ADULTS'!$Z$3:$Z$12006,'KIDS&amp;ADULTS'!$V$3:$V$12006,U42,'KIDS&amp;ADULTS'!$B$3:$B$12006,$AB$3,'KIDS&amp;ADULTS'!$N$3:$N$12006,"Đã đóng học phí")</f>
        <v>0</v>
      </c>
      <c r="AC42" s="398">
        <f>SUMIFS('KIDS&amp;ADULTS'!$Z$3:$Z$12006,'KIDS&amp;ADULTS'!$V$3:$V$12006,U42,'KIDS&amp;ADULTS'!$B$3:$B$12006,$AC$3,'KIDS&amp;ADULTS'!$N$3:$N$12006,"Đã đóng học phí")</f>
        <v>0</v>
      </c>
      <c r="AD42" s="398">
        <f t="shared" si="9"/>
        <v>7437500</v>
      </c>
      <c r="AE42" s="373"/>
    </row>
    <row r="43" ht="15.75" customHeight="1">
      <c r="U43" s="372">
        <f t="shared" si="10"/>
        <v>45202</v>
      </c>
      <c r="V43" s="398">
        <f>SUMIFS('KIDS&amp;ADULTS'!$Z$3:$Z$12006,'KIDS&amp;ADULTS'!V$3:V$12006,U43,'KIDS&amp;ADULTS'!$B$3:$B$12006,$K$3,'KIDS&amp;ADULTS'!$N$3:$N$12006,"Đã đóng học phí")</f>
        <v>0</v>
      </c>
      <c r="W43" s="398">
        <f>SUMIFS('KIDS&amp;ADULTS'!$Z$3:$Z$12006,'KIDS&amp;ADULTS'!$V$3:$V$12006,U43,'KIDS&amp;ADULTS'!$B$3:$B$12006,$W$3,'KIDS&amp;ADULTS'!$N$3:$N$12006,"Đã đóng học phí")</f>
        <v>0</v>
      </c>
      <c r="X43" s="398">
        <f>SUMIFS('KIDS&amp;ADULTS'!$Z$3:$Z$12006,'KIDS&amp;ADULTS'!$V$3:$V$12006,U43,'KIDS&amp;ADULTS'!$B$3:$B$12006,$X$3,'KIDS&amp;ADULTS'!$N$3:$N$12006,"Đã đóng học phí")</f>
        <v>0</v>
      </c>
      <c r="Y43" s="398">
        <f>SUMIFS('KIDS&amp;ADULTS'!$Z$3:$Z$12006,'KIDS&amp;ADULTS'!$V$3:$V$12006,U43,'KIDS&amp;ADULTS'!$B$3:$B$12006,$Y$3,'KIDS&amp;ADULTS'!$N$3:$N$12006,"Đã đóng học phí")</f>
        <v>0</v>
      </c>
      <c r="Z43" s="398">
        <f>SUMIFS('KIDS&amp;ADULTS'!$Z$3:$Z$12006,'KIDS&amp;ADULTS'!$V$3:$V$12006,U43,'KIDS&amp;ADULTS'!$B$3:$B$12006,$Z$3,'KIDS&amp;ADULTS'!$N$3:$N$12006,"Đã đóng học phí")</f>
        <v>0</v>
      </c>
      <c r="AA43" s="398">
        <f>SUMIFS('KIDS&amp;ADULTS'!$Z$3:$Z$12006,'KIDS&amp;ADULTS'!$V$3:$V$12006,U43,'KIDS&amp;ADULTS'!$B$3:$B$12006,$AA$3,'KIDS&amp;ADULTS'!$N$3:$N$12006,"Đã đóng học phí")</f>
        <v>0</v>
      </c>
      <c r="AB43" s="398">
        <f>SUMIFS('KIDS&amp;ADULTS'!$Z$3:$Z$12006,'KIDS&amp;ADULTS'!$V$3:$V$12006,U43,'KIDS&amp;ADULTS'!$B$3:$B$12006,$AB$3,'KIDS&amp;ADULTS'!$N$3:$N$12006,"Đã đóng học phí")</f>
        <v>0</v>
      </c>
      <c r="AC43" s="398">
        <f>SUMIFS('KIDS&amp;ADULTS'!$Z$3:$Z$12006,'KIDS&amp;ADULTS'!$V$3:$V$12006,U43,'KIDS&amp;ADULTS'!$B$3:$B$12006,$AC$3,'KIDS&amp;ADULTS'!$N$3:$N$12006,"Đã đóng học phí")</f>
        <v>0</v>
      </c>
      <c r="AD43" s="398">
        <f t="shared" si="9"/>
        <v>0</v>
      </c>
      <c r="AE43" s="373"/>
    </row>
    <row r="44" ht="15.75" customHeight="1">
      <c r="U44" s="372">
        <f t="shared" si="10"/>
        <v>45203</v>
      </c>
      <c r="V44" s="398">
        <f>SUMIFS('KIDS&amp;ADULTS'!$Z$3:$Z$12006,'KIDS&amp;ADULTS'!V$3:V$12006,U44,'KIDS&amp;ADULTS'!$B$3:$B$12006,$K$3,'KIDS&amp;ADULTS'!$N$3:$N$12006,"Đã đóng học phí")</f>
        <v>0</v>
      </c>
      <c r="W44" s="398">
        <f>SUMIFS('KIDS&amp;ADULTS'!$Z$3:$Z$12006,'KIDS&amp;ADULTS'!$V$3:$V$12006,U44,'KIDS&amp;ADULTS'!$B$3:$B$12006,$W$3,'KIDS&amp;ADULTS'!$N$3:$N$12006,"Đã đóng học phí")</f>
        <v>0</v>
      </c>
      <c r="X44" s="398">
        <f>SUMIFS('KIDS&amp;ADULTS'!$Z$3:$Z$12006,'KIDS&amp;ADULTS'!$V$3:$V$12006,U44,'KIDS&amp;ADULTS'!$B$3:$B$12006,$X$3,'KIDS&amp;ADULTS'!$N$3:$N$12006,"Đã đóng học phí")</f>
        <v>0</v>
      </c>
      <c r="Y44" s="398">
        <f>SUMIFS('KIDS&amp;ADULTS'!$Z$3:$Z$12006,'KIDS&amp;ADULTS'!$V$3:$V$12006,U44,'KIDS&amp;ADULTS'!$B$3:$B$12006,$Y$3,'KIDS&amp;ADULTS'!$N$3:$N$12006,"Đã đóng học phí")</f>
        <v>0</v>
      </c>
      <c r="Z44" s="398">
        <f>SUMIFS('KIDS&amp;ADULTS'!$Z$3:$Z$12006,'KIDS&amp;ADULTS'!$V$3:$V$12006,U44,'KIDS&amp;ADULTS'!$B$3:$B$12006,$Z$3,'KIDS&amp;ADULTS'!$N$3:$N$12006,"Đã đóng học phí")</f>
        <v>0</v>
      </c>
      <c r="AA44" s="398">
        <f>SUMIFS('KIDS&amp;ADULTS'!$Z$3:$Z$12006,'KIDS&amp;ADULTS'!$V$3:$V$12006,U44,'KIDS&amp;ADULTS'!$B$3:$B$12006,$AA$3,'KIDS&amp;ADULTS'!$N$3:$N$12006,"Đã đóng học phí")</f>
        <v>0</v>
      </c>
      <c r="AB44" s="398">
        <f>SUMIFS('KIDS&amp;ADULTS'!$Z$3:$Z$12006,'KIDS&amp;ADULTS'!$V$3:$V$12006,U44,'KIDS&amp;ADULTS'!$B$3:$B$12006,$AB$3,'KIDS&amp;ADULTS'!$N$3:$N$12006,"Đã đóng học phí")</f>
        <v>0</v>
      </c>
      <c r="AC44" s="398">
        <f>SUMIFS('KIDS&amp;ADULTS'!$Z$3:$Z$12006,'KIDS&amp;ADULTS'!$V$3:$V$12006,U44,'KIDS&amp;ADULTS'!$B$3:$B$12006,$AC$3,'KIDS&amp;ADULTS'!$N$3:$N$12006,"Đã đóng học phí")</f>
        <v>0</v>
      </c>
      <c r="AD44" s="398">
        <f t="shared" si="9"/>
        <v>0</v>
      </c>
      <c r="AE44" s="373"/>
    </row>
    <row r="45" ht="15.75" customHeight="1">
      <c r="K45" s="386"/>
      <c r="U45" s="372">
        <f t="shared" si="10"/>
        <v>45204</v>
      </c>
      <c r="V45" s="398">
        <f>SUMIFS('KIDS&amp;ADULTS'!$Z$3:$Z$12006,'KIDS&amp;ADULTS'!V$3:V$12006,U45,'KIDS&amp;ADULTS'!$B$3:$B$12006,$K$3,'KIDS&amp;ADULTS'!$N$3:$N$12006,"Đã đóng học phí")</f>
        <v>0</v>
      </c>
      <c r="W45" s="398">
        <f>SUMIFS('KIDS&amp;ADULTS'!$Z$3:$Z$12006,'KIDS&amp;ADULTS'!$V$3:$V$12006,U45,'KIDS&amp;ADULTS'!$B$3:$B$12006,$W$3,'KIDS&amp;ADULTS'!$N$3:$N$12006,"Đã đóng học phí")</f>
        <v>0</v>
      </c>
      <c r="X45" s="398">
        <f>SUMIFS('KIDS&amp;ADULTS'!$Z$3:$Z$12006,'KIDS&amp;ADULTS'!$V$3:$V$12006,U45,'KIDS&amp;ADULTS'!$B$3:$B$12006,$X$3,'KIDS&amp;ADULTS'!$N$3:$N$12006,"Đã đóng học phí")</f>
        <v>0</v>
      </c>
      <c r="Y45" s="398">
        <f>SUMIFS('KIDS&amp;ADULTS'!$Z$3:$Z$12006,'KIDS&amp;ADULTS'!$V$3:$V$12006,U45,'KIDS&amp;ADULTS'!$B$3:$B$12006,$Y$3,'KIDS&amp;ADULTS'!$N$3:$N$12006,"Đã đóng học phí")</f>
        <v>0</v>
      </c>
      <c r="Z45" s="398">
        <f>SUMIFS('KIDS&amp;ADULTS'!$Z$3:$Z$12006,'KIDS&amp;ADULTS'!$V$3:$V$12006,U45,'KIDS&amp;ADULTS'!$B$3:$B$12006,$Z$3,'KIDS&amp;ADULTS'!$N$3:$N$12006,"Đã đóng học phí")</f>
        <v>0</v>
      </c>
      <c r="AA45" s="398">
        <f>SUMIFS('KIDS&amp;ADULTS'!$Z$3:$Z$12006,'KIDS&amp;ADULTS'!$V$3:$V$12006,U45,'KIDS&amp;ADULTS'!$B$3:$B$12006,$AA$3,'KIDS&amp;ADULTS'!$N$3:$N$12006,"Đã đóng học phí")</f>
        <v>0</v>
      </c>
      <c r="AB45" s="398">
        <f>SUMIFS('KIDS&amp;ADULTS'!$Z$3:$Z$12006,'KIDS&amp;ADULTS'!$V$3:$V$12006,U45,'KIDS&amp;ADULTS'!$B$3:$B$12006,$AB$3,'KIDS&amp;ADULTS'!$N$3:$N$12006,"Đã đóng học phí")</f>
        <v>0</v>
      </c>
      <c r="AC45" s="398">
        <f>SUMIFS('KIDS&amp;ADULTS'!$Z$3:$Z$12006,'KIDS&amp;ADULTS'!$V$3:$V$12006,U45,'KIDS&amp;ADULTS'!$B$3:$B$12006,$AC$3,'KIDS&amp;ADULTS'!$N$3:$N$12006,"Đã đóng học phí")</f>
        <v>0</v>
      </c>
      <c r="AD45" s="398">
        <f t="shared" si="9"/>
        <v>0</v>
      </c>
      <c r="AE45" s="373"/>
    </row>
    <row r="46" ht="15.75" customHeight="1">
      <c r="K46" s="386"/>
      <c r="U46" s="372">
        <f t="shared" si="10"/>
        <v>45205</v>
      </c>
      <c r="V46" s="398">
        <f>SUMIFS('KIDS&amp;ADULTS'!$Z$3:$Z$12006,'KIDS&amp;ADULTS'!V$3:V$12006,U46,'KIDS&amp;ADULTS'!$B$3:$B$12006,$K$3,'KIDS&amp;ADULTS'!$N$3:$N$12006,"Đã đóng học phí")</f>
        <v>0</v>
      </c>
      <c r="W46" s="398">
        <f>SUMIFS('KIDS&amp;ADULTS'!$Z$3:$Z$12006,'KIDS&amp;ADULTS'!$V$3:$V$12006,U46,'KIDS&amp;ADULTS'!$B$3:$B$12006,$W$3,'KIDS&amp;ADULTS'!$N$3:$N$12006,"Đã đóng học phí")</f>
        <v>0</v>
      </c>
      <c r="X46" s="398">
        <f>SUMIFS('KIDS&amp;ADULTS'!$Z$3:$Z$12006,'KIDS&amp;ADULTS'!$V$3:$V$12006,U46,'KIDS&amp;ADULTS'!$B$3:$B$12006,$X$3,'KIDS&amp;ADULTS'!$N$3:$N$12006,"Đã đóng học phí")</f>
        <v>0</v>
      </c>
      <c r="Y46" s="398">
        <f>SUMIFS('KIDS&amp;ADULTS'!$Z$3:$Z$12006,'KIDS&amp;ADULTS'!$V$3:$V$12006,U46,'KIDS&amp;ADULTS'!$B$3:$B$12006,$Y$3,'KIDS&amp;ADULTS'!$N$3:$N$12006,"Đã đóng học phí")</f>
        <v>0</v>
      </c>
      <c r="Z46" s="398">
        <f>SUMIFS('KIDS&amp;ADULTS'!$Z$3:$Z$12006,'KIDS&amp;ADULTS'!$V$3:$V$12006,U46,'KIDS&amp;ADULTS'!$B$3:$B$12006,$Z$3,'KIDS&amp;ADULTS'!$N$3:$N$12006,"Đã đóng học phí")</f>
        <v>0</v>
      </c>
      <c r="AA46" s="398">
        <f>SUMIFS('KIDS&amp;ADULTS'!$Z$3:$Z$12006,'KIDS&amp;ADULTS'!$V$3:$V$12006,U46,'KIDS&amp;ADULTS'!$B$3:$B$12006,$AA$3,'KIDS&amp;ADULTS'!$N$3:$N$12006,"Đã đóng học phí")</f>
        <v>0</v>
      </c>
      <c r="AB46" s="398">
        <f>SUMIFS('KIDS&amp;ADULTS'!$Z$3:$Z$12006,'KIDS&amp;ADULTS'!$V$3:$V$12006,U46,'KIDS&amp;ADULTS'!$B$3:$B$12006,$AB$3,'KIDS&amp;ADULTS'!$N$3:$N$12006,"Đã đóng học phí")</f>
        <v>0</v>
      </c>
      <c r="AC46" s="398">
        <f>SUMIFS('KIDS&amp;ADULTS'!$Z$3:$Z$12006,'KIDS&amp;ADULTS'!$V$3:$V$12006,U46,'KIDS&amp;ADULTS'!$B$3:$B$12006,$AC$3,'KIDS&amp;ADULTS'!$N$3:$N$12006,"Đã đóng học phí")</f>
        <v>0</v>
      </c>
      <c r="AD46" s="398">
        <f t="shared" si="9"/>
        <v>0</v>
      </c>
      <c r="AE46" s="373"/>
    </row>
    <row r="47" ht="15.75" customHeight="1">
      <c r="U47" s="372">
        <f t="shared" si="10"/>
        <v>45206</v>
      </c>
      <c r="V47" s="398">
        <f>SUMIFS('KIDS&amp;ADULTS'!$Z$3:$Z$12006,'KIDS&amp;ADULTS'!V$3:V$12006,U47,'KIDS&amp;ADULTS'!$B$3:$B$12006,$K$3,'KIDS&amp;ADULTS'!$N$3:$N$12006,"Đã đóng học phí")</f>
        <v>0</v>
      </c>
      <c r="W47" s="398">
        <f>SUMIFS('KIDS&amp;ADULTS'!$Z$3:$Z$12006,'KIDS&amp;ADULTS'!$V$3:$V$12006,U47,'KIDS&amp;ADULTS'!$B$3:$B$12006,$W$3,'KIDS&amp;ADULTS'!$N$3:$N$12006,"Đã đóng học phí")</f>
        <v>0</v>
      </c>
      <c r="X47" s="398">
        <f>SUMIFS('KIDS&amp;ADULTS'!$Z$3:$Z$12006,'KIDS&amp;ADULTS'!$V$3:$V$12006,U47,'KIDS&amp;ADULTS'!$B$3:$B$12006,$X$3,'KIDS&amp;ADULTS'!$N$3:$N$12006,"Đã đóng học phí")</f>
        <v>0</v>
      </c>
      <c r="Y47" s="398">
        <f>SUMIFS('KIDS&amp;ADULTS'!$Z$3:$Z$12006,'KIDS&amp;ADULTS'!$V$3:$V$12006,U47,'KIDS&amp;ADULTS'!$B$3:$B$12006,$Y$3,'KIDS&amp;ADULTS'!$N$3:$N$12006,"Đã đóng học phí")</f>
        <v>0</v>
      </c>
      <c r="Z47" s="398">
        <f>SUMIFS('KIDS&amp;ADULTS'!$Z$3:$Z$12006,'KIDS&amp;ADULTS'!$V$3:$V$12006,U47,'KIDS&amp;ADULTS'!$B$3:$B$12006,$Z$3,'KIDS&amp;ADULTS'!$N$3:$N$12006,"Đã đóng học phí")</f>
        <v>0</v>
      </c>
      <c r="AA47" s="398">
        <f>SUMIFS('KIDS&amp;ADULTS'!$Z$3:$Z$12006,'KIDS&amp;ADULTS'!$V$3:$V$12006,U47,'KIDS&amp;ADULTS'!$B$3:$B$12006,$AA$3,'KIDS&amp;ADULTS'!$N$3:$N$12006,"Đã đóng học phí")</f>
        <v>0</v>
      </c>
      <c r="AB47" s="398">
        <f>SUMIFS('KIDS&amp;ADULTS'!$Z$3:$Z$12006,'KIDS&amp;ADULTS'!$V$3:$V$12006,U47,'KIDS&amp;ADULTS'!$B$3:$B$12006,$AB$3,'KIDS&amp;ADULTS'!$N$3:$N$12006,"Đã đóng học phí")</f>
        <v>0</v>
      </c>
      <c r="AC47" s="398">
        <f>SUMIFS('KIDS&amp;ADULTS'!$Z$3:$Z$12006,'KIDS&amp;ADULTS'!$V$3:$V$12006,U47,'KIDS&amp;ADULTS'!$B$3:$B$12006,$AC$3,'KIDS&amp;ADULTS'!$N$3:$N$12006,"Đã đóng học phí")</f>
        <v>0</v>
      </c>
      <c r="AD47" s="398">
        <f t="shared" si="9"/>
        <v>0</v>
      </c>
      <c r="AE47" s="373"/>
    </row>
    <row r="48" ht="15.75" customHeight="1">
      <c r="U48" s="372">
        <f t="shared" si="10"/>
        <v>45207</v>
      </c>
      <c r="V48" s="398">
        <f>SUMIFS('KIDS&amp;ADULTS'!$Z$3:$Z$12006,'KIDS&amp;ADULTS'!V$3:V$12006,U48,'KIDS&amp;ADULTS'!$B$3:$B$12006,$K$3,'KIDS&amp;ADULTS'!$N$3:$N$12006,"Đã đóng học phí")</f>
        <v>0</v>
      </c>
      <c r="W48" s="398">
        <f>SUMIFS('KIDS&amp;ADULTS'!$Z$3:$Z$12006,'KIDS&amp;ADULTS'!$V$3:$V$12006,U48,'KIDS&amp;ADULTS'!$B$3:$B$12006,$W$3,'KIDS&amp;ADULTS'!$N$3:$N$12006,"Đã đóng học phí")</f>
        <v>0</v>
      </c>
      <c r="X48" s="398">
        <f>SUMIFS('KIDS&amp;ADULTS'!$Z$3:$Z$12006,'KIDS&amp;ADULTS'!$V$3:$V$12006,U48,'KIDS&amp;ADULTS'!$B$3:$B$12006,$X$3,'KIDS&amp;ADULTS'!$N$3:$N$12006,"Đã đóng học phí")</f>
        <v>0</v>
      </c>
      <c r="Y48" s="398">
        <f>SUMIFS('KIDS&amp;ADULTS'!$Z$3:$Z$12006,'KIDS&amp;ADULTS'!$V$3:$V$12006,U48,'KIDS&amp;ADULTS'!$B$3:$B$12006,$Y$3,'KIDS&amp;ADULTS'!$N$3:$N$12006,"Đã đóng học phí")</f>
        <v>0</v>
      </c>
      <c r="Z48" s="398">
        <f>SUMIFS('KIDS&amp;ADULTS'!$Z$3:$Z$12006,'KIDS&amp;ADULTS'!$V$3:$V$12006,U48,'KIDS&amp;ADULTS'!$B$3:$B$12006,$Z$3,'KIDS&amp;ADULTS'!$N$3:$N$12006,"Đã đóng học phí")</f>
        <v>0</v>
      </c>
      <c r="AA48" s="398">
        <f>SUMIFS('KIDS&amp;ADULTS'!$Z$3:$Z$12006,'KIDS&amp;ADULTS'!$V$3:$V$12006,U48,'KIDS&amp;ADULTS'!$B$3:$B$12006,$AA$3,'KIDS&amp;ADULTS'!$N$3:$N$12006,"Đã đóng học phí")</f>
        <v>0</v>
      </c>
      <c r="AB48" s="398">
        <f>SUMIFS('KIDS&amp;ADULTS'!$Z$3:$Z$12006,'KIDS&amp;ADULTS'!$V$3:$V$12006,U48,'KIDS&amp;ADULTS'!$B$3:$B$12006,$AB$3,'KIDS&amp;ADULTS'!$N$3:$N$12006,"Đã đóng học phí")</f>
        <v>0</v>
      </c>
      <c r="AC48" s="398">
        <f>SUMIFS('KIDS&amp;ADULTS'!$Z$3:$Z$12006,'KIDS&amp;ADULTS'!$V$3:$V$12006,U48,'KIDS&amp;ADULTS'!$B$3:$B$12006,$AC$3,'KIDS&amp;ADULTS'!$N$3:$N$12006,"Đã đóng học phí")</f>
        <v>0</v>
      </c>
      <c r="AD48" s="398">
        <f t="shared" si="9"/>
        <v>0</v>
      </c>
      <c r="AE48" s="373"/>
    </row>
    <row r="49" ht="15.75" customHeight="1">
      <c r="U49" s="372">
        <f t="shared" si="10"/>
        <v>45208</v>
      </c>
      <c r="V49" s="398">
        <f>SUMIFS('KIDS&amp;ADULTS'!$Z$3:$Z$12006,'KIDS&amp;ADULTS'!V$3:V$12006,U49,'KIDS&amp;ADULTS'!$B$3:$B$12006,$K$3,'KIDS&amp;ADULTS'!$N$3:$N$12006,"Đã đóng học phí")</f>
        <v>0</v>
      </c>
      <c r="W49" s="398">
        <f>SUMIFS('KIDS&amp;ADULTS'!$Z$3:$Z$12006,'KIDS&amp;ADULTS'!$V$3:$V$12006,U49,'KIDS&amp;ADULTS'!$B$3:$B$12006,$W$3,'KIDS&amp;ADULTS'!$N$3:$N$12006,"Đã đóng học phí")</f>
        <v>0</v>
      </c>
      <c r="X49" s="398">
        <f>SUMIFS('KIDS&amp;ADULTS'!$Z$3:$Z$12006,'KIDS&amp;ADULTS'!$V$3:$V$12006,U49,'KIDS&amp;ADULTS'!$B$3:$B$12006,$X$3,'KIDS&amp;ADULTS'!$N$3:$N$12006,"Đã đóng học phí")</f>
        <v>0</v>
      </c>
      <c r="Y49" s="398">
        <f>SUMIFS('KIDS&amp;ADULTS'!$Z$3:$Z$12006,'KIDS&amp;ADULTS'!$V$3:$V$12006,U49,'KIDS&amp;ADULTS'!$B$3:$B$12006,$Y$3,'KIDS&amp;ADULTS'!$N$3:$N$12006,"Đã đóng học phí")</f>
        <v>0</v>
      </c>
      <c r="Z49" s="398">
        <f>SUMIFS('KIDS&amp;ADULTS'!$Z$3:$Z$12006,'KIDS&amp;ADULTS'!$V$3:$V$12006,U49,'KIDS&amp;ADULTS'!$B$3:$B$12006,$Z$3,'KIDS&amp;ADULTS'!$N$3:$N$12006,"Đã đóng học phí")</f>
        <v>18900000</v>
      </c>
      <c r="AA49" s="398">
        <f>SUMIFS('KIDS&amp;ADULTS'!$Z$3:$Z$12006,'KIDS&amp;ADULTS'!$V$3:$V$12006,U49,'KIDS&amp;ADULTS'!$B$3:$B$12006,$AA$3,'KIDS&amp;ADULTS'!$N$3:$N$12006,"Đã đóng học phí")</f>
        <v>0</v>
      </c>
      <c r="AB49" s="398">
        <f>SUMIFS('KIDS&amp;ADULTS'!$Z$3:$Z$12006,'KIDS&amp;ADULTS'!$V$3:$V$12006,U49,'KIDS&amp;ADULTS'!$B$3:$B$12006,$AB$3,'KIDS&amp;ADULTS'!$N$3:$N$12006,"Đã đóng học phí")</f>
        <v>0</v>
      </c>
      <c r="AC49" s="398">
        <f>SUMIFS('KIDS&amp;ADULTS'!$Z$3:$Z$12006,'KIDS&amp;ADULTS'!$V$3:$V$12006,U49,'KIDS&amp;ADULTS'!$B$3:$B$12006,$AC$3,'KIDS&amp;ADULTS'!$N$3:$N$12006,"Đã đóng học phí")</f>
        <v>0</v>
      </c>
      <c r="AD49" s="398">
        <f t="shared" si="9"/>
        <v>18900000</v>
      </c>
      <c r="AE49" s="373"/>
    </row>
    <row r="50" ht="15.75" customHeight="1">
      <c r="U50" s="372">
        <f t="shared" si="10"/>
        <v>45209</v>
      </c>
      <c r="V50" s="398">
        <f>SUMIFS('KIDS&amp;ADULTS'!$Z$3:$Z$12006,'KIDS&amp;ADULTS'!V$3:V$12006,U50,'KIDS&amp;ADULTS'!$B$3:$B$12006,$K$3,'KIDS&amp;ADULTS'!$N$3:$N$12006,"Đã đóng học phí")</f>
        <v>0</v>
      </c>
      <c r="W50" s="398">
        <f>SUMIFS('KIDS&amp;ADULTS'!$Z$3:$Z$12006,'KIDS&amp;ADULTS'!$V$3:$V$12006,U50,'KIDS&amp;ADULTS'!$B$3:$B$12006,$W$3,'KIDS&amp;ADULTS'!$N$3:$N$12006,"Đã đóng học phí")</f>
        <v>0</v>
      </c>
      <c r="X50" s="398">
        <f>SUMIFS('KIDS&amp;ADULTS'!$Z$3:$Z$12006,'KIDS&amp;ADULTS'!$V$3:$V$12006,U50,'KIDS&amp;ADULTS'!$B$3:$B$12006,$X$3,'KIDS&amp;ADULTS'!$N$3:$N$12006,"Đã đóng học phí")</f>
        <v>0</v>
      </c>
      <c r="Y50" s="398">
        <f>SUMIFS('KIDS&amp;ADULTS'!$Z$3:$Z$12006,'KIDS&amp;ADULTS'!$V$3:$V$12006,U50,'KIDS&amp;ADULTS'!$B$3:$B$12006,$Y$3,'KIDS&amp;ADULTS'!$N$3:$N$12006,"Đã đóng học phí")</f>
        <v>0</v>
      </c>
      <c r="Z50" s="398">
        <f>SUMIFS('KIDS&amp;ADULTS'!$Z$3:$Z$12006,'KIDS&amp;ADULTS'!$V$3:$V$12006,U50,'KIDS&amp;ADULTS'!$B$3:$B$12006,$Z$3,'KIDS&amp;ADULTS'!$N$3:$N$12006,"Đã đóng học phí")</f>
        <v>0</v>
      </c>
      <c r="AA50" s="398">
        <f>SUMIFS('KIDS&amp;ADULTS'!$Z$3:$Z$12006,'KIDS&amp;ADULTS'!$V$3:$V$12006,U50,'KIDS&amp;ADULTS'!$B$3:$B$12006,$AA$3,'KIDS&amp;ADULTS'!$N$3:$N$12006,"Đã đóng học phí")</f>
        <v>0</v>
      </c>
      <c r="AB50" s="398">
        <f>SUMIFS('KIDS&amp;ADULTS'!$Z$3:$Z$12006,'KIDS&amp;ADULTS'!$V$3:$V$12006,U50,'KIDS&amp;ADULTS'!$B$3:$B$12006,$AB$3,'KIDS&amp;ADULTS'!$N$3:$N$12006,"Đã đóng học phí")</f>
        <v>0</v>
      </c>
      <c r="AC50" s="398">
        <f>SUMIFS('KIDS&amp;ADULTS'!$Z$3:$Z$12006,'KIDS&amp;ADULTS'!$V$3:$V$12006,U50,'KIDS&amp;ADULTS'!$B$3:$B$12006,$AC$3,'KIDS&amp;ADULTS'!$N$3:$N$12006,"Đã đóng học phí")</f>
        <v>0</v>
      </c>
      <c r="AD50" s="398">
        <f t="shared" si="9"/>
        <v>0</v>
      </c>
      <c r="AE50" s="373"/>
    </row>
    <row r="51" ht="15.75" customHeight="1">
      <c r="U51" s="372">
        <f t="shared" si="10"/>
        <v>45210</v>
      </c>
      <c r="V51" s="398">
        <f>SUMIFS('KIDS&amp;ADULTS'!$Z$3:$Z$12006,'KIDS&amp;ADULTS'!V$3:V$12006,U51,'KIDS&amp;ADULTS'!$B$3:$B$12006,$K$3,'KIDS&amp;ADULTS'!$N$3:$N$12006,"Đã đóng học phí")</f>
        <v>0</v>
      </c>
      <c r="W51" s="398">
        <f>SUMIFS('KIDS&amp;ADULTS'!$Z$3:$Z$12006,'KIDS&amp;ADULTS'!$V$3:$V$12006,U51,'KIDS&amp;ADULTS'!$B$3:$B$12006,$W$3,'KIDS&amp;ADULTS'!$N$3:$N$12006,"Đã đóng học phí")</f>
        <v>0</v>
      </c>
      <c r="X51" s="398">
        <f>SUMIFS('KIDS&amp;ADULTS'!$Z$3:$Z$12006,'KIDS&amp;ADULTS'!$V$3:$V$12006,U51,'KIDS&amp;ADULTS'!$B$3:$B$12006,$X$3,'KIDS&amp;ADULTS'!$N$3:$N$12006,"Đã đóng học phí")</f>
        <v>0</v>
      </c>
      <c r="Y51" s="398">
        <f>SUMIFS('KIDS&amp;ADULTS'!$Z$3:$Z$12006,'KIDS&amp;ADULTS'!$V$3:$V$12006,U51,'KIDS&amp;ADULTS'!$B$3:$B$12006,$Y$3,'KIDS&amp;ADULTS'!$N$3:$N$12006,"Đã đóng học phí")</f>
        <v>0</v>
      </c>
      <c r="Z51" s="398">
        <f>SUMIFS('KIDS&amp;ADULTS'!$Z$3:$Z$12006,'KIDS&amp;ADULTS'!$V$3:$V$12006,U51,'KIDS&amp;ADULTS'!$B$3:$B$12006,$Z$3,'KIDS&amp;ADULTS'!$N$3:$N$12006,"Đã đóng học phí")</f>
        <v>0</v>
      </c>
      <c r="AA51" s="398">
        <f>SUMIFS('KIDS&amp;ADULTS'!$Z$3:$Z$12006,'KIDS&amp;ADULTS'!$V$3:$V$12006,U51,'KIDS&amp;ADULTS'!$B$3:$B$12006,$AA$3,'KIDS&amp;ADULTS'!$N$3:$N$12006,"Đã đóng học phí")</f>
        <v>0</v>
      </c>
      <c r="AB51" s="398">
        <f>SUMIFS('KIDS&amp;ADULTS'!$Z$3:$Z$12006,'KIDS&amp;ADULTS'!$V$3:$V$12006,U51,'KIDS&amp;ADULTS'!$B$3:$B$12006,$AB$3,'KIDS&amp;ADULTS'!$N$3:$N$12006,"Đã đóng học phí")</f>
        <v>0</v>
      </c>
      <c r="AC51" s="398">
        <f>SUMIFS('KIDS&amp;ADULTS'!$Z$3:$Z$12006,'KIDS&amp;ADULTS'!$V$3:$V$12006,U51,'KIDS&amp;ADULTS'!$B$3:$B$12006,$AC$3,'KIDS&amp;ADULTS'!$N$3:$N$12006,"Đã đóng học phí")</f>
        <v>0</v>
      </c>
      <c r="AD51" s="398">
        <f t="shared" si="9"/>
        <v>0</v>
      </c>
      <c r="AE51" s="373"/>
    </row>
    <row r="52" ht="15.75" customHeight="1">
      <c r="U52" s="372">
        <f t="shared" si="10"/>
        <v>45211</v>
      </c>
      <c r="V52" s="398">
        <f>SUMIFS('KIDS&amp;ADULTS'!$Z$3:$Z$12006,'KIDS&amp;ADULTS'!V$3:V$12006,U52,'KIDS&amp;ADULTS'!$B$3:$B$12006,$K$3,'KIDS&amp;ADULTS'!$N$3:$N$12006,"Đã đóng học phí")</f>
        <v>0</v>
      </c>
      <c r="W52" s="398">
        <f>SUMIFS('KIDS&amp;ADULTS'!$Z$3:$Z$12006,'KIDS&amp;ADULTS'!$V$3:$V$12006,U52,'KIDS&amp;ADULTS'!$B$3:$B$12006,$W$3,'KIDS&amp;ADULTS'!$N$3:$N$12006,"Đã đóng học phí")</f>
        <v>0</v>
      </c>
      <c r="X52" s="398">
        <f>SUMIFS('KIDS&amp;ADULTS'!$Z$3:$Z$12006,'KIDS&amp;ADULTS'!$V$3:$V$12006,U52,'KIDS&amp;ADULTS'!$B$3:$B$12006,$X$3,'KIDS&amp;ADULTS'!$N$3:$N$12006,"Đã đóng học phí")</f>
        <v>0</v>
      </c>
      <c r="Y52" s="398">
        <f>SUMIFS('KIDS&amp;ADULTS'!$Z$3:$Z$12006,'KIDS&amp;ADULTS'!$V$3:$V$12006,U52,'KIDS&amp;ADULTS'!$B$3:$B$12006,$Y$3,'KIDS&amp;ADULTS'!$N$3:$N$12006,"Đã đóng học phí")</f>
        <v>0</v>
      </c>
      <c r="Z52" s="398">
        <f>SUMIFS('KIDS&amp;ADULTS'!$Z$3:$Z$12006,'KIDS&amp;ADULTS'!$V$3:$V$12006,U52,'KIDS&amp;ADULTS'!$B$3:$B$12006,$Z$3,'KIDS&amp;ADULTS'!$N$3:$N$12006,"Đã đóng học phí")</f>
        <v>0</v>
      </c>
      <c r="AA52" s="398">
        <f>SUMIFS('KIDS&amp;ADULTS'!$Z$3:$Z$12006,'KIDS&amp;ADULTS'!$V$3:$V$12006,U52,'KIDS&amp;ADULTS'!$B$3:$B$12006,$AA$3,'KIDS&amp;ADULTS'!$N$3:$N$12006,"Đã đóng học phí")</f>
        <v>0</v>
      </c>
      <c r="AB52" s="398">
        <f>SUMIFS('KIDS&amp;ADULTS'!$Z$3:$Z$12006,'KIDS&amp;ADULTS'!$V$3:$V$12006,U52,'KIDS&amp;ADULTS'!$B$3:$B$12006,$AB$3,'KIDS&amp;ADULTS'!$N$3:$N$12006,"Đã đóng học phí")</f>
        <v>0</v>
      </c>
      <c r="AC52" s="398">
        <f>SUMIFS('KIDS&amp;ADULTS'!$Z$3:$Z$12006,'KIDS&amp;ADULTS'!$V$3:$V$12006,U52,'KIDS&amp;ADULTS'!$B$3:$B$12006,$AC$3,'KIDS&amp;ADULTS'!$N$3:$N$12006,"Đã đóng học phí")</f>
        <v>0</v>
      </c>
      <c r="AD52" s="398">
        <f t="shared" si="9"/>
        <v>0</v>
      </c>
      <c r="AE52" s="373"/>
    </row>
    <row r="53" ht="15.75" customHeight="1">
      <c r="U53" s="372">
        <f t="shared" si="10"/>
        <v>45212</v>
      </c>
      <c r="V53" s="398">
        <f>SUMIFS('KIDS&amp;ADULTS'!$Z$3:$Z$12006,'KIDS&amp;ADULTS'!V$3:V$12006,U53,'KIDS&amp;ADULTS'!$B$3:$B$12006,$K$3,'KIDS&amp;ADULTS'!$N$3:$N$12006,"Đã đóng học phí")</f>
        <v>0</v>
      </c>
      <c r="W53" s="398">
        <f>SUMIFS('KIDS&amp;ADULTS'!$Z$3:$Z$12006,'KIDS&amp;ADULTS'!$V$3:$V$12006,U53,'KIDS&amp;ADULTS'!$B$3:$B$12006,$W$3,'KIDS&amp;ADULTS'!$N$3:$N$12006,"Đã đóng học phí")</f>
        <v>0</v>
      </c>
      <c r="X53" s="398">
        <f>SUMIFS('KIDS&amp;ADULTS'!$Z$3:$Z$12006,'KIDS&amp;ADULTS'!$V$3:$V$12006,U53,'KIDS&amp;ADULTS'!$B$3:$B$12006,$X$3,'KIDS&amp;ADULTS'!$N$3:$N$12006,"Đã đóng học phí")</f>
        <v>0</v>
      </c>
      <c r="Y53" s="398">
        <f>SUMIFS('KIDS&amp;ADULTS'!$Z$3:$Z$12006,'KIDS&amp;ADULTS'!$V$3:$V$12006,U53,'KIDS&amp;ADULTS'!$B$3:$B$12006,$Y$3,'KIDS&amp;ADULTS'!$N$3:$N$12006,"Đã đóng học phí")</f>
        <v>0</v>
      </c>
      <c r="Z53" s="398">
        <f>SUMIFS('KIDS&amp;ADULTS'!$Z$3:$Z$12006,'KIDS&amp;ADULTS'!$V$3:$V$12006,U53,'KIDS&amp;ADULTS'!$B$3:$B$12006,$Z$3,'KIDS&amp;ADULTS'!$N$3:$N$12006,"Đã đóng học phí")</f>
        <v>0</v>
      </c>
      <c r="AA53" s="398">
        <f>SUMIFS('KIDS&amp;ADULTS'!$Z$3:$Z$12006,'KIDS&amp;ADULTS'!$V$3:$V$12006,U53,'KIDS&amp;ADULTS'!$B$3:$B$12006,$AA$3,'KIDS&amp;ADULTS'!$N$3:$N$12006,"Đã đóng học phí")</f>
        <v>0</v>
      </c>
      <c r="AB53" s="398">
        <f>SUMIFS('KIDS&amp;ADULTS'!$Z$3:$Z$12006,'KIDS&amp;ADULTS'!$V$3:$V$12006,U53,'KIDS&amp;ADULTS'!$B$3:$B$12006,$AB$3,'KIDS&amp;ADULTS'!$N$3:$N$12006,"Đã đóng học phí")</f>
        <v>0</v>
      </c>
      <c r="AC53" s="398">
        <f>SUMIFS('KIDS&amp;ADULTS'!$Z$3:$Z$12006,'KIDS&amp;ADULTS'!$V$3:$V$12006,U53,'KIDS&amp;ADULTS'!$B$3:$B$12006,$AC$3,'KIDS&amp;ADULTS'!$N$3:$N$12006,"Đã đóng học phí")</f>
        <v>0</v>
      </c>
      <c r="AD53" s="398">
        <f t="shared" si="9"/>
        <v>0</v>
      </c>
      <c r="AE53" s="373"/>
    </row>
    <row r="54" ht="15.75" customHeight="1">
      <c r="U54" s="372">
        <f t="shared" si="10"/>
        <v>45213</v>
      </c>
      <c r="V54" s="398">
        <f>SUMIFS('KIDS&amp;ADULTS'!$Z$3:$Z$12006,'KIDS&amp;ADULTS'!V$3:V$12006,U54,'KIDS&amp;ADULTS'!$B$3:$B$12006,$K$3,'KIDS&amp;ADULTS'!$N$3:$N$12006,"Đã đóng học phí")</f>
        <v>0</v>
      </c>
      <c r="W54" s="398">
        <f>SUMIFS('KIDS&amp;ADULTS'!$Z$3:$Z$12006,'KIDS&amp;ADULTS'!$V$3:$V$12006,U54,'KIDS&amp;ADULTS'!$B$3:$B$12006,$W$3,'KIDS&amp;ADULTS'!$N$3:$N$12006,"Đã đóng học phí")</f>
        <v>0</v>
      </c>
      <c r="X54" s="398">
        <f>SUMIFS('KIDS&amp;ADULTS'!$Z$3:$Z$12006,'KIDS&amp;ADULTS'!$V$3:$V$12006,U54,'KIDS&amp;ADULTS'!$B$3:$B$12006,$X$3,'KIDS&amp;ADULTS'!$N$3:$N$12006,"Đã đóng học phí")</f>
        <v>0</v>
      </c>
      <c r="Y54" s="398">
        <f>SUMIFS('KIDS&amp;ADULTS'!$Z$3:$Z$12006,'KIDS&amp;ADULTS'!$V$3:$V$12006,U54,'KIDS&amp;ADULTS'!$B$3:$B$12006,$Y$3,'KIDS&amp;ADULTS'!$N$3:$N$12006,"Đã đóng học phí")</f>
        <v>0</v>
      </c>
      <c r="Z54" s="398">
        <f>SUMIFS('KIDS&amp;ADULTS'!$Z$3:$Z$12006,'KIDS&amp;ADULTS'!$V$3:$V$12006,U54,'KIDS&amp;ADULTS'!$B$3:$B$12006,$Z$3,'KIDS&amp;ADULTS'!$N$3:$N$12006,"Đã đóng học phí")</f>
        <v>0</v>
      </c>
      <c r="AA54" s="398">
        <f>SUMIFS('KIDS&amp;ADULTS'!$Z$3:$Z$12006,'KIDS&amp;ADULTS'!$V$3:$V$12006,U54,'KIDS&amp;ADULTS'!$B$3:$B$12006,$AA$3,'KIDS&amp;ADULTS'!$N$3:$N$12006,"Đã đóng học phí")</f>
        <v>0</v>
      </c>
      <c r="AB54" s="398">
        <f>SUMIFS('KIDS&amp;ADULTS'!$Z$3:$Z$12006,'KIDS&amp;ADULTS'!$V$3:$V$12006,U54,'KIDS&amp;ADULTS'!$B$3:$B$12006,$AB$3,'KIDS&amp;ADULTS'!$N$3:$N$12006,"Đã đóng học phí")</f>
        <v>0</v>
      </c>
      <c r="AC54" s="398">
        <f>SUMIFS('KIDS&amp;ADULTS'!$Z$3:$Z$12006,'KIDS&amp;ADULTS'!$V$3:$V$12006,U54,'KIDS&amp;ADULTS'!$B$3:$B$12006,$AC$3,'KIDS&amp;ADULTS'!$N$3:$N$12006,"Đã đóng học phí")</f>
        <v>0</v>
      </c>
      <c r="AD54" s="398">
        <f t="shared" si="9"/>
        <v>0</v>
      </c>
      <c r="AE54" s="373"/>
    </row>
    <row r="55" ht="15.75" customHeight="1">
      <c r="U55" s="372">
        <f t="shared" si="10"/>
        <v>45214</v>
      </c>
      <c r="V55" s="398">
        <f>SUMIFS('KIDS&amp;ADULTS'!$Z$3:$Z$12006,'KIDS&amp;ADULTS'!V$3:V$12006,U55,'KIDS&amp;ADULTS'!$B$3:$B$12006,$K$3,'KIDS&amp;ADULTS'!$N$3:$N$12006,"Đã đóng học phí")</f>
        <v>0</v>
      </c>
      <c r="W55" s="398">
        <f>SUMIFS('KIDS&amp;ADULTS'!$Z$3:$Z$12006,'KIDS&amp;ADULTS'!$V$3:$V$12006,U55,'KIDS&amp;ADULTS'!$B$3:$B$12006,$W$3,'KIDS&amp;ADULTS'!$N$3:$N$12006,"Đã đóng học phí")</f>
        <v>0</v>
      </c>
      <c r="X55" s="398">
        <f>SUMIFS('KIDS&amp;ADULTS'!$Z$3:$Z$12006,'KIDS&amp;ADULTS'!$V$3:$V$12006,U55,'KIDS&amp;ADULTS'!$B$3:$B$12006,$X$3,'KIDS&amp;ADULTS'!$N$3:$N$12006,"Đã đóng học phí")</f>
        <v>0</v>
      </c>
      <c r="Y55" s="398">
        <f>SUMIFS('KIDS&amp;ADULTS'!$Z$3:$Z$12006,'KIDS&amp;ADULTS'!$V$3:$V$12006,U55,'KIDS&amp;ADULTS'!$B$3:$B$12006,$Y$3,'KIDS&amp;ADULTS'!$N$3:$N$12006,"Đã đóng học phí")</f>
        <v>0</v>
      </c>
      <c r="Z55" s="398">
        <f>SUMIFS('KIDS&amp;ADULTS'!$Z$3:$Z$12006,'KIDS&amp;ADULTS'!$V$3:$V$12006,U55,'KIDS&amp;ADULTS'!$B$3:$B$12006,$Z$3,'KIDS&amp;ADULTS'!$N$3:$N$12006,"Đã đóng học phí")</f>
        <v>0</v>
      </c>
      <c r="AA55" s="398">
        <f>SUMIFS('KIDS&amp;ADULTS'!$Z$3:$Z$12006,'KIDS&amp;ADULTS'!$V$3:$V$12006,U55,'KIDS&amp;ADULTS'!$B$3:$B$12006,$AA$3,'KIDS&amp;ADULTS'!$N$3:$N$12006,"Đã đóng học phí")</f>
        <v>0</v>
      </c>
      <c r="AB55" s="398">
        <f>SUMIFS('KIDS&amp;ADULTS'!$Z$3:$Z$12006,'KIDS&amp;ADULTS'!$V$3:$V$12006,U55,'KIDS&amp;ADULTS'!$B$3:$B$12006,$AB$3,'KIDS&amp;ADULTS'!$N$3:$N$12006,"Đã đóng học phí")</f>
        <v>0</v>
      </c>
      <c r="AC55" s="398">
        <f>SUMIFS('KIDS&amp;ADULTS'!$Z$3:$Z$12006,'KIDS&amp;ADULTS'!$V$3:$V$12006,U55,'KIDS&amp;ADULTS'!$B$3:$B$12006,$AC$3,'KIDS&amp;ADULTS'!$N$3:$N$12006,"Đã đóng học phí")</f>
        <v>0</v>
      </c>
      <c r="AD55" s="398">
        <f t="shared" si="9"/>
        <v>0</v>
      </c>
      <c r="AE55" s="373"/>
    </row>
    <row r="56" ht="15.75" customHeight="1">
      <c r="U56" s="372">
        <f t="shared" si="10"/>
        <v>45215</v>
      </c>
      <c r="V56" s="398">
        <f>SUMIFS('KIDS&amp;ADULTS'!$Z$3:$Z$12006,'KIDS&amp;ADULTS'!V$3:V$12006,U56,'KIDS&amp;ADULTS'!$B$3:$B$12006,$K$3,'KIDS&amp;ADULTS'!$N$3:$N$12006,"Đã đóng học phí")</f>
        <v>0</v>
      </c>
      <c r="W56" s="398">
        <f>SUMIFS('KIDS&amp;ADULTS'!$Z$3:$Z$12006,'KIDS&amp;ADULTS'!$V$3:$V$12006,U56,'KIDS&amp;ADULTS'!$B$3:$B$12006,$W$3,'KIDS&amp;ADULTS'!$N$3:$N$12006,"Đã đóng học phí")</f>
        <v>0</v>
      </c>
      <c r="X56" s="398">
        <f>SUMIFS('KIDS&amp;ADULTS'!$Z$3:$Z$12006,'KIDS&amp;ADULTS'!$V$3:$V$12006,U56,'KIDS&amp;ADULTS'!$B$3:$B$12006,$X$3,'KIDS&amp;ADULTS'!$N$3:$N$12006,"Đã đóng học phí")</f>
        <v>0</v>
      </c>
      <c r="Y56" s="398">
        <f>SUMIFS('KIDS&amp;ADULTS'!$Z$3:$Z$12006,'KIDS&amp;ADULTS'!$V$3:$V$12006,U56,'KIDS&amp;ADULTS'!$B$3:$B$12006,$Y$3,'KIDS&amp;ADULTS'!$N$3:$N$12006,"Đã đóng học phí")</f>
        <v>7875000</v>
      </c>
      <c r="Z56" s="398">
        <f>SUMIFS('KIDS&amp;ADULTS'!$Z$3:$Z$12006,'KIDS&amp;ADULTS'!$V$3:$V$12006,U56,'KIDS&amp;ADULTS'!$B$3:$B$12006,$Z$3,'KIDS&amp;ADULTS'!$N$3:$N$12006,"Đã đóng học phí")</f>
        <v>0</v>
      </c>
      <c r="AA56" s="398">
        <f>SUMIFS('KIDS&amp;ADULTS'!$Z$3:$Z$12006,'KIDS&amp;ADULTS'!$V$3:$V$12006,U56,'KIDS&amp;ADULTS'!$B$3:$B$12006,$AA$3,'KIDS&amp;ADULTS'!$N$3:$N$12006,"Đã đóng học phí")</f>
        <v>0</v>
      </c>
      <c r="AB56" s="398">
        <f>SUMIFS('KIDS&amp;ADULTS'!$Z$3:$Z$12006,'KIDS&amp;ADULTS'!$V$3:$V$12006,U56,'KIDS&amp;ADULTS'!$B$3:$B$12006,$AB$3,'KIDS&amp;ADULTS'!$N$3:$N$12006,"Đã đóng học phí")</f>
        <v>0</v>
      </c>
      <c r="AC56" s="398">
        <f>SUMIFS('KIDS&amp;ADULTS'!$Z$3:$Z$12006,'KIDS&amp;ADULTS'!$V$3:$V$12006,U56,'KIDS&amp;ADULTS'!$B$3:$B$12006,$AC$3,'KIDS&amp;ADULTS'!$N$3:$N$12006,"Đã đóng học phí")</f>
        <v>0</v>
      </c>
      <c r="AD56" s="398">
        <f t="shared" si="9"/>
        <v>7875000</v>
      </c>
      <c r="AE56" s="373"/>
    </row>
    <row r="57" ht="15.75" customHeight="1">
      <c r="U57" s="372">
        <f t="shared" si="10"/>
        <v>45216</v>
      </c>
      <c r="V57" s="398">
        <f>SUMIFS('KIDS&amp;ADULTS'!$Z$3:$Z$12006,'KIDS&amp;ADULTS'!V$3:V$12006,U57,'KIDS&amp;ADULTS'!$B$3:$B$12006,$K$3,'KIDS&amp;ADULTS'!$N$3:$N$12006,"Đã đóng học phí")</f>
        <v>0</v>
      </c>
      <c r="W57" s="398">
        <f>SUMIFS('KIDS&amp;ADULTS'!$Z$3:$Z$12006,'KIDS&amp;ADULTS'!$V$3:$V$12006,U57,'KIDS&amp;ADULTS'!$B$3:$B$12006,$W$3,'KIDS&amp;ADULTS'!$N$3:$N$12006,"Đã đóng học phí")</f>
        <v>0</v>
      </c>
      <c r="X57" s="398">
        <f>SUMIFS('KIDS&amp;ADULTS'!$Z$3:$Z$12006,'KIDS&amp;ADULTS'!$V$3:$V$12006,U57,'KIDS&amp;ADULTS'!$B$3:$B$12006,$X$3,'KIDS&amp;ADULTS'!$N$3:$N$12006,"Đã đóng học phí")</f>
        <v>0</v>
      </c>
      <c r="Y57" s="398">
        <f>SUMIFS('KIDS&amp;ADULTS'!$Z$3:$Z$12006,'KIDS&amp;ADULTS'!$V$3:$V$12006,U57,'KIDS&amp;ADULTS'!$B$3:$B$12006,$Y$3,'KIDS&amp;ADULTS'!$N$3:$N$12006,"Đã đóng học phí")</f>
        <v>3062000</v>
      </c>
      <c r="Z57" s="398">
        <f>SUMIFS('KIDS&amp;ADULTS'!$Z$3:$Z$12006,'KIDS&amp;ADULTS'!$V$3:$V$12006,U57,'KIDS&amp;ADULTS'!$B$3:$B$12006,$Z$3,'KIDS&amp;ADULTS'!$N$3:$N$12006,"Đã đóng học phí")</f>
        <v>0</v>
      </c>
      <c r="AA57" s="398">
        <f>SUMIFS('KIDS&amp;ADULTS'!$Z$3:$Z$12006,'KIDS&amp;ADULTS'!$V$3:$V$12006,U57,'KIDS&amp;ADULTS'!$B$3:$B$12006,$AA$3,'KIDS&amp;ADULTS'!$N$3:$N$12006,"Đã đóng học phí")</f>
        <v>0</v>
      </c>
      <c r="AB57" s="398">
        <f>SUMIFS('KIDS&amp;ADULTS'!$Z$3:$Z$12006,'KIDS&amp;ADULTS'!$V$3:$V$12006,U57,'KIDS&amp;ADULTS'!$B$3:$B$12006,$AB$3,'KIDS&amp;ADULTS'!$N$3:$N$12006,"Đã đóng học phí")</f>
        <v>0</v>
      </c>
      <c r="AC57" s="398">
        <f>SUMIFS('KIDS&amp;ADULTS'!$Z$3:$Z$12006,'KIDS&amp;ADULTS'!$V$3:$V$12006,U57,'KIDS&amp;ADULTS'!$B$3:$B$12006,$AC$3,'KIDS&amp;ADULTS'!$N$3:$N$12006,"Đã đóng học phí")</f>
        <v>0</v>
      </c>
      <c r="AD57" s="398">
        <f t="shared" si="9"/>
        <v>3062000</v>
      </c>
      <c r="AE57" s="373"/>
    </row>
    <row r="58" ht="15.75" customHeight="1">
      <c r="U58" s="372">
        <f t="shared" si="10"/>
        <v>45217</v>
      </c>
      <c r="V58" s="398">
        <f>SUMIFS('KIDS&amp;ADULTS'!$Z$3:$Z$12006,'KIDS&amp;ADULTS'!V$3:V$12006,U58,'KIDS&amp;ADULTS'!$B$3:$B$12006,$K$3,'KIDS&amp;ADULTS'!$N$3:$N$12006,"Đã đóng học phí")</f>
        <v>0</v>
      </c>
      <c r="W58" s="398">
        <f>SUMIFS('KIDS&amp;ADULTS'!$Z$3:$Z$12006,'KIDS&amp;ADULTS'!$V$3:$V$12006,U58,'KIDS&amp;ADULTS'!$B$3:$B$12006,$W$3,'KIDS&amp;ADULTS'!$N$3:$N$12006,"Đã đóng học phí")</f>
        <v>0</v>
      </c>
      <c r="X58" s="398">
        <f>SUMIFS('KIDS&amp;ADULTS'!$Z$3:$Z$12006,'KIDS&amp;ADULTS'!$V$3:$V$12006,U58,'KIDS&amp;ADULTS'!$B$3:$B$12006,$X$3,'KIDS&amp;ADULTS'!$N$3:$N$12006,"Đã đóng học phí")</f>
        <v>0</v>
      </c>
      <c r="Y58" s="398">
        <f>SUMIFS('KIDS&amp;ADULTS'!$Z$3:$Z$12006,'KIDS&amp;ADULTS'!$V$3:$V$12006,U58,'KIDS&amp;ADULTS'!$B$3:$B$12006,$Y$3,'KIDS&amp;ADULTS'!$N$3:$N$12006,"Đã đóng học phí")</f>
        <v>0</v>
      </c>
      <c r="Z58" s="398">
        <f>SUMIFS('KIDS&amp;ADULTS'!$Z$3:$Z$12006,'KIDS&amp;ADULTS'!$V$3:$V$12006,U58,'KIDS&amp;ADULTS'!$B$3:$B$12006,$Z$3,'KIDS&amp;ADULTS'!$N$3:$N$12006,"Đã đóng học phí")</f>
        <v>0</v>
      </c>
      <c r="AA58" s="398">
        <f>SUMIFS('KIDS&amp;ADULTS'!$Z$3:$Z$12006,'KIDS&amp;ADULTS'!$V$3:$V$12006,U58,'KIDS&amp;ADULTS'!$B$3:$B$12006,$AA$3,'KIDS&amp;ADULTS'!$N$3:$N$12006,"Đã đóng học phí")</f>
        <v>0</v>
      </c>
      <c r="AB58" s="398">
        <f>SUMIFS('KIDS&amp;ADULTS'!$Z$3:$Z$12006,'KIDS&amp;ADULTS'!$V$3:$V$12006,U58,'KIDS&amp;ADULTS'!$B$3:$B$12006,$AB$3,'KIDS&amp;ADULTS'!$N$3:$N$12006,"Đã đóng học phí")</f>
        <v>0</v>
      </c>
      <c r="AC58" s="398">
        <f>SUMIFS('KIDS&amp;ADULTS'!$Z$3:$Z$12006,'KIDS&amp;ADULTS'!$V$3:$V$12006,U58,'KIDS&amp;ADULTS'!$B$3:$B$12006,$AC$3,'KIDS&amp;ADULTS'!$N$3:$N$12006,"Đã đóng học phí")</f>
        <v>0</v>
      </c>
      <c r="AD58" s="398">
        <f t="shared" si="9"/>
        <v>0</v>
      </c>
      <c r="AE58" s="373"/>
    </row>
    <row r="59" ht="15.75" customHeight="1">
      <c r="U59" s="372">
        <f t="shared" si="10"/>
        <v>45218</v>
      </c>
      <c r="V59" s="398">
        <f>SUMIFS('KIDS&amp;ADULTS'!$Z$3:$Z$12006,'KIDS&amp;ADULTS'!V$3:V$12006,U59,'KIDS&amp;ADULTS'!$B$3:$B$12006,$K$3,'KIDS&amp;ADULTS'!$N$3:$N$12006,"Đã đóng học phí")</f>
        <v>0</v>
      </c>
      <c r="W59" s="398">
        <f>SUMIFS('KIDS&amp;ADULTS'!$Z$3:$Z$12006,'KIDS&amp;ADULTS'!$V$3:$V$12006,U59,'KIDS&amp;ADULTS'!$B$3:$B$12006,$W$3,'KIDS&amp;ADULTS'!$N$3:$N$12006,"Đã đóng học phí")</f>
        <v>0</v>
      </c>
      <c r="X59" s="398">
        <f>SUMIFS('KIDS&amp;ADULTS'!$Z$3:$Z$12006,'KIDS&amp;ADULTS'!$V$3:$V$12006,U59,'KIDS&amp;ADULTS'!$B$3:$B$12006,$X$3,'KIDS&amp;ADULTS'!$N$3:$N$12006,"Đã đóng học phí")</f>
        <v>0</v>
      </c>
      <c r="Y59" s="398">
        <f>SUMIFS('KIDS&amp;ADULTS'!$Z$3:$Z$12006,'KIDS&amp;ADULTS'!$V$3:$V$12006,U59,'KIDS&amp;ADULTS'!$B$3:$B$12006,$Y$3,'KIDS&amp;ADULTS'!$N$3:$N$12006,"Đã đóng học phí")</f>
        <v>0</v>
      </c>
      <c r="Z59" s="398">
        <f>SUMIFS('KIDS&amp;ADULTS'!$Z$3:$Z$12006,'KIDS&amp;ADULTS'!$V$3:$V$12006,U59,'KIDS&amp;ADULTS'!$B$3:$B$12006,$Z$3,'KIDS&amp;ADULTS'!$N$3:$N$12006,"Đã đóng học phí")</f>
        <v>3264000</v>
      </c>
      <c r="AA59" s="398">
        <f>SUMIFS('KIDS&amp;ADULTS'!$Z$3:$Z$12006,'KIDS&amp;ADULTS'!$V$3:$V$12006,U59,'KIDS&amp;ADULTS'!$B$3:$B$12006,$AA$3,'KIDS&amp;ADULTS'!$N$3:$N$12006,"Đã đóng học phí")</f>
        <v>0</v>
      </c>
      <c r="AB59" s="398">
        <f>SUMIFS('KIDS&amp;ADULTS'!$Z$3:$Z$12006,'KIDS&amp;ADULTS'!$V$3:$V$12006,U59,'KIDS&amp;ADULTS'!$B$3:$B$12006,$AB$3,'KIDS&amp;ADULTS'!$N$3:$N$12006,"Đã đóng học phí")</f>
        <v>0</v>
      </c>
      <c r="AC59" s="398">
        <f>SUMIFS('KIDS&amp;ADULTS'!$Z$3:$Z$12006,'KIDS&amp;ADULTS'!$V$3:$V$12006,U59,'KIDS&amp;ADULTS'!$B$3:$B$12006,$AC$3,'KIDS&amp;ADULTS'!$N$3:$N$12006,"Đã đóng học phí")</f>
        <v>0</v>
      </c>
      <c r="AD59" s="398">
        <f t="shared" si="9"/>
        <v>3264000</v>
      </c>
      <c r="AE59" s="373"/>
    </row>
    <row r="60" ht="15.75" customHeight="1">
      <c r="U60" s="372">
        <f t="shared" si="10"/>
        <v>45219</v>
      </c>
      <c r="V60" s="398">
        <f>SUMIFS('KIDS&amp;ADULTS'!$Z$3:$Z$12006,'KIDS&amp;ADULTS'!V$3:V$12006,U60,'KIDS&amp;ADULTS'!$B$3:$B$12006,$K$3,'KIDS&amp;ADULTS'!$N$3:$N$12006,"Đã đóng học phí")</f>
        <v>0</v>
      </c>
      <c r="W60" s="398">
        <f>SUMIFS('KIDS&amp;ADULTS'!$Z$3:$Z$12006,'KIDS&amp;ADULTS'!$V$3:$V$12006,U60,'KIDS&amp;ADULTS'!$B$3:$B$12006,$W$3,'KIDS&amp;ADULTS'!$N$3:$N$12006,"Đã đóng học phí")</f>
        <v>0</v>
      </c>
      <c r="X60" s="398">
        <f>SUMIFS('KIDS&amp;ADULTS'!$Z$3:$Z$12006,'KIDS&amp;ADULTS'!$V$3:$V$12006,U60,'KIDS&amp;ADULTS'!$B$3:$B$12006,$X$3,'KIDS&amp;ADULTS'!$N$3:$N$12006,"Đã đóng học phí")</f>
        <v>0</v>
      </c>
      <c r="Y60" s="398">
        <f>SUMIFS('KIDS&amp;ADULTS'!$Z$3:$Z$12006,'KIDS&amp;ADULTS'!$V$3:$V$12006,U60,'KIDS&amp;ADULTS'!$B$3:$B$12006,$Y$3,'KIDS&amp;ADULTS'!$N$3:$N$12006,"Đã đóng học phí")</f>
        <v>0</v>
      </c>
      <c r="Z60" s="398">
        <f>SUMIFS('KIDS&amp;ADULTS'!$Z$3:$Z$12006,'KIDS&amp;ADULTS'!$V$3:$V$12006,U60,'KIDS&amp;ADULTS'!$B$3:$B$12006,$Z$3,'KIDS&amp;ADULTS'!$N$3:$N$12006,"Đã đóng học phí")</f>
        <v>0</v>
      </c>
      <c r="AA60" s="398">
        <f>SUMIFS('KIDS&amp;ADULTS'!$Z$3:$Z$12006,'KIDS&amp;ADULTS'!$V$3:$V$12006,U60,'KIDS&amp;ADULTS'!$B$3:$B$12006,$AA$3,'KIDS&amp;ADULTS'!$N$3:$N$12006,"Đã đóng học phí")</f>
        <v>0</v>
      </c>
      <c r="AB60" s="398">
        <f>SUMIFS('KIDS&amp;ADULTS'!$Z$3:$Z$12006,'KIDS&amp;ADULTS'!$V$3:$V$12006,U60,'KIDS&amp;ADULTS'!$B$3:$B$12006,$AB$3,'KIDS&amp;ADULTS'!$N$3:$N$12006,"Đã đóng học phí")</f>
        <v>0</v>
      </c>
      <c r="AC60" s="398">
        <f>SUMIFS('KIDS&amp;ADULTS'!$Z$3:$Z$12006,'KIDS&amp;ADULTS'!$V$3:$V$12006,U60,'KIDS&amp;ADULTS'!$B$3:$B$12006,$AC$3,'KIDS&amp;ADULTS'!$N$3:$N$12006,"Đã đóng học phí")</f>
        <v>0</v>
      </c>
      <c r="AD60" s="398">
        <f t="shared" si="9"/>
        <v>0</v>
      </c>
      <c r="AE60" s="373"/>
    </row>
    <row r="61" ht="15.75" customHeight="1">
      <c r="U61" s="372">
        <f t="shared" si="10"/>
        <v>45220</v>
      </c>
      <c r="V61" s="398">
        <f>SUMIFS('KIDS&amp;ADULTS'!$Z$3:$Z$12006,'KIDS&amp;ADULTS'!V$3:V$12006,U61,'KIDS&amp;ADULTS'!$B$3:$B$12006,$K$3,'KIDS&amp;ADULTS'!$N$3:$N$12006,"Đã đóng học phí")</f>
        <v>0</v>
      </c>
      <c r="W61" s="398">
        <f>SUMIFS('KIDS&amp;ADULTS'!$Z$3:$Z$12006,'KIDS&amp;ADULTS'!$V$3:$V$12006,U61,'KIDS&amp;ADULTS'!$B$3:$B$12006,$W$3,'KIDS&amp;ADULTS'!$N$3:$N$12006,"Đã đóng học phí")</f>
        <v>0</v>
      </c>
      <c r="X61" s="398">
        <f>SUMIFS('KIDS&amp;ADULTS'!$Z$3:$Z$12006,'KIDS&amp;ADULTS'!$V$3:$V$12006,U61,'KIDS&amp;ADULTS'!$B$3:$B$12006,$X$3,'KIDS&amp;ADULTS'!$N$3:$N$12006,"Đã đóng học phí")</f>
        <v>0</v>
      </c>
      <c r="Y61" s="398">
        <f>SUMIFS('KIDS&amp;ADULTS'!$Z$3:$Z$12006,'KIDS&amp;ADULTS'!$V$3:$V$12006,U61,'KIDS&amp;ADULTS'!$B$3:$B$12006,$Y$3,'KIDS&amp;ADULTS'!$N$3:$N$12006,"Đã đóng học phí")</f>
        <v>0</v>
      </c>
      <c r="Z61" s="398">
        <f>SUMIFS('KIDS&amp;ADULTS'!$Z$3:$Z$12006,'KIDS&amp;ADULTS'!$V$3:$V$12006,U61,'KIDS&amp;ADULTS'!$B$3:$B$12006,$Z$3,'KIDS&amp;ADULTS'!$N$3:$N$12006,"Đã đóng học phí")</f>
        <v>0</v>
      </c>
      <c r="AA61" s="398">
        <f>SUMIFS('KIDS&amp;ADULTS'!$Z$3:$Z$12006,'KIDS&amp;ADULTS'!$V$3:$V$12006,U61,'KIDS&amp;ADULTS'!$B$3:$B$12006,$AA$3,'KIDS&amp;ADULTS'!$N$3:$N$12006,"Đã đóng học phí")</f>
        <v>0</v>
      </c>
      <c r="AB61" s="398">
        <f>SUMIFS('KIDS&amp;ADULTS'!$Z$3:$Z$12006,'KIDS&amp;ADULTS'!$V$3:$V$12006,U61,'KIDS&amp;ADULTS'!$B$3:$B$12006,$AB$3,'KIDS&amp;ADULTS'!$N$3:$N$12006,"Đã đóng học phí")</f>
        <v>0</v>
      </c>
      <c r="AC61" s="398">
        <f>SUMIFS('KIDS&amp;ADULTS'!$Z$3:$Z$12006,'KIDS&amp;ADULTS'!$V$3:$V$12006,U61,'KIDS&amp;ADULTS'!$B$3:$B$12006,$AC$3,'KIDS&amp;ADULTS'!$N$3:$N$12006,"Đã đóng học phí")</f>
        <v>0</v>
      </c>
      <c r="AD61" s="398">
        <f t="shared" si="9"/>
        <v>0</v>
      </c>
      <c r="AE61" s="373"/>
    </row>
    <row r="62" ht="15.75" customHeight="1">
      <c r="U62" s="372">
        <f t="shared" si="10"/>
        <v>45221</v>
      </c>
      <c r="V62" s="398">
        <f>SUMIFS('KIDS&amp;ADULTS'!$Z$3:$Z$12006,'KIDS&amp;ADULTS'!V$3:V$12006,U62,'KIDS&amp;ADULTS'!$B$3:$B$12006,$K$3,'KIDS&amp;ADULTS'!$N$3:$N$12006,"Đã đóng học phí")</f>
        <v>0</v>
      </c>
      <c r="W62" s="398">
        <f>SUMIFS('KIDS&amp;ADULTS'!$Z$3:$Z$12006,'KIDS&amp;ADULTS'!$V$3:$V$12006,U62,'KIDS&amp;ADULTS'!$B$3:$B$12006,$W$3,'KIDS&amp;ADULTS'!$N$3:$N$12006,"Đã đóng học phí")</f>
        <v>0</v>
      </c>
      <c r="X62" s="398">
        <f>SUMIFS('KIDS&amp;ADULTS'!$Z$3:$Z$12006,'KIDS&amp;ADULTS'!$V$3:$V$12006,U62,'KIDS&amp;ADULTS'!$B$3:$B$12006,$X$3,'KIDS&amp;ADULTS'!$N$3:$N$12006,"Đã đóng học phí")</f>
        <v>0</v>
      </c>
      <c r="Y62" s="398">
        <f>SUMIFS('KIDS&amp;ADULTS'!$Z$3:$Z$12006,'KIDS&amp;ADULTS'!$V$3:$V$12006,U62,'KIDS&amp;ADULTS'!$B$3:$B$12006,$Y$3,'KIDS&amp;ADULTS'!$N$3:$N$12006,"Đã đóng học phí")</f>
        <v>0</v>
      </c>
      <c r="Z62" s="398">
        <f>SUMIFS('KIDS&amp;ADULTS'!$Z$3:$Z$12006,'KIDS&amp;ADULTS'!$V$3:$V$12006,U62,'KIDS&amp;ADULTS'!$B$3:$B$12006,$Z$3,'KIDS&amp;ADULTS'!$N$3:$N$12006,"Đã đóng học phí")</f>
        <v>0</v>
      </c>
      <c r="AA62" s="398">
        <f>SUMIFS('KIDS&amp;ADULTS'!$Z$3:$Z$12006,'KIDS&amp;ADULTS'!$V$3:$V$12006,U62,'KIDS&amp;ADULTS'!$B$3:$B$12006,$AA$3,'KIDS&amp;ADULTS'!$N$3:$N$12006,"Đã đóng học phí")</f>
        <v>0</v>
      </c>
      <c r="AB62" s="398">
        <f>SUMIFS('KIDS&amp;ADULTS'!$Z$3:$Z$12006,'KIDS&amp;ADULTS'!$V$3:$V$12006,U62,'KIDS&amp;ADULTS'!$B$3:$B$12006,$AB$3,'KIDS&amp;ADULTS'!$N$3:$N$12006,"Đã đóng học phí")</f>
        <v>0</v>
      </c>
      <c r="AC62" s="398">
        <f>SUMIFS('KIDS&amp;ADULTS'!$Z$3:$Z$12006,'KIDS&amp;ADULTS'!$V$3:$V$12006,U62,'KIDS&amp;ADULTS'!$B$3:$B$12006,$AC$3,'KIDS&amp;ADULTS'!$N$3:$N$12006,"Đã đóng học phí")</f>
        <v>0</v>
      </c>
      <c r="AD62" s="398">
        <f t="shared" si="9"/>
        <v>0</v>
      </c>
      <c r="AE62" s="373"/>
    </row>
    <row r="63" ht="15.75" customHeight="1">
      <c r="U63" s="372">
        <f t="shared" si="10"/>
        <v>45222</v>
      </c>
      <c r="V63" s="398">
        <f>SUMIFS('KIDS&amp;ADULTS'!$Z$3:$Z$12006,'KIDS&amp;ADULTS'!V$3:V$12006,U63,'KIDS&amp;ADULTS'!$B$3:$B$12006,$K$3,'KIDS&amp;ADULTS'!$N$3:$N$12006,"Đã đóng học phí")</f>
        <v>0</v>
      </c>
      <c r="W63" s="398">
        <f>SUMIFS('KIDS&amp;ADULTS'!$Z$3:$Z$12006,'KIDS&amp;ADULTS'!$V$3:$V$12006,U63,'KIDS&amp;ADULTS'!$B$3:$B$12006,$W$3,'KIDS&amp;ADULTS'!$N$3:$N$12006,"Đã đóng học phí")</f>
        <v>0</v>
      </c>
      <c r="X63" s="398">
        <f>SUMIFS('KIDS&amp;ADULTS'!$Z$3:$Z$12006,'KIDS&amp;ADULTS'!$V$3:$V$12006,U63,'KIDS&amp;ADULTS'!$B$3:$B$12006,$X$3,'KIDS&amp;ADULTS'!$N$3:$N$12006,"Đã đóng học phí")</f>
        <v>0</v>
      </c>
      <c r="Y63" s="398">
        <f>SUMIFS('KIDS&amp;ADULTS'!$Z$3:$Z$12006,'KIDS&amp;ADULTS'!$V$3:$V$12006,U63,'KIDS&amp;ADULTS'!$B$3:$B$12006,$Y$3,'KIDS&amp;ADULTS'!$N$3:$N$12006,"Đã đóng học phí")</f>
        <v>0</v>
      </c>
      <c r="Z63" s="398">
        <f>SUMIFS('KIDS&amp;ADULTS'!$Z$3:$Z$12006,'KIDS&amp;ADULTS'!$V$3:$V$12006,U63,'KIDS&amp;ADULTS'!$B$3:$B$12006,$Z$3,'KIDS&amp;ADULTS'!$N$3:$N$12006,"Đã đóng học phí")</f>
        <v>0</v>
      </c>
      <c r="AA63" s="398">
        <f>SUMIFS('KIDS&amp;ADULTS'!$Z$3:$Z$12006,'KIDS&amp;ADULTS'!$V$3:$V$12006,U63,'KIDS&amp;ADULTS'!$B$3:$B$12006,$AA$3,'KIDS&amp;ADULTS'!$N$3:$N$12006,"Đã đóng học phí")</f>
        <v>0</v>
      </c>
      <c r="AB63" s="398">
        <f>SUMIFS('KIDS&amp;ADULTS'!$Z$3:$Z$12006,'KIDS&amp;ADULTS'!$V$3:$V$12006,U63,'KIDS&amp;ADULTS'!$B$3:$B$12006,$AB$3,'KIDS&amp;ADULTS'!$N$3:$N$12006,"Đã đóng học phí")</f>
        <v>0</v>
      </c>
      <c r="AC63" s="398">
        <f>SUMIFS('KIDS&amp;ADULTS'!$Z$3:$Z$12006,'KIDS&amp;ADULTS'!$V$3:$V$12006,U63,'KIDS&amp;ADULTS'!$B$3:$B$12006,$AC$3,'KIDS&amp;ADULTS'!$N$3:$N$12006,"Đã đóng học phí")</f>
        <v>0</v>
      </c>
      <c r="AD63" s="398">
        <f t="shared" si="9"/>
        <v>0</v>
      </c>
      <c r="AE63" s="373"/>
    </row>
    <row r="64" ht="15.75" customHeight="1">
      <c r="U64" s="372">
        <f t="shared" si="10"/>
        <v>45223</v>
      </c>
      <c r="V64" s="398">
        <f>SUMIFS('KIDS&amp;ADULTS'!$Z$3:$Z$12006,'KIDS&amp;ADULTS'!V$3:V$12006,U64,'KIDS&amp;ADULTS'!$B$3:$B$12006,$K$3,'KIDS&amp;ADULTS'!$N$3:$N$12006,"Đã đóng học phí")</f>
        <v>0</v>
      </c>
      <c r="W64" s="398">
        <f>SUMIFS('KIDS&amp;ADULTS'!$Z$3:$Z$12006,'KIDS&amp;ADULTS'!$V$3:$V$12006,U64,'KIDS&amp;ADULTS'!$B$3:$B$12006,$W$3,'KIDS&amp;ADULTS'!$N$3:$N$12006,"Đã đóng học phí")</f>
        <v>0</v>
      </c>
      <c r="X64" s="398">
        <f>SUMIFS('KIDS&amp;ADULTS'!$Z$3:$Z$12006,'KIDS&amp;ADULTS'!$V$3:$V$12006,U64,'KIDS&amp;ADULTS'!$B$3:$B$12006,$X$3,'KIDS&amp;ADULTS'!$N$3:$N$12006,"Đã đóng học phí")</f>
        <v>0</v>
      </c>
      <c r="Y64" s="398">
        <f>SUMIFS('KIDS&amp;ADULTS'!$Z$3:$Z$12006,'KIDS&amp;ADULTS'!$V$3:$V$12006,U64,'KIDS&amp;ADULTS'!$B$3:$B$12006,$Y$3,'KIDS&amp;ADULTS'!$N$3:$N$12006,"Đã đóng học phí")</f>
        <v>5328000</v>
      </c>
      <c r="Z64" s="398">
        <f>SUMIFS('KIDS&amp;ADULTS'!$Z$3:$Z$12006,'KIDS&amp;ADULTS'!$V$3:$V$12006,U64,'KIDS&amp;ADULTS'!$B$3:$B$12006,$Z$3,'KIDS&amp;ADULTS'!$N$3:$N$12006,"Đã đóng học phí")</f>
        <v>0</v>
      </c>
      <c r="AA64" s="398">
        <f>SUMIFS('KIDS&amp;ADULTS'!$Z$3:$Z$12006,'KIDS&amp;ADULTS'!$V$3:$V$12006,U64,'KIDS&amp;ADULTS'!$B$3:$B$12006,$AA$3,'KIDS&amp;ADULTS'!$N$3:$N$12006,"Đã đóng học phí")</f>
        <v>0</v>
      </c>
      <c r="AB64" s="398">
        <f>SUMIFS('KIDS&amp;ADULTS'!$Z$3:$Z$12006,'KIDS&amp;ADULTS'!$V$3:$V$12006,U64,'KIDS&amp;ADULTS'!$B$3:$B$12006,$AB$3,'KIDS&amp;ADULTS'!$N$3:$N$12006,"Đã đóng học phí")</f>
        <v>0</v>
      </c>
      <c r="AC64" s="398">
        <f>SUMIFS('KIDS&amp;ADULTS'!$Z$3:$Z$12006,'KIDS&amp;ADULTS'!$V$3:$V$12006,U64,'KIDS&amp;ADULTS'!$B$3:$B$12006,$AC$3,'KIDS&amp;ADULTS'!$N$3:$N$12006,"Đã đóng học phí")</f>
        <v>0</v>
      </c>
      <c r="AD64" s="398">
        <f t="shared" si="9"/>
        <v>5328000</v>
      </c>
      <c r="AE64" s="373"/>
    </row>
    <row r="65" ht="15.75" customHeight="1">
      <c r="U65" s="372">
        <f t="shared" si="10"/>
        <v>45224</v>
      </c>
      <c r="V65" s="398">
        <f>SUMIFS('KIDS&amp;ADULTS'!$Z$3:$Z$12006,'KIDS&amp;ADULTS'!V$3:V$12006,U65,'KIDS&amp;ADULTS'!$B$3:$B$12006,$K$3,'KIDS&amp;ADULTS'!$N$3:$N$12006,"Đã đóng học phí")</f>
        <v>0</v>
      </c>
      <c r="W65" s="398">
        <f>SUMIFS('KIDS&amp;ADULTS'!$Z$3:$Z$12006,'KIDS&amp;ADULTS'!$V$3:$V$12006,U65,'KIDS&amp;ADULTS'!$B$3:$B$12006,$W$3,'KIDS&amp;ADULTS'!$N$3:$N$12006,"Đã đóng học phí")</f>
        <v>0</v>
      </c>
      <c r="X65" s="398">
        <f>SUMIFS('KIDS&amp;ADULTS'!$Z$3:$Z$12006,'KIDS&amp;ADULTS'!$V$3:$V$12006,U65,'KIDS&amp;ADULTS'!$B$3:$B$12006,$X$3,'KIDS&amp;ADULTS'!$N$3:$N$12006,"Đã đóng học phí")</f>
        <v>0</v>
      </c>
      <c r="Y65" s="398">
        <f>SUMIFS('KIDS&amp;ADULTS'!$Z$3:$Z$12006,'KIDS&amp;ADULTS'!$V$3:$V$12006,U65,'KIDS&amp;ADULTS'!$B$3:$B$12006,$Y$3,'KIDS&amp;ADULTS'!$N$3:$N$12006,"Đã đóng học phí")</f>
        <v>0</v>
      </c>
      <c r="Z65" s="398">
        <f>SUMIFS('KIDS&amp;ADULTS'!$Z$3:$Z$12006,'KIDS&amp;ADULTS'!$V$3:$V$12006,U65,'KIDS&amp;ADULTS'!$B$3:$B$12006,$Z$3,'KIDS&amp;ADULTS'!$N$3:$N$12006,"Đã đóng học phí")</f>
        <v>0</v>
      </c>
      <c r="AA65" s="398">
        <f>SUMIFS('KIDS&amp;ADULTS'!$Z$3:$Z$12006,'KIDS&amp;ADULTS'!$V$3:$V$12006,U65,'KIDS&amp;ADULTS'!$B$3:$B$12006,$AA$3,'KIDS&amp;ADULTS'!$N$3:$N$12006,"Đã đóng học phí")</f>
        <v>0</v>
      </c>
      <c r="AB65" s="398">
        <f>SUMIFS('KIDS&amp;ADULTS'!$Z$3:$Z$12006,'KIDS&amp;ADULTS'!$V$3:$V$12006,U65,'KIDS&amp;ADULTS'!$B$3:$B$12006,$AB$3,'KIDS&amp;ADULTS'!$N$3:$N$12006,"Đã đóng học phí")</f>
        <v>0</v>
      </c>
      <c r="AC65" s="398">
        <f>SUMIFS('KIDS&amp;ADULTS'!$Z$3:$Z$12006,'KIDS&amp;ADULTS'!$V$3:$V$12006,U65,'KIDS&amp;ADULTS'!$B$3:$B$12006,$AC$3,'KIDS&amp;ADULTS'!$N$3:$N$12006,"Đã đóng học phí")</f>
        <v>0</v>
      </c>
      <c r="AD65" s="398">
        <f t="shared" si="9"/>
        <v>0</v>
      </c>
      <c r="AE65" s="373"/>
    </row>
    <row r="66" ht="15.75" customHeight="1">
      <c r="U66" s="372">
        <f t="shared" si="10"/>
        <v>45225</v>
      </c>
      <c r="V66" s="398">
        <f>SUMIFS('KIDS&amp;ADULTS'!$Z$3:$Z$12006,'KIDS&amp;ADULTS'!V$3:V$12006,U66,'KIDS&amp;ADULTS'!$B$3:$B$12006,$K$3,'KIDS&amp;ADULTS'!$N$3:$N$12006,"Đã đóng học phí")</f>
        <v>0</v>
      </c>
      <c r="W66" s="398">
        <f>SUMIFS('KIDS&amp;ADULTS'!$Z$3:$Z$12006,'KIDS&amp;ADULTS'!$V$3:$V$12006,U66,'KIDS&amp;ADULTS'!$B$3:$B$12006,$W$3,'KIDS&amp;ADULTS'!$N$3:$N$12006,"Đã đóng học phí")</f>
        <v>0</v>
      </c>
      <c r="X66" s="398">
        <f>SUMIFS('KIDS&amp;ADULTS'!$Z$3:$Z$12006,'KIDS&amp;ADULTS'!$V$3:$V$12006,U66,'KIDS&amp;ADULTS'!$B$3:$B$12006,$X$3,'KIDS&amp;ADULTS'!$N$3:$N$12006,"Đã đóng học phí")</f>
        <v>0</v>
      </c>
      <c r="Y66" s="398">
        <f>SUMIFS('KIDS&amp;ADULTS'!$Z$3:$Z$12006,'KIDS&amp;ADULTS'!$V$3:$V$12006,U66,'KIDS&amp;ADULTS'!$B$3:$B$12006,$Y$3,'KIDS&amp;ADULTS'!$N$3:$N$12006,"Đã đóng học phí")</f>
        <v>0</v>
      </c>
      <c r="Z66" s="398">
        <f>SUMIFS('KIDS&amp;ADULTS'!$Z$3:$Z$12006,'KIDS&amp;ADULTS'!$V$3:$V$12006,U66,'KIDS&amp;ADULTS'!$B$3:$B$12006,$Z$3,'KIDS&amp;ADULTS'!$N$3:$N$12006,"Đã đóng học phí")</f>
        <v>0</v>
      </c>
      <c r="AA66" s="398">
        <f>SUMIFS('KIDS&amp;ADULTS'!$Z$3:$Z$12006,'KIDS&amp;ADULTS'!$V$3:$V$12006,U66,'KIDS&amp;ADULTS'!$B$3:$B$12006,$AA$3,'KIDS&amp;ADULTS'!$N$3:$N$12006,"Đã đóng học phí")</f>
        <v>0</v>
      </c>
      <c r="AB66" s="398">
        <f>SUMIFS('KIDS&amp;ADULTS'!$Z$3:$Z$12006,'KIDS&amp;ADULTS'!$V$3:$V$12006,U66,'KIDS&amp;ADULTS'!$B$3:$B$12006,$AB$3,'KIDS&amp;ADULTS'!$N$3:$N$12006,"Đã đóng học phí")</f>
        <v>0</v>
      </c>
      <c r="AC66" s="398">
        <f>SUMIFS('KIDS&amp;ADULTS'!$Z$3:$Z$12006,'KIDS&amp;ADULTS'!$V$3:$V$12006,U66,'KIDS&amp;ADULTS'!$B$3:$B$12006,$AC$3,'KIDS&amp;ADULTS'!$N$3:$N$12006,"Đã đóng học phí")</f>
        <v>0</v>
      </c>
      <c r="AD66" s="398">
        <f t="shared" si="9"/>
        <v>0</v>
      </c>
      <c r="AE66" s="373"/>
    </row>
    <row r="67" ht="15.75" customHeight="1">
      <c r="U67" s="372">
        <f t="shared" si="10"/>
        <v>45226</v>
      </c>
      <c r="V67" s="398">
        <f>SUMIFS('KIDS&amp;ADULTS'!$Z$3:$Z$12006,'KIDS&amp;ADULTS'!V$3:V$12006,U67,'KIDS&amp;ADULTS'!$B$3:$B$12006,$K$3,'KIDS&amp;ADULTS'!$N$3:$N$12006,"Đã đóng học phí")</f>
        <v>0</v>
      </c>
      <c r="W67" s="398">
        <f>SUMIFS('KIDS&amp;ADULTS'!$Z$3:$Z$12006,'KIDS&amp;ADULTS'!$V$3:$V$12006,U67,'KIDS&amp;ADULTS'!$B$3:$B$12006,$W$3,'KIDS&amp;ADULTS'!$N$3:$N$12006,"Đã đóng học phí")</f>
        <v>0</v>
      </c>
      <c r="X67" s="398">
        <f>SUMIFS('KIDS&amp;ADULTS'!$Z$3:$Z$12006,'KIDS&amp;ADULTS'!$V$3:$V$12006,U67,'KIDS&amp;ADULTS'!$B$3:$B$12006,$X$3,'KIDS&amp;ADULTS'!$N$3:$N$12006,"Đã đóng học phí")</f>
        <v>0</v>
      </c>
      <c r="Y67" s="398">
        <f>SUMIFS('KIDS&amp;ADULTS'!$Z$3:$Z$12006,'KIDS&amp;ADULTS'!$V$3:$V$12006,U67,'KIDS&amp;ADULTS'!$B$3:$B$12006,$Y$3,'KIDS&amp;ADULTS'!$N$3:$N$12006,"Đã đóng học phí")</f>
        <v>0</v>
      </c>
      <c r="Z67" s="398">
        <f>SUMIFS('KIDS&amp;ADULTS'!$Z$3:$Z$12006,'KIDS&amp;ADULTS'!$V$3:$V$12006,U67,'KIDS&amp;ADULTS'!$B$3:$B$12006,$Z$3,'KIDS&amp;ADULTS'!$N$3:$N$12006,"Đã đóng học phí")</f>
        <v>4785000</v>
      </c>
      <c r="AA67" s="398">
        <f>SUMIFS('KIDS&amp;ADULTS'!$Z$3:$Z$12006,'KIDS&amp;ADULTS'!$V$3:$V$12006,U67,'KIDS&amp;ADULTS'!$B$3:$B$12006,$AA$3,'KIDS&amp;ADULTS'!$N$3:$N$12006,"Đã đóng học phí")</f>
        <v>0</v>
      </c>
      <c r="AB67" s="398">
        <f>SUMIFS('KIDS&amp;ADULTS'!$Z$3:$Z$12006,'KIDS&amp;ADULTS'!$V$3:$V$12006,U67,'KIDS&amp;ADULTS'!$B$3:$B$12006,$AB$3,'KIDS&amp;ADULTS'!$N$3:$N$12006,"Đã đóng học phí")</f>
        <v>0</v>
      </c>
      <c r="AC67" s="398">
        <f>SUMIFS('KIDS&amp;ADULTS'!$Z$3:$Z$12006,'KIDS&amp;ADULTS'!$V$3:$V$12006,U67,'KIDS&amp;ADULTS'!$B$3:$B$12006,$AC$3,'KIDS&amp;ADULTS'!$N$3:$N$12006,"Đã đóng học phí")</f>
        <v>0</v>
      </c>
      <c r="AD67" s="398">
        <f t="shared" si="9"/>
        <v>4785000</v>
      </c>
      <c r="AE67" s="373"/>
    </row>
    <row r="68" ht="15.75" customHeight="1">
      <c r="U68" s="372">
        <f t="shared" si="10"/>
        <v>45227</v>
      </c>
      <c r="V68" s="398">
        <f>SUMIFS('KIDS&amp;ADULTS'!$Z$3:$Z$12006,'KIDS&amp;ADULTS'!V$3:V$12006,U68,'KIDS&amp;ADULTS'!$B$3:$B$12006,$K$3,'KIDS&amp;ADULTS'!$N$3:$N$12006,"Đã đóng học phí")</f>
        <v>0</v>
      </c>
      <c r="W68" s="398">
        <f>SUMIFS('KIDS&amp;ADULTS'!$Z$3:$Z$12006,'KIDS&amp;ADULTS'!$V$3:$V$12006,U68,'KIDS&amp;ADULTS'!$B$3:$B$12006,$W$3,'KIDS&amp;ADULTS'!$N$3:$N$12006,"Đã đóng học phí")</f>
        <v>0</v>
      </c>
      <c r="X68" s="398">
        <f>SUMIFS('KIDS&amp;ADULTS'!$Z$3:$Z$12006,'KIDS&amp;ADULTS'!$V$3:$V$12006,U68,'KIDS&amp;ADULTS'!$B$3:$B$12006,$X$3,'KIDS&amp;ADULTS'!$N$3:$N$12006,"Đã đóng học phí")</f>
        <v>0</v>
      </c>
      <c r="Y68" s="398">
        <f>SUMIFS('KIDS&amp;ADULTS'!$Z$3:$Z$12006,'KIDS&amp;ADULTS'!$V$3:$V$12006,U68,'KIDS&amp;ADULTS'!$B$3:$B$12006,$Y$3,'KIDS&amp;ADULTS'!$N$3:$N$12006,"Đã đóng học phí")</f>
        <v>0</v>
      </c>
      <c r="Z68" s="398">
        <f>SUMIFS('KIDS&amp;ADULTS'!$Z$3:$Z$12006,'KIDS&amp;ADULTS'!$V$3:$V$12006,U68,'KIDS&amp;ADULTS'!$B$3:$B$12006,$Z$3,'KIDS&amp;ADULTS'!$N$3:$N$12006,"Đã đóng học phí")</f>
        <v>0</v>
      </c>
      <c r="AA68" s="398">
        <f>SUMIFS('KIDS&amp;ADULTS'!$Z$3:$Z$12006,'KIDS&amp;ADULTS'!$V$3:$V$12006,U68,'KIDS&amp;ADULTS'!$B$3:$B$12006,$AA$3,'KIDS&amp;ADULTS'!$N$3:$N$12006,"Đã đóng học phí")</f>
        <v>0</v>
      </c>
      <c r="AB68" s="398">
        <f>SUMIFS('KIDS&amp;ADULTS'!$Z$3:$Z$12006,'KIDS&amp;ADULTS'!$V$3:$V$12006,U68,'KIDS&amp;ADULTS'!$B$3:$B$12006,$AB$3,'KIDS&amp;ADULTS'!$N$3:$N$12006,"Đã đóng học phí")</f>
        <v>0</v>
      </c>
      <c r="AC68" s="398">
        <f>SUMIFS('KIDS&amp;ADULTS'!$Z$3:$Z$12006,'KIDS&amp;ADULTS'!$V$3:$V$12006,U68,'KIDS&amp;ADULTS'!$B$3:$B$12006,$AC$3,'KIDS&amp;ADULTS'!$N$3:$N$12006,"Đã đóng học phí")</f>
        <v>0</v>
      </c>
      <c r="AD68" s="398">
        <f t="shared" si="9"/>
        <v>0</v>
      </c>
      <c r="AE68" s="373"/>
    </row>
    <row r="69" ht="15.75" customHeight="1">
      <c r="U69" s="372">
        <f t="shared" si="10"/>
        <v>45228</v>
      </c>
      <c r="V69" s="398">
        <f>SUMIFS('KIDS&amp;ADULTS'!$Z$3:$Z$12006,'KIDS&amp;ADULTS'!V$3:V$12006,U69,'KIDS&amp;ADULTS'!$B$3:$B$12006,$K$3,'KIDS&amp;ADULTS'!$N$3:$N$12006,"Đã đóng học phí")</f>
        <v>0</v>
      </c>
      <c r="W69" s="398">
        <f>SUMIFS('KIDS&amp;ADULTS'!$Z$3:$Z$12006,'KIDS&amp;ADULTS'!$V$3:$V$12006,U69,'KIDS&amp;ADULTS'!$B$3:$B$12006,$W$3,'KIDS&amp;ADULTS'!$N$3:$N$12006,"Đã đóng học phí")</f>
        <v>0</v>
      </c>
      <c r="X69" s="398">
        <f>SUMIFS('KIDS&amp;ADULTS'!$Z$3:$Z$12006,'KIDS&amp;ADULTS'!$V$3:$V$12006,U69,'KIDS&amp;ADULTS'!$B$3:$B$12006,$X$3,'KIDS&amp;ADULTS'!$N$3:$N$12006,"Đã đóng học phí")</f>
        <v>0</v>
      </c>
      <c r="Y69" s="398">
        <f>SUMIFS('KIDS&amp;ADULTS'!$Z$3:$Z$12006,'KIDS&amp;ADULTS'!$V$3:$V$12006,U69,'KIDS&amp;ADULTS'!$B$3:$B$12006,$Y$3,'KIDS&amp;ADULTS'!$N$3:$N$12006,"Đã đóng học phí")</f>
        <v>0</v>
      </c>
      <c r="Z69" s="398">
        <f>SUMIFS('KIDS&amp;ADULTS'!$Z$3:$Z$12006,'KIDS&amp;ADULTS'!$V$3:$V$12006,U69,'KIDS&amp;ADULTS'!$B$3:$B$12006,$Z$3,'KIDS&amp;ADULTS'!$N$3:$N$12006,"Đã đóng học phí")</f>
        <v>0</v>
      </c>
      <c r="AA69" s="398">
        <f>SUMIFS('KIDS&amp;ADULTS'!$Z$3:$Z$12006,'KIDS&amp;ADULTS'!$V$3:$V$12006,U69,'KIDS&amp;ADULTS'!$B$3:$B$12006,$AA$3,'KIDS&amp;ADULTS'!$N$3:$N$12006,"Đã đóng học phí")</f>
        <v>0</v>
      </c>
      <c r="AB69" s="398">
        <f>SUMIFS('KIDS&amp;ADULTS'!$Z$3:$Z$12006,'KIDS&amp;ADULTS'!$V$3:$V$12006,U69,'KIDS&amp;ADULTS'!$B$3:$B$12006,$AB$3,'KIDS&amp;ADULTS'!$N$3:$N$12006,"Đã đóng học phí")</f>
        <v>0</v>
      </c>
      <c r="AC69" s="398">
        <f>SUMIFS('KIDS&amp;ADULTS'!$Z$3:$Z$12006,'KIDS&amp;ADULTS'!$V$3:$V$12006,U69,'KIDS&amp;ADULTS'!$B$3:$B$12006,$AC$3,'KIDS&amp;ADULTS'!$N$3:$N$12006,"Đã đóng học phí")</f>
        <v>0</v>
      </c>
      <c r="AD69" s="398">
        <f t="shared" si="9"/>
        <v>0</v>
      </c>
      <c r="AE69" s="373"/>
    </row>
    <row r="70" ht="15.75" customHeight="1">
      <c r="U70" s="372">
        <f t="shared" si="10"/>
        <v>45229</v>
      </c>
      <c r="V70" s="398">
        <f>SUMIFS('KIDS&amp;ADULTS'!$Z$3:$Z$12006,'KIDS&amp;ADULTS'!V$3:V$12006,U70,'KIDS&amp;ADULTS'!$B$3:$B$12006,$K$3,'KIDS&amp;ADULTS'!$N$3:$N$12006,"Đã đóng học phí")</f>
        <v>0</v>
      </c>
      <c r="W70" s="398">
        <f>SUMIFS('KIDS&amp;ADULTS'!$Z$3:$Z$12006,'KIDS&amp;ADULTS'!$V$3:$V$12006,U70,'KIDS&amp;ADULTS'!$B$3:$B$12006,$W$3,'KIDS&amp;ADULTS'!$N$3:$N$12006,"Đã đóng học phí")</f>
        <v>0</v>
      </c>
      <c r="X70" s="398">
        <f>SUMIFS('KIDS&amp;ADULTS'!$Z$3:$Z$12006,'KIDS&amp;ADULTS'!$V$3:$V$12006,U70,'KIDS&amp;ADULTS'!$B$3:$B$12006,$X$3,'KIDS&amp;ADULTS'!$N$3:$N$12006,"Đã đóng học phí")</f>
        <v>0</v>
      </c>
      <c r="Y70" s="398">
        <f>SUMIFS('KIDS&amp;ADULTS'!$Z$3:$Z$12006,'KIDS&amp;ADULTS'!$V$3:$V$12006,U70,'KIDS&amp;ADULTS'!$B$3:$B$12006,$Y$3,'KIDS&amp;ADULTS'!$N$3:$N$12006,"Đã đóng học phí")</f>
        <v>0</v>
      </c>
      <c r="Z70" s="398">
        <f>SUMIFS('KIDS&amp;ADULTS'!$Z$3:$Z$12006,'KIDS&amp;ADULTS'!$V$3:$V$12006,U70,'KIDS&amp;ADULTS'!$B$3:$B$12006,$Z$3,'KIDS&amp;ADULTS'!$N$3:$N$12006,"Đã đóng học phí")</f>
        <v>0</v>
      </c>
      <c r="AA70" s="398">
        <f>SUMIFS('KIDS&amp;ADULTS'!$Z$3:$Z$12006,'KIDS&amp;ADULTS'!$V$3:$V$12006,U70,'KIDS&amp;ADULTS'!$B$3:$B$12006,$AA$3,'KIDS&amp;ADULTS'!$N$3:$N$12006,"Đã đóng học phí")</f>
        <v>0</v>
      </c>
      <c r="AB70" s="398">
        <f>SUMIFS('KIDS&amp;ADULTS'!$Z$3:$Z$12006,'KIDS&amp;ADULTS'!$V$3:$V$12006,U70,'KIDS&amp;ADULTS'!$B$3:$B$12006,$AB$3,'KIDS&amp;ADULTS'!$N$3:$N$12006,"Đã đóng học phí")</f>
        <v>0</v>
      </c>
      <c r="AC70" s="398">
        <f>SUMIFS('KIDS&amp;ADULTS'!$Z$3:$Z$12006,'KIDS&amp;ADULTS'!$V$3:$V$12006,U70,'KIDS&amp;ADULTS'!$B$3:$B$12006,$AC$3,'KIDS&amp;ADULTS'!$N$3:$N$12006,"Đã đóng học phí")</f>
        <v>0</v>
      </c>
      <c r="AD70" s="398">
        <f t="shared" si="9"/>
        <v>0</v>
      </c>
      <c r="AE70" s="373"/>
    </row>
    <row r="71" ht="15.75" customHeight="1">
      <c r="U71" s="372">
        <f t="shared" si="10"/>
        <v>45230</v>
      </c>
      <c r="V71" s="398">
        <f>SUMIFS('KIDS&amp;ADULTS'!$Z$3:$Z$12006,'KIDS&amp;ADULTS'!V$3:V$12006,U71,'KIDS&amp;ADULTS'!$B$3:$B$12006,$K$3,'KIDS&amp;ADULTS'!$N$3:$N$12006,"Đã đóng học phí")</f>
        <v>0</v>
      </c>
      <c r="W71" s="398">
        <f>SUMIFS('KIDS&amp;ADULTS'!$Z$3:$Z$12006,'KIDS&amp;ADULTS'!$V$3:$V$12006,U71,'KIDS&amp;ADULTS'!$B$3:$B$12006,$W$3,'KIDS&amp;ADULTS'!$N$3:$N$12006,"Đã đóng học phí")</f>
        <v>0</v>
      </c>
      <c r="X71" s="398">
        <f>SUMIFS('KIDS&amp;ADULTS'!$Z$3:$Z$12006,'KIDS&amp;ADULTS'!$V$3:$V$12006,U71,'KIDS&amp;ADULTS'!$B$3:$B$12006,$X$3,'KIDS&amp;ADULTS'!$N$3:$N$12006,"Đã đóng học phí")</f>
        <v>0</v>
      </c>
      <c r="Y71" s="398">
        <f>SUMIFS('KIDS&amp;ADULTS'!$Z$3:$Z$12006,'KIDS&amp;ADULTS'!$V$3:$V$12006,U71,'KIDS&amp;ADULTS'!$B$3:$B$12006,$Y$3,'KIDS&amp;ADULTS'!$N$3:$N$12006,"Đã đóng học phí")</f>
        <v>0</v>
      </c>
      <c r="Z71" s="398">
        <f>SUMIFS('KIDS&amp;ADULTS'!$Z$3:$Z$12006,'KIDS&amp;ADULTS'!$V$3:$V$12006,U71,'KIDS&amp;ADULTS'!$B$3:$B$12006,$Z$3,'KIDS&amp;ADULTS'!$N$3:$N$12006,"Đã đóng học phí")</f>
        <v>0</v>
      </c>
      <c r="AA71" s="398">
        <f>SUMIFS('KIDS&amp;ADULTS'!$Z$3:$Z$12006,'KIDS&amp;ADULTS'!$V$3:$V$12006,U71,'KIDS&amp;ADULTS'!$B$3:$B$12006,$AA$3,'KIDS&amp;ADULTS'!$N$3:$N$12006,"Đã đóng học phí")</f>
        <v>0</v>
      </c>
      <c r="AB71" s="398">
        <f>SUMIFS('KIDS&amp;ADULTS'!$Z$3:$Z$12006,'KIDS&amp;ADULTS'!$V$3:$V$12006,U71,'KIDS&amp;ADULTS'!$B$3:$B$12006,$AB$3,'KIDS&amp;ADULTS'!$N$3:$N$12006,"Đã đóng học phí")</f>
        <v>0</v>
      </c>
      <c r="AC71" s="398">
        <f>SUMIFS('KIDS&amp;ADULTS'!$Z$3:$Z$12006,'KIDS&amp;ADULTS'!$V$3:$V$12006,U71,'KIDS&amp;ADULTS'!$B$3:$B$12006,$AC$3,'KIDS&amp;ADULTS'!$N$3:$N$12006,"Đã đóng học phí")</f>
        <v>0</v>
      </c>
      <c r="AD71" s="398">
        <f t="shared" si="9"/>
        <v>0</v>
      </c>
    </row>
    <row r="72" ht="15.75" customHeight="1">
      <c r="U72" s="388" t="s">
        <v>4622</v>
      </c>
      <c r="V72" s="399">
        <f t="shared" ref="V72:AC72" si="11">SUM(V41:V71)</f>
        <v>0</v>
      </c>
      <c r="W72" s="399">
        <f t="shared" si="11"/>
        <v>0</v>
      </c>
      <c r="X72" s="399">
        <f t="shared" si="11"/>
        <v>0</v>
      </c>
      <c r="Y72" s="399">
        <f t="shared" si="11"/>
        <v>16265000</v>
      </c>
      <c r="Z72" s="399">
        <f t="shared" si="11"/>
        <v>34386500</v>
      </c>
      <c r="AA72" s="399">
        <f t="shared" si="11"/>
        <v>0</v>
      </c>
      <c r="AB72" s="399">
        <f t="shared" si="11"/>
        <v>0</v>
      </c>
      <c r="AC72" s="399">
        <f t="shared" si="11"/>
        <v>0</v>
      </c>
      <c r="AD72" s="400">
        <f t="shared" si="9"/>
        <v>50651500</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J1:Q1"/>
    <mergeCell ref="K2:Q2"/>
    <mergeCell ref="A1:G1"/>
    <mergeCell ref="H1:I3"/>
    <mergeCell ref="A2:A3"/>
    <mergeCell ref="B2:F2"/>
    <mergeCell ref="G2:G3"/>
    <mergeCell ref="J2:J3"/>
    <mergeCell ref="U2:U3"/>
    <mergeCell ref="V2:AC2"/>
    <mergeCell ref="U38:AC38"/>
    <mergeCell ref="U39:U40"/>
    <mergeCell ref="V39:AC39"/>
    <mergeCell ref="U1:AC1"/>
    <mergeCell ref="AF2:AN2"/>
    <mergeCell ref="AF3:AF4"/>
    <mergeCell ref="AG3:AN3"/>
    <mergeCell ref="AF7:AN7"/>
    <mergeCell ref="AF8:AF9"/>
    <mergeCell ref="AG8:AN8"/>
  </mergeCells>
  <conditionalFormatting sqref="K4:R34">
    <cfRule type="cellIs" dxfId="1" priority="1" operator="greaterThan">
      <formula>0</formula>
    </cfRule>
  </conditionalFormatting>
  <conditionalFormatting sqref="V4:AC34">
    <cfRule type="cellIs" dxfId="7" priority="2" operator="greaterThan">
      <formula>0</formula>
    </cfRule>
  </conditionalFormatting>
  <conditionalFormatting sqref="V41:AC71">
    <cfRule type="cellIs" dxfId="7" priority="3" operator="greaterThan">
      <formula>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5.38"/>
    <col customWidth="1" min="3" max="6" width="19.0"/>
    <col customWidth="1" min="7" max="7" width="18.25"/>
    <col customWidth="1" min="8" max="8" width="16.88"/>
    <col customWidth="1" min="19" max="20" width="7.0"/>
  </cols>
  <sheetData>
    <row r="1" ht="15.75" customHeight="1">
      <c r="A1" s="357" t="s">
        <v>289</v>
      </c>
      <c r="J1" s="358" t="s">
        <v>4611</v>
      </c>
      <c r="R1" s="358"/>
      <c r="U1" s="358" t="s">
        <v>4612</v>
      </c>
    </row>
    <row r="2" ht="15.75" customHeight="1">
      <c r="A2" s="359" t="s">
        <v>4613</v>
      </c>
      <c r="B2" s="360" t="s">
        <v>4614</v>
      </c>
      <c r="C2" s="235"/>
      <c r="D2" s="235"/>
      <c r="E2" s="235"/>
      <c r="F2" s="236"/>
      <c r="G2" s="359" t="s">
        <v>4615</v>
      </c>
      <c r="J2" s="361" t="s">
        <v>4613</v>
      </c>
      <c r="K2" s="363" t="s">
        <v>4616</v>
      </c>
      <c r="L2" s="235"/>
      <c r="M2" s="235"/>
      <c r="N2" s="235"/>
      <c r="O2" s="235"/>
      <c r="P2" s="235"/>
      <c r="Q2" s="236"/>
      <c r="R2" s="364"/>
      <c r="U2" s="361" t="s">
        <v>4613</v>
      </c>
      <c r="V2" s="363" t="s">
        <v>4616</v>
      </c>
      <c r="W2" s="235"/>
      <c r="X2" s="235"/>
      <c r="Y2" s="235"/>
      <c r="Z2" s="235"/>
      <c r="AA2" s="235"/>
      <c r="AB2" s="235"/>
      <c r="AC2" s="236"/>
      <c r="AF2" s="358" t="s">
        <v>4617</v>
      </c>
    </row>
    <row r="3" ht="15.75" customHeight="1">
      <c r="A3" s="11"/>
      <c r="B3" s="365" t="s">
        <v>412</v>
      </c>
      <c r="C3" s="365" t="s">
        <v>66</v>
      </c>
      <c r="D3" s="365" t="s">
        <v>48</v>
      </c>
      <c r="E3" s="365" t="s">
        <v>111</v>
      </c>
      <c r="F3" s="365" t="s">
        <v>4618</v>
      </c>
      <c r="G3" s="11"/>
      <c r="J3" s="11"/>
      <c r="K3" s="366" t="s">
        <v>4620</v>
      </c>
      <c r="L3" s="367" t="s">
        <v>4621</v>
      </c>
      <c r="M3" s="368" t="s">
        <v>73</v>
      </c>
      <c r="N3" s="369" t="s">
        <v>201</v>
      </c>
      <c r="O3" s="370" t="s">
        <v>84</v>
      </c>
      <c r="P3" s="371" t="s">
        <v>60</v>
      </c>
      <c r="Q3" s="371" t="s">
        <v>703</v>
      </c>
      <c r="R3" s="371" t="s">
        <v>539</v>
      </c>
      <c r="U3" s="11"/>
      <c r="V3" s="366" t="s">
        <v>4620</v>
      </c>
      <c r="W3" s="367" t="s">
        <v>4621</v>
      </c>
      <c r="X3" s="368" t="s">
        <v>73</v>
      </c>
      <c r="Y3" s="369" t="s">
        <v>201</v>
      </c>
      <c r="Z3" s="370" t="s">
        <v>84</v>
      </c>
      <c r="AA3" s="371" t="s">
        <v>60</v>
      </c>
      <c r="AB3" s="371" t="s">
        <v>539</v>
      </c>
      <c r="AC3" s="371" t="s">
        <v>703</v>
      </c>
      <c r="AF3" s="361" t="s">
        <v>4613</v>
      </c>
      <c r="AG3" s="363" t="s">
        <v>4616</v>
      </c>
      <c r="AH3" s="235"/>
      <c r="AI3" s="235"/>
      <c r="AJ3" s="235"/>
      <c r="AK3" s="235"/>
      <c r="AL3" s="235"/>
      <c r="AM3" s="235"/>
      <c r="AN3" s="236"/>
    </row>
    <row r="4" ht="15.75" customHeight="1">
      <c r="A4" s="372">
        <v>45170.0</v>
      </c>
      <c r="B4" s="373">
        <f>sumifs('KIDS&amp;ADULTS'!$Z$3:$Z$1015,'KIDS&amp;ADULTS'!$V$3:$V$1015,A4,'KIDS&amp;ADULTS'!$M$3:$M$1015,$B$3)</f>
        <v>0</v>
      </c>
      <c r="C4" s="373">
        <f>sumifs('KIDS&amp;ADULTS'!$Z$3:$Z$1015,'KIDS&amp;ADULTS'!$V$3:$V$1015,A4,'KIDS&amp;ADULTS'!$M$3:$M$1015,"phương")</f>
        <v>0</v>
      </c>
      <c r="D4" s="373">
        <f>sumifs('KIDS&amp;ADULTS'!$Z$3:$Z$1015,'KIDS&amp;ADULTS'!$V$3:$V$1015,A4,'KIDS&amp;ADULTS'!$M$3:$M$1015,$D$3)</f>
        <v>0</v>
      </c>
      <c r="E4" s="373">
        <f>sumifs('KIDS&amp;ADULTS'!$Z$3:$Z$1015,'KIDS&amp;ADULTS'!$V$3:$V$1015,A4,'KIDS&amp;ADULTS'!$M$3:$M$1015,"Ánh")</f>
        <v>0</v>
      </c>
      <c r="F4" s="373">
        <f>sumifs('KIDS&amp;ADULTS'!$Z$3:$Z$1015,'KIDS&amp;ADULTS'!$V$3:$V$1015,A4,'KIDS&amp;ADULTS'!$M$3:$M$1015,"Loan")</f>
        <v>0</v>
      </c>
      <c r="G4" s="373">
        <f t="shared" ref="G4:G33" si="1">sum(B4:F4)</f>
        <v>0</v>
      </c>
      <c r="J4" s="372">
        <v>45170.0</v>
      </c>
      <c r="K4" s="374">
        <f>COUNTIFS('KIDS&amp;ADULTS'!$A$3:$A$12008,J4,'KIDS&amp;ADULTS'!$B$3:$B$12008,$K$3)</f>
        <v>0</v>
      </c>
      <c r="L4" s="374">
        <f>COUNTIFS('KIDS&amp;ADULTS'!$A$3:$A$12008,J4,'KIDS&amp;ADULTS'!$B$3:$B$12008,$L$3)</f>
        <v>0</v>
      </c>
      <c r="M4" s="374">
        <f>COUNTIFS('KIDS&amp;ADULTS'!$A$3:$A$12008,J4,'KIDS&amp;ADULTS'!$B$3:$B$12008,$M$3)</f>
        <v>0</v>
      </c>
      <c r="N4" s="375">
        <f>COUNTIFS('KIDS&amp;ADULTS'!$A$3:$A$12008,J4,'KIDS&amp;ADULTS'!$B$3:$B$12008,$N$3)</f>
        <v>0</v>
      </c>
      <c r="O4" s="375">
        <f>COUNTIFS('KIDS&amp;ADULTS'!$A$3:$A$12008,J4,'KIDS&amp;ADULTS'!$B$3:$B$12008,$O$3)</f>
        <v>0</v>
      </c>
      <c r="P4" s="375">
        <f>COUNTIFS('KIDS&amp;ADULTS'!$A$3:$A$12008,J4,'KIDS&amp;ADULTS'!$B$3:$B$12008,$P$3)</f>
        <v>0</v>
      </c>
      <c r="Q4" s="375">
        <f>COUNTIFS('KIDS&amp;ADULTS'!$A$3:$A$1008,J4,'KIDS&amp;ADULTS'!$B$3:$B$1008,$Q$3)</f>
        <v>0</v>
      </c>
      <c r="R4" s="374">
        <f>COUNTIFS('KIDS&amp;ADULTS'!$A$3:$A$12008,J4,'KIDS&amp;ADULTS'!$B$3:$B$12008,$R$3)</f>
        <v>0</v>
      </c>
      <c r="U4" s="372">
        <v>45170.0</v>
      </c>
      <c r="V4" s="376">
        <f>COUNTIFS('KIDS&amp;ADULTS'!$V$3:$V$12006,U4,'KIDS&amp;ADULTS'!$B$3:$B$12006,$K$3,'KIDS&amp;ADULTS'!$N$3:$N$12006,"Đã đóng học phí")</f>
        <v>0</v>
      </c>
      <c r="W4" s="376">
        <f>COUNTIFS('KIDS&amp;ADULTS'!$V$3:$V$12006,U4,'KIDS&amp;ADULTS'!$B$3:$B12006,$W$3,'KIDS&amp;ADULTS'!$N$3:$N$12006,"Đã đóng học phí")</f>
        <v>0</v>
      </c>
      <c r="X4" s="376">
        <f>COUNTIFS('KIDS&amp;ADULTS'!$V$3:$V$12006,U4,'KIDS&amp;ADULTS'!$B$3:$B$12006,$X$3,'KIDS&amp;ADULTS'!$N$3:$N$12006,"Đã đóng học phí")</f>
        <v>0</v>
      </c>
      <c r="Y4" s="376">
        <f>COUNTIFS('KIDS&amp;ADULTS'!$V$3:$V$12006,U4,'KIDS&amp;ADULTS'!$B$3:$B$12006,$Y$3,'KIDS&amp;ADULTS'!$N$3:$N$12006,"Đã đóng học phí")</f>
        <v>0</v>
      </c>
      <c r="Z4" s="376">
        <f>COUNTIFS('KIDS&amp;ADULTS'!$V$3:$V$12006,U4,'KIDS&amp;ADULTS'!$B$3:$B$12006,$Z$3,'KIDS&amp;ADULTS'!$N$3:$N$12006,"Đã đóng học phí")</f>
        <v>0</v>
      </c>
      <c r="AA4" s="376">
        <f>COUNTIFS('KIDS&amp;ADULTS'!$V$3:$V$12006,U4,'KIDS&amp;ADULTS'!$B$3:$B$12006,$AA$3,'KIDS&amp;ADULTS'!$N$3:$N$12006,"Đã đóng học phí")</f>
        <v>0</v>
      </c>
      <c r="AB4" s="376">
        <f>COUNTIFS('KIDS&amp;ADULTS'!$V$3:$V$12006,U4,'KIDS&amp;ADULTS'!$B$3:$B$12006,$AB$3,'KIDS&amp;ADULTS'!$N$3:$N$12006,"Đã đóng học phí")</f>
        <v>0</v>
      </c>
      <c r="AC4" s="376">
        <f>COUNTIFS('KIDS&amp;ADULTS'!$V$3:$V$12006,U4,'KIDS&amp;ADULTS'!$B$3:$B$12006,$AC$3,'KIDS&amp;ADULTS'!$N$3:$N$12006,"Đã đóng học phí")</f>
        <v>0</v>
      </c>
      <c r="AF4" s="11"/>
      <c r="AG4" s="366" t="s">
        <v>4620</v>
      </c>
      <c r="AH4" s="367" t="s">
        <v>4621</v>
      </c>
      <c r="AI4" s="377" t="s">
        <v>73</v>
      </c>
      <c r="AJ4" s="378" t="s">
        <v>201</v>
      </c>
      <c r="AK4" s="379" t="s">
        <v>84</v>
      </c>
      <c r="AL4" s="380" t="s">
        <v>60</v>
      </c>
      <c r="AM4" s="371" t="s">
        <v>539</v>
      </c>
      <c r="AN4" s="380" t="s">
        <v>703</v>
      </c>
    </row>
    <row r="5" ht="15.75" customHeight="1">
      <c r="A5" s="372">
        <v>45171.0</v>
      </c>
      <c r="B5" s="373">
        <f>sumifs('KIDS&amp;ADULTS'!$Z$3:$Z$1015,'KIDS&amp;ADULTS'!$V$3:$V$1015,A5,'KIDS&amp;ADULTS'!$M$3:$M$1015,$B$3)</f>
        <v>0</v>
      </c>
      <c r="C5" s="373">
        <f>sumifs('KIDS&amp;ADULTS'!$Z$3:$Z$1015,'KIDS&amp;ADULTS'!$V$3:$V$1015,A5,'KIDS&amp;ADULTS'!$M$3:$M$1015,"phương")</f>
        <v>0</v>
      </c>
      <c r="D5" s="373">
        <f>sumifs('KIDS&amp;ADULTS'!$Z$3:$Z$1015,'KIDS&amp;ADULTS'!$V$3:$V$1015,A5,'KIDS&amp;ADULTS'!$M$3:$M$1015,$D$3)</f>
        <v>0</v>
      </c>
      <c r="E5" s="373">
        <f>sumifs('KIDS&amp;ADULTS'!$Z$3:$Z$1015,'KIDS&amp;ADULTS'!$V$3:$V$1015,A5,'KIDS&amp;ADULTS'!$M$3:$M$1015,"Ánh")</f>
        <v>0</v>
      </c>
      <c r="F5" s="373">
        <f>sumifs('KIDS&amp;ADULTS'!$Z$3:$Z$1015,'KIDS&amp;ADULTS'!$V$3:$V$1015,A5,'KIDS&amp;ADULTS'!$M$3:$M$1015,"Loan")</f>
        <v>0</v>
      </c>
      <c r="G5" s="373">
        <f t="shared" si="1"/>
        <v>0</v>
      </c>
      <c r="J5" s="372">
        <v>45171.0</v>
      </c>
      <c r="K5" s="374">
        <f>COUNTIFS('KIDS&amp;ADULTS'!$A$3:$A$12008,J5,'KIDS&amp;ADULTS'!$B$3:$B$12008,$K$3)</f>
        <v>0</v>
      </c>
      <c r="L5" s="374">
        <f>COUNTIFS('KIDS&amp;ADULTS'!$A$3:$A$12008,J5,'KIDS&amp;ADULTS'!$B$3:$B$12008,$L$3)</f>
        <v>0</v>
      </c>
      <c r="M5" s="374">
        <f>COUNTIFS('KIDS&amp;ADULTS'!$A$3:$A$12008,J5,'KIDS&amp;ADULTS'!$B$3:$B$12008,$M$3)</f>
        <v>0</v>
      </c>
      <c r="N5" s="375">
        <f>COUNTIFS('KIDS&amp;ADULTS'!$A$3:$A$12008,J5,'KIDS&amp;ADULTS'!$B$3:$B$12008,$N$3)</f>
        <v>0</v>
      </c>
      <c r="O5" s="375">
        <f>COUNTIFS('KIDS&amp;ADULTS'!$A$3:$A$12008,J5,'KIDS&amp;ADULTS'!$B$3:$B$12008,$O$3)</f>
        <v>1</v>
      </c>
      <c r="P5" s="375">
        <f>COUNTIFS('KIDS&amp;ADULTS'!$A$3:$A$12008,J5,'KIDS&amp;ADULTS'!$B$3:$B$12008,$P$3)</f>
        <v>0</v>
      </c>
      <c r="Q5" s="375">
        <f>COUNTIFS('KIDS&amp;ADULTS'!$A$3:$A$1008,J5,'KIDS&amp;ADULTS'!$B$3:$B$1008,$Q$3)</f>
        <v>0</v>
      </c>
      <c r="R5" s="374">
        <f>COUNTIFS('KIDS&amp;ADULTS'!$A$3:$A$12008,J5,'KIDS&amp;ADULTS'!$B$3:$B$12008,$R$3)</f>
        <v>0</v>
      </c>
      <c r="U5" s="372">
        <f t="shared" ref="U5:U33" si="3">U4+1</f>
        <v>45171</v>
      </c>
      <c r="V5" s="376">
        <f>COUNTIFS('KIDS&amp;ADULTS'!$V$3:$V$12006,U5,'KIDS&amp;ADULTS'!$B$3:$B$12006,$K$3,'KIDS&amp;ADULTS'!$N$3:$N$12006,"Đã đóng học phí")</f>
        <v>0</v>
      </c>
      <c r="W5" s="376">
        <f>COUNTIFS('KIDS&amp;ADULTS'!$V$3:$V$12006,U5,'KIDS&amp;ADULTS'!$B$3:$B12007,$W$3,'KIDS&amp;ADULTS'!$N$3:$N$12006,"Đã đóng học phí")</f>
        <v>0</v>
      </c>
      <c r="X5" s="376">
        <f>COUNTIFS('KIDS&amp;ADULTS'!$V$3:$V$12006,U5,'KIDS&amp;ADULTS'!$B$3:$B$12006,$X$3,'KIDS&amp;ADULTS'!$N$3:$N$12006,"Đã đóng học phí")</f>
        <v>0</v>
      </c>
      <c r="Y5" s="376">
        <f>COUNTIFS('KIDS&amp;ADULTS'!$V$3:$V$12006,U5,'KIDS&amp;ADULTS'!$B$3:$B$12006,$Y$3,'KIDS&amp;ADULTS'!$N$3:$N$12006,"Đã đóng học phí")</f>
        <v>0</v>
      </c>
      <c r="Z5" s="376">
        <f>COUNTIFS('KIDS&amp;ADULTS'!$V$3:$V$12006,U5,'KIDS&amp;ADULTS'!$B$3:$B$12006,$Z$3,'KIDS&amp;ADULTS'!$N$3:$N$12006,"Đã đóng học phí")</f>
        <v>0</v>
      </c>
      <c r="AA5" s="376">
        <f>COUNTIFS('KIDS&amp;ADULTS'!$V$3:$V$12006,U5,'KIDS&amp;ADULTS'!$B$3:$B$12006,$AA$3,'KIDS&amp;ADULTS'!$N$3:$N$12006,"Đã đóng học phí")</f>
        <v>0</v>
      </c>
      <c r="AB5" s="376">
        <f>COUNTIFS('KIDS&amp;ADULTS'!$V$3:$V$12006,U5,'KIDS&amp;ADULTS'!$B$3:$B$12006,$AB$3,'KIDS&amp;ADULTS'!$N$3:$N$12006,"Đã đóng học phí")</f>
        <v>0</v>
      </c>
      <c r="AC5" s="376">
        <f>COUNTIFS('KIDS&amp;ADULTS'!$V$3:$V$12006,U5,'KIDS&amp;ADULTS'!$B$3:$B$12006,$AC$3,'KIDS&amp;ADULTS'!$N$3:$N$12006,"Đã đóng học phí")</f>
        <v>0</v>
      </c>
      <c r="AF5" s="381" t="s">
        <v>4622</v>
      </c>
      <c r="AG5" s="381">
        <f t="shared" ref="AG5:AN5" si="2">V34</f>
        <v>0</v>
      </c>
      <c r="AH5" s="381">
        <f t="shared" si="2"/>
        <v>0</v>
      </c>
      <c r="AI5" s="381">
        <f t="shared" si="2"/>
        <v>0</v>
      </c>
      <c r="AJ5" s="381">
        <f t="shared" si="2"/>
        <v>4</v>
      </c>
      <c r="AK5" s="381">
        <f t="shared" si="2"/>
        <v>2</v>
      </c>
      <c r="AL5" s="381">
        <f t="shared" si="2"/>
        <v>1</v>
      </c>
      <c r="AM5" s="381">
        <f t="shared" si="2"/>
        <v>0</v>
      </c>
      <c r="AN5" s="381">
        <f t="shared" si="2"/>
        <v>0</v>
      </c>
    </row>
    <row r="6" ht="15.75" customHeight="1">
      <c r="A6" s="372">
        <v>45172.0</v>
      </c>
      <c r="B6" s="373">
        <f>sumifs('KIDS&amp;ADULTS'!$Z$3:$Z$1015,'KIDS&amp;ADULTS'!$V$3:$V$1015,A6,'KIDS&amp;ADULTS'!$M$3:$M$1015,$B$3)</f>
        <v>0</v>
      </c>
      <c r="C6" s="373">
        <f>sumifs('KIDS&amp;ADULTS'!$Z$3:$Z$1015,'KIDS&amp;ADULTS'!$V$3:$V$1015,A6,'KIDS&amp;ADULTS'!$M$3:$M$1015,"phương")</f>
        <v>0</v>
      </c>
      <c r="D6" s="373">
        <f>sumifs('KIDS&amp;ADULTS'!$Z$3:$Z$1015,'KIDS&amp;ADULTS'!$V$3:$V$1015,A6,'KIDS&amp;ADULTS'!$M$3:$M$1015,$D$3)</f>
        <v>0</v>
      </c>
      <c r="E6" s="373">
        <f>sumifs('KIDS&amp;ADULTS'!$Z$3:$Z$1015,'KIDS&amp;ADULTS'!$V$3:$V$1015,A6,'KIDS&amp;ADULTS'!$M$3:$M$1015,"Ánh")</f>
        <v>0</v>
      </c>
      <c r="F6" s="373">
        <f>sumifs('KIDS&amp;ADULTS'!$Z$3:$Z$1015,'KIDS&amp;ADULTS'!$V$3:$V$1015,A6,'KIDS&amp;ADULTS'!$M$3:$M$1015,"Loan")</f>
        <v>0</v>
      </c>
      <c r="G6" s="373">
        <f t="shared" si="1"/>
        <v>0</v>
      </c>
      <c r="J6" s="372">
        <v>45172.0</v>
      </c>
      <c r="K6" s="374">
        <f>COUNTIFS('KIDS&amp;ADULTS'!$A$3:$A$12008,J6,'KIDS&amp;ADULTS'!$B$3:$B$12008,$K$3)</f>
        <v>0</v>
      </c>
      <c r="L6" s="374">
        <f>COUNTIFS('KIDS&amp;ADULTS'!$A$3:$A$12008,J6,'KIDS&amp;ADULTS'!$B$3:$B$12008,$L$3)</f>
        <v>0</v>
      </c>
      <c r="M6" s="374">
        <f>COUNTIFS('KIDS&amp;ADULTS'!$A$3:$A$12008,J6,'KIDS&amp;ADULTS'!$B$3:$B$12008,$M$3)</f>
        <v>0</v>
      </c>
      <c r="N6" s="375">
        <f>COUNTIFS('KIDS&amp;ADULTS'!$A$3:$A$12008,J6,'KIDS&amp;ADULTS'!$B$3:$B$12008,$N$3)</f>
        <v>0</v>
      </c>
      <c r="O6" s="375">
        <f>COUNTIFS('KIDS&amp;ADULTS'!$A$3:$A$12008,J6,'KIDS&amp;ADULTS'!$B$3:$B$12008,$O$3)</f>
        <v>0</v>
      </c>
      <c r="P6" s="375">
        <f>COUNTIFS('KIDS&amp;ADULTS'!$A$3:$A$12008,J6,'KIDS&amp;ADULTS'!$B$3:$B$12008,$P$3)</f>
        <v>0</v>
      </c>
      <c r="Q6" s="375">
        <f>COUNTIFS('KIDS&amp;ADULTS'!$A$3:$A$1008,J6,'KIDS&amp;ADULTS'!$B$3:$B$1008,$Q$3)</f>
        <v>0</v>
      </c>
      <c r="R6" s="374">
        <f>COUNTIFS('KIDS&amp;ADULTS'!$A$3:$A$12008,J6,'KIDS&amp;ADULTS'!$B$3:$B$12008,$R$3)</f>
        <v>0</v>
      </c>
      <c r="U6" s="372">
        <f t="shared" si="3"/>
        <v>45172</v>
      </c>
      <c r="V6" s="376">
        <f>COUNTIFS('KIDS&amp;ADULTS'!$V$3:$V$12006,U6,'KIDS&amp;ADULTS'!$B$3:$B$12006,$K$3,'KIDS&amp;ADULTS'!$N$3:$N$12006,"Đã đóng học phí")</f>
        <v>0</v>
      </c>
      <c r="W6" s="376">
        <f>COUNTIFS('KIDS&amp;ADULTS'!$V$3:$V$12006,U6,'KIDS&amp;ADULTS'!$B$3:$B12008,$W$3,'KIDS&amp;ADULTS'!$N$3:$N$12006,"Đã đóng học phí")</f>
        <v>0</v>
      </c>
      <c r="X6" s="376">
        <f>COUNTIFS('KIDS&amp;ADULTS'!$V$3:$V$12006,U6,'KIDS&amp;ADULTS'!$B$3:$B$12006,$X$3,'KIDS&amp;ADULTS'!$N$3:$N$12006,"Đã đóng học phí")</f>
        <v>0</v>
      </c>
      <c r="Y6" s="376">
        <f>COUNTIFS('KIDS&amp;ADULTS'!$V$3:$V$12006,U6,'KIDS&amp;ADULTS'!$B$3:$B$12006,$Y$3,'KIDS&amp;ADULTS'!$N$3:$N$12006,"Đã đóng học phí")</f>
        <v>0</v>
      </c>
      <c r="Z6" s="376">
        <f>COUNTIFS('KIDS&amp;ADULTS'!$V$3:$V$12006,U6,'KIDS&amp;ADULTS'!$B$3:$B$12006,$Z$3,'KIDS&amp;ADULTS'!$N$3:$N$12006,"Đã đóng học phí")</f>
        <v>0</v>
      </c>
      <c r="AA6" s="376">
        <f>COUNTIFS('KIDS&amp;ADULTS'!$V$3:$V$12006,U6,'KIDS&amp;ADULTS'!$B$3:$B$12006,$AA$3,'KIDS&amp;ADULTS'!$N$3:$N$12006,"Đã đóng học phí")</f>
        <v>0</v>
      </c>
      <c r="AB6" s="376">
        <f>COUNTIFS('KIDS&amp;ADULTS'!$V$3:$V$12006,U6,'KIDS&amp;ADULTS'!$B$3:$B$12006,$AB$3,'KIDS&amp;ADULTS'!$N$3:$N$12006,"Đã đóng học phí")</f>
        <v>0</v>
      </c>
      <c r="AC6" s="376">
        <f>COUNTIFS('KIDS&amp;ADULTS'!$V$3:$V$12006,U6,'KIDS&amp;ADULTS'!$B$3:$B$12006,$AC$3,'KIDS&amp;ADULTS'!$N$3:$N$12006,"Đã đóng học phí")</f>
        <v>0</v>
      </c>
    </row>
    <row r="7" ht="15.75" customHeight="1">
      <c r="A7" s="372">
        <v>45173.0</v>
      </c>
      <c r="B7" s="373">
        <f>sumifs('KIDS&amp;ADULTS'!$Z$3:$Z$1015,'KIDS&amp;ADULTS'!$V$3:$V$1015,A7,'KIDS&amp;ADULTS'!$M$3:$M$1015,$B$3)</f>
        <v>0</v>
      </c>
      <c r="C7" s="373">
        <f>sumifs('KIDS&amp;ADULTS'!$Z$3:$Z$1015,'KIDS&amp;ADULTS'!$V$3:$V$1015,A7,'KIDS&amp;ADULTS'!$M$3:$M$1015,"phương")</f>
        <v>0</v>
      </c>
      <c r="D7" s="373">
        <f>sumifs('KIDS&amp;ADULTS'!$Z$3:$Z$1015,'KIDS&amp;ADULTS'!$V$3:$V$1015,A7,'KIDS&amp;ADULTS'!$M$3:$M$1015,$D$3)</f>
        <v>0</v>
      </c>
      <c r="E7" s="373">
        <f>sumifs('KIDS&amp;ADULTS'!$Z$3:$Z$1015,'KIDS&amp;ADULTS'!$V$3:$V$1015,A7,'KIDS&amp;ADULTS'!$M$3:$M$1015,"Ánh")</f>
        <v>0</v>
      </c>
      <c r="F7" s="373">
        <f>sumifs('KIDS&amp;ADULTS'!$Z$3:$Z$1015,'KIDS&amp;ADULTS'!$V$3:$V$1015,A7,'KIDS&amp;ADULTS'!$M$3:$M$1015,"Loan")</f>
        <v>0</v>
      </c>
      <c r="G7" s="373">
        <f t="shared" si="1"/>
        <v>0</v>
      </c>
      <c r="J7" s="372">
        <v>45173.0</v>
      </c>
      <c r="K7" s="374">
        <f>COUNTIFS('KIDS&amp;ADULTS'!$A$3:$A$12008,J7,'KIDS&amp;ADULTS'!$B$3:$B$12008,$K$3)</f>
        <v>0</v>
      </c>
      <c r="L7" s="374">
        <f>COUNTIFS('KIDS&amp;ADULTS'!$A$3:$A$12008,J7,'KIDS&amp;ADULTS'!$B$3:$B$12008,$L$3)</f>
        <v>0</v>
      </c>
      <c r="M7" s="374">
        <f>COUNTIFS('KIDS&amp;ADULTS'!$A$3:$A$12008,J7,'KIDS&amp;ADULTS'!$B$3:$B$12008,$M$3)</f>
        <v>0</v>
      </c>
      <c r="N7" s="375">
        <f>COUNTIFS('KIDS&amp;ADULTS'!$A$3:$A$12008,J7,'KIDS&amp;ADULTS'!$B$3:$B$12008,$N$3)</f>
        <v>0</v>
      </c>
      <c r="O7" s="375">
        <f>COUNTIFS('KIDS&amp;ADULTS'!$A$3:$A$12008,J7,'KIDS&amp;ADULTS'!$B$3:$B$12008,$O$3)</f>
        <v>0</v>
      </c>
      <c r="P7" s="375">
        <f>COUNTIFS('KIDS&amp;ADULTS'!$A$3:$A$12008,J7,'KIDS&amp;ADULTS'!$B$3:$B$12008,$P$3)</f>
        <v>0</v>
      </c>
      <c r="Q7" s="375">
        <f>COUNTIFS('KIDS&amp;ADULTS'!$A$3:$A$1008,J7,'KIDS&amp;ADULTS'!$B$3:$B$1008,$Q$3)</f>
        <v>0</v>
      </c>
      <c r="R7" s="374">
        <f>COUNTIFS('KIDS&amp;ADULTS'!$A$3:$A$12008,J7,'KIDS&amp;ADULTS'!$B$3:$B$12008,$R$3)</f>
        <v>0</v>
      </c>
      <c r="U7" s="372">
        <f t="shared" si="3"/>
        <v>45173</v>
      </c>
      <c r="V7" s="376">
        <f>COUNTIFS('KIDS&amp;ADULTS'!$V$3:$V$12006,U7,'KIDS&amp;ADULTS'!$B$3:$B$12006,$K$3,'KIDS&amp;ADULTS'!$N$3:$N$12006,"Đã đóng học phí")</f>
        <v>0</v>
      </c>
      <c r="W7" s="376">
        <f>COUNTIFS('KIDS&amp;ADULTS'!$V$3:$V$12006,U7,'KIDS&amp;ADULTS'!$B$3:$B12009,$W$3,'KIDS&amp;ADULTS'!$N$3:$N$12006,"Đã đóng học phí")</f>
        <v>0</v>
      </c>
      <c r="X7" s="376">
        <f>COUNTIFS('KIDS&amp;ADULTS'!$V$3:$V$12006,U7,'KIDS&amp;ADULTS'!$B$3:$B$12006,$X$3,'KIDS&amp;ADULTS'!$N$3:$N$12006,"Đã đóng học phí")</f>
        <v>0</v>
      </c>
      <c r="Y7" s="376">
        <f>COUNTIFS('KIDS&amp;ADULTS'!$V$3:$V$12006,U7,'KIDS&amp;ADULTS'!$B$3:$B$12006,$Y$3,'KIDS&amp;ADULTS'!$N$3:$N$12006,"Đã đóng học phí")</f>
        <v>0</v>
      </c>
      <c r="Z7" s="376">
        <f>COUNTIFS('KIDS&amp;ADULTS'!$V$3:$V$12006,U7,'KIDS&amp;ADULTS'!$B$3:$B$12006,$Z$3,'KIDS&amp;ADULTS'!$N$3:$N$12006,"Đã đóng học phí")</f>
        <v>0</v>
      </c>
      <c r="AA7" s="376">
        <f>COUNTIFS('KIDS&amp;ADULTS'!$V$3:$V$12006,U7,'KIDS&amp;ADULTS'!$B$3:$B$12006,$AA$3,'KIDS&amp;ADULTS'!$N$3:$N$12006,"Đã đóng học phí")</f>
        <v>0</v>
      </c>
      <c r="AB7" s="376">
        <f>COUNTIFS('KIDS&amp;ADULTS'!$V$3:$V$12006,U7,'KIDS&amp;ADULTS'!$B$3:$B$12006,$AB$3,'KIDS&amp;ADULTS'!$N$3:$N$12006,"Đã đóng học phí")</f>
        <v>0</v>
      </c>
      <c r="AC7" s="376">
        <f>COUNTIFS('KIDS&amp;ADULTS'!$V$3:$V$12006,U7,'KIDS&amp;ADULTS'!$B$3:$B$12006,$AC$3,'KIDS&amp;ADULTS'!$N$3:$N$12006,"Đã đóng học phí")</f>
        <v>0</v>
      </c>
      <c r="AF7" s="358" t="s">
        <v>4623</v>
      </c>
    </row>
    <row r="8" ht="15.75" customHeight="1">
      <c r="A8" s="372">
        <v>45174.0</v>
      </c>
      <c r="B8" s="373">
        <f>sumifs('KIDS&amp;ADULTS'!$Z$3:$Z$1015,'KIDS&amp;ADULTS'!$V$3:$V$1015,A8,'KIDS&amp;ADULTS'!$M$3:$M$1015,$B$3)</f>
        <v>0</v>
      </c>
      <c r="C8" s="373">
        <f>sumifs('KIDS&amp;ADULTS'!$Z$3:$Z$1015,'KIDS&amp;ADULTS'!$V$3:$V$1015,A8,'KIDS&amp;ADULTS'!$M$3:$M$1015,"phương")</f>
        <v>0</v>
      </c>
      <c r="D8" s="373">
        <f>sumifs('KIDS&amp;ADULTS'!$Z$3:$Z$1015,'KIDS&amp;ADULTS'!$V$3:$V$1015,A8,'KIDS&amp;ADULTS'!$M$3:$M$1015,$D$3)</f>
        <v>0</v>
      </c>
      <c r="E8" s="373">
        <f>sumifs('KIDS&amp;ADULTS'!$Z$3:$Z$1015,'KIDS&amp;ADULTS'!$V$3:$V$1015,A8,'KIDS&amp;ADULTS'!$M$3:$M$1015,"Ánh")</f>
        <v>0</v>
      </c>
      <c r="F8" s="373">
        <f>sumifs('KIDS&amp;ADULTS'!$Z$3:$Z$1015,'KIDS&amp;ADULTS'!$V$3:$V$1015,A8,'KIDS&amp;ADULTS'!$M$3:$M$1015,"Loan")</f>
        <v>0</v>
      </c>
      <c r="G8" s="373">
        <f t="shared" si="1"/>
        <v>0</v>
      </c>
      <c r="J8" s="372">
        <v>45174.0</v>
      </c>
      <c r="K8" s="374">
        <f>COUNTIFS('KIDS&amp;ADULTS'!$A$3:$A$12008,J8,'KIDS&amp;ADULTS'!$B$3:$B$12008,$K$3)</f>
        <v>0</v>
      </c>
      <c r="L8" s="374">
        <f>COUNTIFS('KIDS&amp;ADULTS'!$A$3:$A$12008,J8,'KIDS&amp;ADULTS'!$B$3:$B$12008,$L$3)</f>
        <v>0</v>
      </c>
      <c r="M8" s="374">
        <f>COUNTIFS('KIDS&amp;ADULTS'!$A$3:$A$12008,J8,'KIDS&amp;ADULTS'!$B$3:$B$12008,$M$3)</f>
        <v>0</v>
      </c>
      <c r="N8" s="375">
        <f>COUNTIFS('KIDS&amp;ADULTS'!$A$3:$A$12008,J8,'KIDS&amp;ADULTS'!$B$3:$B$12008,$N$3)</f>
        <v>1</v>
      </c>
      <c r="O8" s="375">
        <f>COUNTIFS('KIDS&amp;ADULTS'!$A$3:$A$12008,J8,'KIDS&amp;ADULTS'!$B$3:$B$12008,$O$3)</f>
        <v>0</v>
      </c>
      <c r="P8" s="375">
        <f>COUNTIFS('KIDS&amp;ADULTS'!$A$3:$A$12008,J8,'KIDS&amp;ADULTS'!$B$3:$B$12008,$P$3)</f>
        <v>0</v>
      </c>
      <c r="Q8" s="375">
        <f>COUNTIFS('KIDS&amp;ADULTS'!$A$3:$A$1008,J8,'KIDS&amp;ADULTS'!$B$3:$B$1008,$Q$3)</f>
        <v>0</v>
      </c>
      <c r="R8" s="374">
        <f>COUNTIFS('KIDS&amp;ADULTS'!$A$3:$A$12008,J8,'KIDS&amp;ADULTS'!$B$3:$B$12008,$R$3)</f>
        <v>0</v>
      </c>
      <c r="U8" s="372">
        <f t="shared" si="3"/>
        <v>45174</v>
      </c>
      <c r="V8" s="376">
        <f>COUNTIFS('KIDS&amp;ADULTS'!$V$3:$V$12006,U8,'KIDS&amp;ADULTS'!$B$3:$B$12006,$K$3,'KIDS&amp;ADULTS'!$N$3:$N$12006,"Đã đóng học phí")</f>
        <v>0</v>
      </c>
      <c r="W8" s="376">
        <f>COUNTIFS('KIDS&amp;ADULTS'!$V$3:$V$12006,U8,'KIDS&amp;ADULTS'!$B$3:$B12010,$W$3,'KIDS&amp;ADULTS'!$N$3:$N$12006,"Đã đóng học phí")</f>
        <v>0</v>
      </c>
      <c r="X8" s="376">
        <f>COUNTIFS('KIDS&amp;ADULTS'!$V$3:$V$12006,U8,'KIDS&amp;ADULTS'!$B$3:$B$12006,$X$3,'KIDS&amp;ADULTS'!$N$3:$N$12006,"Đã đóng học phí")</f>
        <v>0</v>
      </c>
      <c r="Y8" s="376">
        <f>COUNTIFS('KIDS&amp;ADULTS'!$V$3:$V$12006,U8,'KIDS&amp;ADULTS'!$B$3:$B$12006,$Y$3,'KIDS&amp;ADULTS'!$N$3:$N$12006,"Đã đóng học phí")</f>
        <v>0</v>
      </c>
      <c r="Z8" s="376">
        <f>COUNTIFS('KIDS&amp;ADULTS'!$V$3:$V$12006,U8,'KIDS&amp;ADULTS'!$B$3:$B$12006,$Z$3,'KIDS&amp;ADULTS'!$N$3:$N$12006,"Đã đóng học phí")</f>
        <v>0</v>
      </c>
      <c r="AA8" s="376">
        <f>COUNTIFS('KIDS&amp;ADULTS'!$V$3:$V$12006,U8,'KIDS&amp;ADULTS'!$B$3:$B$12006,$AA$3,'KIDS&amp;ADULTS'!$N$3:$N$12006,"Đã đóng học phí")</f>
        <v>0</v>
      </c>
      <c r="AB8" s="376">
        <f>COUNTIFS('KIDS&amp;ADULTS'!$V$3:$V$12006,U8,'KIDS&amp;ADULTS'!$B$3:$B$12006,$AB$3,'KIDS&amp;ADULTS'!$N$3:$N$12006,"Đã đóng học phí")</f>
        <v>0</v>
      </c>
      <c r="AC8" s="376">
        <f>COUNTIFS('KIDS&amp;ADULTS'!$V$3:$V$12006,U8,'KIDS&amp;ADULTS'!$B$3:$B$12006,$AC$3,'KIDS&amp;ADULTS'!$N$3:$N$12006,"Đã đóng học phí")</f>
        <v>0</v>
      </c>
      <c r="AF8" s="361" t="s">
        <v>4613</v>
      </c>
      <c r="AG8" s="363" t="s">
        <v>4616</v>
      </c>
      <c r="AH8" s="235"/>
      <c r="AI8" s="235"/>
      <c r="AJ8" s="235"/>
      <c r="AK8" s="235"/>
      <c r="AL8" s="235"/>
      <c r="AM8" s="235"/>
      <c r="AN8" s="236"/>
    </row>
    <row r="9" ht="15.75" customHeight="1">
      <c r="A9" s="372">
        <v>45175.0</v>
      </c>
      <c r="B9" s="373">
        <f>sumifs('KIDS&amp;ADULTS'!$Z$3:$Z$1015,'KIDS&amp;ADULTS'!$V$3:$V$1015,A9,'KIDS&amp;ADULTS'!$M$3:$M$1015,$B$3)</f>
        <v>0</v>
      </c>
      <c r="C9" s="373">
        <f>sumifs('KIDS&amp;ADULTS'!$Z$3:$Z$1015,'KIDS&amp;ADULTS'!$V$3:$V$1015,A9,'KIDS&amp;ADULTS'!$M$3:$M$1015,"phương")</f>
        <v>0</v>
      </c>
      <c r="D9" s="373">
        <f>sumifs('KIDS&amp;ADULTS'!$Z$3:$Z$1015,'KIDS&amp;ADULTS'!$V$3:$V$1015,A9,'KIDS&amp;ADULTS'!$M$3:$M$1015,$D$3)</f>
        <v>0</v>
      </c>
      <c r="E9" s="373">
        <f>sumifs('KIDS&amp;ADULTS'!$Z$3:$Z$1015,'KIDS&amp;ADULTS'!$V$3:$V$1015,A9,'KIDS&amp;ADULTS'!$M$3:$M$1015,"Ánh")</f>
        <v>0</v>
      </c>
      <c r="F9" s="373">
        <f>sumifs('KIDS&amp;ADULTS'!$Z$3:$Z$1015,'KIDS&amp;ADULTS'!$V$3:$V$1015,A9,'KIDS&amp;ADULTS'!$M$3:$M$1015,"Loan")</f>
        <v>0</v>
      </c>
      <c r="G9" s="373">
        <f t="shared" si="1"/>
        <v>0</v>
      </c>
      <c r="J9" s="372">
        <v>45175.0</v>
      </c>
      <c r="K9" s="374">
        <f>COUNTIFS('KIDS&amp;ADULTS'!$A$3:$A$12008,J9,'KIDS&amp;ADULTS'!$B$3:$B$12008,$K$3)</f>
        <v>0</v>
      </c>
      <c r="L9" s="374">
        <f>COUNTIFS('KIDS&amp;ADULTS'!$A$3:$A$12008,J9,'KIDS&amp;ADULTS'!$B$3:$B$12008,$L$3)</f>
        <v>0</v>
      </c>
      <c r="M9" s="374">
        <f>COUNTIFS('KIDS&amp;ADULTS'!$A$3:$A$12008,J9,'KIDS&amp;ADULTS'!$B$3:$B$12008,$M$3)</f>
        <v>1</v>
      </c>
      <c r="N9" s="375">
        <f>COUNTIFS('KIDS&amp;ADULTS'!$A$3:$A$12008,J9,'KIDS&amp;ADULTS'!$B$3:$B$12008,$N$3)</f>
        <v>0</v>
      </c>
      <c r="O9" s="375">
        <f>COUNTIFS('KIDS&amp;ADULTS'!$A$3:$A$12008,J9,'KIDS&amp;ADULTS'!$B$3:$B$12008,$O$3)</f>
        <v>1</v>
      </c>
      <c r="P9" s="375">
        <f>COUNTIFS('KIDS&amp;ADULTS'!$A$3:$A$12008,J9,'KIDS&amp;ADULTS'!$B$3:$B$12008,$P$3)</f>
        <v>1</v>
      </c>
      <c r="Q9" s="375">
        <f>COUNTIFS('KIDS&amp;ADULTS'!$A$3:$A$1008,J9,'KIDS&amp;ADULTS'!$B$3:$B$1008,$Q$3)</f>
        <v>0</v>
      </c>
      <c r="R9" s="374">
        <f>COUNTIFS('KIDS&amp;ADULTS'!$A$3:$A$12008,J9,'KIDS&amp;ADULTS'!$B$3:$B$12008,$R$3)</f>
        <v>0</v>
      </c>
      <c r="U9" s="372">
        <f t="shared" si="3"/>
        <v>45175</v>
      </c>
      <c r="V9" s="376">
        <f>COUNTIFS('KIDS&amp;ADULTS'!$V$3:$V$12006,U9,'KIDS&amp;ADULTS'!$B$3:$B$12006,$K$3,'KIDS&amp;ADULTS'!$N$3:$N$12006,"Đã đóng học phí")</f>
        <v>0</v>
      </c>
      <c r="W9" s="376">
        <f>COUNTIFS('KIDS&amp;ADULTS'!$V$3:$V$12006,U9,'KIDS&amp;ADULTS'!$B$3:$B12011,$W$3,'KIDS&amp;ADULTS'!$N$3:$N$12006,"Đã đóng học phí")</f>
        <v>0</v>
      </c>
      <c r="X9" s="376">
        <f>COUNTIFS('KIDS&amp;ADULTS'!$V$3:$V$12006,U9,'KIDS&amp;ADULTS'!$B$3:$B$12006,$X$3,'KIDS&amp;ADULTS'!$N$3:$N$12006,"Đã đóng học phí")</f>
        <v>0</v>
      </c>
      <c r="Y9" s="376">
        <f>COUNTIFS('KIDS&amp;ADULTS'!$V$3:$V$12006,U9,'KIDS&amp;ADULTS'!$B$3:$B$12006,$Y$3,'KIDS&amp;ADULTS'!$N$3:$N$12006,"Đã đóng học phí")</f>
        <v>0</v>
      </c>
      <c r="Z9" s="376">
        <f>COUNTIFS('KIDS&amp;ADULTS'!$V$3:$V$12006,U9,'KIDS&amp;ADULTS'!$B$3:$B$12006,$Z$3,'KIDS&amp;ADULTS'!$N$3:$N$12006,"Đã đóng học phí")</f>
        <v>0</v>
      </c>
      <c r="AA9" s="376">
        <f>COUNTIFS('KIDS&amp;ADULTS'!$V$3:$V$12006,U9,'KIDS&amp;ADULTS'!$B$3:$B$12006,$AA$3,'KIDS&amp;ADULTS'!$N$3:$N$12006,"Đã đóng học phí")</f>
        <v>0</v>
      </c>
      <c r="AB9" s="376">
        <f>COUNTIFS('KIDS&amp;ADULTS'!$V$3:$V$12006,U9,'KIDS&amp;ADULTS'!$B$3:$B$12006,$AB$3,'KIDS&amp;ADULTS'!$N$3:$N$12006,"Đã đóng học phí")</f>
        <v>0</v>
      </c>
      <c r="AC9" s="376">
        <f>COUNTIFS('KIDS&amp;ADULTS'!$V$3:$V$12006,U9,'KIDS&amp;ADULTS'!$B$3:$B$12006,$AC$3,'KIDS&amp;ADULTS'!$N$3:$N$12006,"Đã đóng học phí")</f>
        <v>0</v>
      </c>
      <c r="AF9" s="11"/>
      <c r="AG9" s="366" t="s">
        <v>4620</v>
      </c>
      <c r="AH9" s="367" t="s">
        <v>4621</v>
      </c>
      <c r="AI9" s="368" t="s">
        <v>73</v>
      </c>
      <c r="AJ9" s="369" t="s">
        <v>201</v>
      </c>
      <c r="AK9" s="370" t="s">
        <v>84</v>
      </c>
      <c r="AL9" s="371" t="s">
        <v>60</v>
      </c>
      <c r="AM9" s="371" t="s">
        <v>539</v>
      </c>
      <c r="AN9" s="371" t="s">
        <v>703</v>
      </c>
    </row>
    <row r="10" ht="15.75" customHeight="1">
      <c r="A10" s="372">
        <v>45176.0</v>
      </c>
      <c r="B10" s="373">
        <f>sumifs('KIDS&amp;ADULTS'!$Z$3:$Z$1015,'KIDS&amp;ADULTS'!$V$3:$V$1015,A10,'KIDS&amp;ADULTS'!$M$3:$M$1015,$B$3)</f>
        <v>0</v>
      </c>
      <c r="C10" s="373">
        <f>sumifs('KIDS&amp;ADULTS'!$Z$3:$Z$1015,'KIDS&amp;ADULTS'!$V$3:$V$1015,A10,'KIDS&amp;ADULTS'!$M$3:$M$1015,"phương")</f>
        <v>0</v>
      </c>
      <c r="D10" s="373">
        <f>sumifs('KIDS&amp;ADULTS'!$Z$3:$Z$1015,'KIDS&amp;ADULTS'!$V$3:$V$1015,A10,'KIDS&amp;ADULTS'!$M$3:$M$1015,$D$3)</f>
        <v>0</v>
      </c>
      <c r="E10" s="373">
        <f>sumifs('KIDS&amp;ADULTS'!$Z$3:$Z$1015,'KIDS&amp;ADULTS'!$V$3:$V$1015,A10,'KIDS&amp;ADULTS'!$M$3:$M$1015,"Ánh")</f>
        <v>5328000</v>
      </c>
      <c r="F10" s="373">
        <f>sumifs('KIDS&amp;ADULTS'!$Z$3:$Z$1015,'KIDS&amp;ADULTS'!$V$3:$V$1015,A10,'KIDS&amp;ADULTS'!$M$3:$M$1015,"Loan")</f>
        <v>0</v>
      </c>
      <c r="G10" s="373">
        <f t="shared" si="1"/>
        <v>5328000</v>
      </c>
      <c r="J10" s="372">
        <v>45176.0</v>
      </c>
      <c r="K10" s="374">
        <f>COUNTIFS('KIDS&amp;ADULTS'!$A$3:$A$12008,J10,'KIDS&amp;ADULTS'!$B$3:$B$12008,$K$3)</f>
        <v>0</v>
      </c>
      <c r="L10" s="374">
        <f>COUNTIFS('KIDS&amp;ADULTS'!$A$3:$A$12008,J10,'KIDS&amp;ADULTS'!$B$3:$B$12008,$L$3)</f>
        <v>0</v>
      </c>
      <c r="M10" s="374">
        <f>COUNTIFS('KIDS&amp;ADULTS'!$A$3:$A$12008,J10,'KIDS&amp;ADULTS'!$B$3:$B$12008,$M$3)</f>
        <v>0</v>
      </c>
      <c r="N10" s="375">
        <f>COUNTIFS('KIDS&amp;ADULTS'!$A$3:$A$12008,J10,'KIDS&amp;ADULTS'!$B$3:$B$12008,$N$3)</f>
        <v>1</v>
      </c>
      <c r="O10" s="375">
        <f>COUNTIFS('KIDS&amp;ADULTS'!$A$3:$A$12008,J10,'KIDS&amp;ADULTS'!$B$3:$B$12008,$O$3)</f>
        <v>0</v>
      </c>
      <c r="P10" s="375">
        <f>COUNTIFS('KIDS&amp;ADULTS'!$A$3:$A$12008,J10,'KIDS&amp;ADULTS'!$B$3:$B$12008,$P$3)</f>
        <v>0</v>
      </c>
      <c r="Q10" s="375">
        <f>COUNTIFS('KIDS&amp;ADULTS'!$A$3:$A$1008,J10,'KIDS&amp;ADULTS'!$B$3:$B$1008,$Q$3)</f>
        <v>0</v>
      </c>
      <c r="R10" s="374">
        <f>COUNTIFS('KIDS&amp;ADULTS'!$A$3:$A$12008,J10,'KIDS&amp;ADULTS'!$B$3:$B$12008,$R$3)</f>
        <v>0</v>
      </c>
      <c r="U10" s="372">
        <f t="shared" si="3"/>
        <v>45176</v>
      </c>
      <c r="V10" s="376">
        <f>COUNTIFS('KIDS&amp;ADULTS'!$V$3:$V$12006,U10,'KIDS&amp;ADULTS'!$B$3:$B$12006,$K$3,'KIDS&amp;ADULTS'!$N$3:$N$12006,"Đã đóng học phí")</f>
        <v>0</v>
      </c>
      <c r="W10" s="376">
        <f>COUNTIFS('KIDS&amp;ADULTS'!$V$3:$V$12006,U10,'KIDS&amp;ADULTS'!$B$3:$B12012,$W$3,'KIDS&amp;ADULTS'!$N$3:$N$12006,"Đã đóng học phí")</f>
        <v>0</v>
      </c>
      <c r="X10" s="376">
        <f>COUNTIFS('KIDS&amp;ADULTS'!$V$3:$V$12006,U10,'KIDS&amp;ADULTS'!$B$3:$B$12006,$X$3,'KIDS&amp;ADULTS'!$N$3:$N$12006,"Đã đóng học phí")</f>
        <v>0</v>
      </c>
      <c r="Y10" s="376">
        <f>COUNTIFS('KIDS&amp;ADULTS'!$V$3:$V$12006,U10,'KIDS&amp;ADULTS'!$B$3:$B$12006,$Y$3,'KIDS&amp;ADULTS'!$N$3:$N$12006,"Đã đóng học phí")</f>
        <v>0</v>
      </c>
      <c r="Z10" s="376">
        <f>COUNTIFS('KIDS&amp;ADULTS'!$V$3:$V$12006,U10,'KIDS&amp;ADULTS'!$B$3:$B$12006,$Z$3,'KIDS&amp;ADULTS'!$N$3:$N$12006,"Đã đóng học phí")</f>
        <v>0</v>
      </c>
      <c r="AA10" s="376">
        <f>COUNTIFS('KIDS&amp;ADULTS'!$V$3:$V$12006,U10,'KIDS&amp;ADULTS'!$B$3:$B$12006,$AA$3,'KIDS&amp;ADULTS'!$N$3:$N$12006,"Đã đóng học phí")</f>
        <v>0</v>
      </c>
      <c r="AB10" s="376">
        <f>COUNTIFS('KIDS&amp;ADULTS'!$V$3:$V$12006,U10,'KIDS&amp;ADULTS'!$B$3:$B$12006,$AB$3,'KIDS&amp;ADULTS'!$N$3:$N$12006,"Đã đóng học phí")</f>
        <v>0</v>
      </c>
      <c r="AC10" s="376">
        <f>COUNTIFS('KIDS&amp;ADULTS'!$V$3:$V$12006,U10,'KIDS&amp;ADULTS'!$B$3:$B$12006,$AC$3,'KIDS&amp;ADULTS'!$N$3:$N$12006,"Đã đóng học phí")</f>
        <v>0</v>
      </c>
      <c r="AF10" s="381" t="s">
        <v>4622</v>
      </c>
      <c r="AG10" s="382">
        <f t="shared" ref="AG10:AN10" si="4">V71</f>
        <v>0</v>
      </c>
      <c r="AH10" s="382">
        <f t="shared" si="4"/>
        <v>0</v>
      </c>
      <c r="AI10" s="382">
        <f t="shared" si="4"/>
        <v>0</v>
      </c>
      <c r="AJ10" s="382">
        <f t="shared" si="4"/>
        <v>19376000</v>
      </c>
      <c r="AK10" s="382">
        <f t="shared" si="4"/>
        <v>10101500</v>
      </c>
      <c r="AL10" s="382">
        <f t="shared" si="4"/>
        <v>2664000</v>
      </c>
      <c r="AM10" s="382">
        <f t="shared" si="4"/>
        <v>0</v>
      </c>
      <c r="AN10" s="382">
        <f t="shared" si="4"/>
        <v>0</v>
      </c>
    </row>
    <row r="11" ht="15.75" customHeight="1">
      <c r="A11" s="372">
        <v>45177.0</v>
      </c>
      <c r="B11" s="373">
        <f>sumifs('KIDS&amp;ADULTS'!$Z$3:$Z$1015,'KIDS&amp;ADULTS'!$V$3:$V$1015,A11,'KIDS&amp;ADULTS'!$M$3:$M$1015,$B$3)</f>
        <v>0</v>
      </c>
      <c r="C11" s="373">
        <f>sumifs('KIDS&amp;ADULTS'!$Z$3:$Z$1015,'KIDS&amp;ADULTS'!$V$3:$V$1015,A11,'KIDS&amp;ADULTS'!$M$3:$M$1015,"phương")</f>
        <v>0</v>
      </c>
      <c r="D11" s="373">
        <f>sumifs('KIDS&amp;ADULTS'!$Z$3:$Z$1015,'KIDS&amp;ADULTS'!$V$3:$V$1015,A11,'KIDS&amp;ADULTS'!$M$3:$M$1015,$D$3)</f>
        <v>0</v>
      </c>
      <c r="E11" s="373">
        <f>sumifs('KIDS&amp;ADULTS'!$Z$3:$Z$1015,'KIDS&amp;ADULTS'!$V$3:$V$1015,A11,'KIDS&amp;ADULTS'!$M$3:$M$1015,"Ánh")</f>
        <v>5328000</v>
      </c>
      <c r="F11" s="373">
        <f>sumifs('KIDS&amp;ADULTS'!$Z$3:$Z$1015,'KIDS&amp;ADULTS'!$V$3:$V$1015,A11,'KIDS&amp;ADULTS'!$M$3:$M$1015,"Loan")</f>
        <v>0</v>
      </c>
      <c r="G11" s="373">
        <f t="shared" si="1"/>
        <v>5328000</v>
      </c>
      <c r="J11" s="372">
        <v>45177.0</v>
      </c>
      <c r="K11" s="374">
        <f>COUNTIFS('KIDS&amp;ADULTS'!$A$3:$A$12008,J11,'KIDS&amp;ADULTS'!$B$3:$B$12008,$K$3)</f>
        <v>0</v>
      </c>
      <c r="L11" s="374">
        <f>COUNTIFS('KIDS&amp;ADULTS'!$A$3:$A$12008,J11,'KIDS&amp;ADULTS'!$B$3:$B$12008,$L$3)</f>
        <v>0</v>
      </c>
      <c r="M11" s="374">
        <f>COUNTIFS('KIDS&amp;ADULTS'!$A$3:$A$12008,J11,'KIDS&amp;ADULTS'!$B$3:$B$12008,$M$3)</f>
        <v>0</v>
      </c>
      <c r="N11" s="375">
        <f>COUNTIFS('KIDS&amp;ADULTS'!$A$3:$A$12008,J11,'KIDS&amp;ADULTS'!$B$3:$B$12008,$N$3)</f>
        <v>0</v>
      </c>
      <c r="O11" s="375">
        <f>COUNTIFS('KIDS&amp;ADULTS'!$A$3:$A$12008,J11,'KIDS&amp;ADULTS'!$B$3:$B$12008,$O$3)</f>
        <v>0</v>
      </c>
      <c r="P11" s="375">
        <f>COUNTIFS('KIDS&amp;ADULTS'!$A$3:$A$12008,J11,'KIDS&amp;ADULTS'!$B$3:$B$12008,$P$3)</f>
        <v>0</v>
      </c>
      <c r="Q11" s="375">
        <f>COUNTIFS('KIDS&amp;ADULTS'!$A$3:$A$1008,J11,'KIDS&amp;ADULTS'!$B$3:$B$1008,$Q$3)</f>
        <v>0</v>
      </c>
      <c r="R11" s="374">
        <f>COUNTIFS('KIDS&amp;ADULTS'!$A$3:$A$12008,J11,'KIDS&amp;ADULTS'!$B$3:$B$12008,$R$3)</f>
        <v>0</v>
      </c>
      <c r="U11" s="372">
        <f t="shared" si="3"/>
        <v>45177</v>
      </c>
      <c r="V11" s="376">
        <f>COUNTIFS('KIDS&amp;ADULTS'!$V$3:$V$12006,U11,'KIDS&amp;ADULTS'!$B$3:$B$12006,$K$3,'KIDS&amp;ADULTS'!$N$3:$N$12006,"Đã đóng học phí")</f>
        <v>0</v>
      </c>
      <c r="W11" s="376">
        <f>COUNTIFS('KIDS&amp;ADULTS'!$V$3:$V$12006,U11,'KIDS&amp;ADULTS'!$B$3:$B12013,$W$3,'KIDS&amp;ADULTS'!$N$3:$N$12006,"Đã đóng học phí")</f>
        <v>0</v>
      </c>
      <c r="X11" s="376">
        <f>COUNTIFS('KIDS&amp;ADULTS'!$V$3:$V$12006,U11,'KIDS&amp;ADULTS'!$B$3:$B$12006,$X$3,'KIDS&amp;ADULTS'!$N$3:$N$12006,"Đã đóng học phí")</f>
        <v>0</v>
      </c>
      <c r="Y11" s="376">
        <f>COUNTIFS('KIDS&amp;ADULTS'!$V$3:$V$12006,U11,'KIDS&amp;ADULTS'!$B$3:$B$12006,$Y$3,'KIDS&amp;ADULTS'!$N$3:$N$12006,"Đã đóng học phí")</f>
        <v>0</v>
      </c>
      <c r="Z11" s="376">
        <f>COUNTIFS('KIDS&amp;ADULTS'!$V$3:$V$12006,U11,'KIDS&amp;ADULTS'!$B$3:$B$12006,$Z$3,'KIDS&amp;ADULTS'!$N$3:$N$12006,"Đã đóng học phí")</f>
        <v>0</v>
      </c>
      <c r="AA11" s="376">
        <f>COUNTIFS('KIDS&amp;ADULTS'!$V$3:$V$12006,U11,'KIDS&amp;ADULTS'!$B$3:$B$12006,$AA$3,'KIDS&amp;ADULTS'!$N$3:$N$12006,"Đã đóng học phí")</f>
        <v>1</v>
      </c>
      <c r="AB11" s="376">
        <f>COUNTIFS('KIDS&amp;ADULTS'!$V$3:$V$12006,U11,'KIDS&amp;ADULTS'!$B$3:$B$12006,$AB$3,'KIDS&amp;ADULTS'!$N$3:$N$12006,"Đã đóng học phí")</f>
        <v>0</v>
      </c>
      <c r="AC11" s="376">
        <f>COUNTIFS('KIDS&amp;ADULTS'!$V$3:$V$12006,U11,'KIDS&amp;ADULTS'!$B$3:$B$12006,$AC$3,'KIDS&amp;ADULTS'!$N$3:$N$12006,"Đã đóng học phí")</f>
        <v>0</v>
      </c>
    </row>
    <row r="12" ht="15.75" customHeight="1">
      <c r="A12" s="372">
        <v>45178.0</v>
      </c>
      <c r="B12" s="373">
        <f>sumifs('KIDS&amp;ADULTS'!$Z$3:$Z$1015,'KIDS&amp;ADULTS'!$V$3:$V$1015,A12,'KIDS&amp;ADULTS'!$M$3:$M$1015,$B$3)</f>
        <v>0</v>
      </c>
      <c r="C12" s="373">
        <f>sumifs('KIDS&amp;ADULTS'!$Z$3:$Z$1015,'KIDS&amp;ADULTS'!$V$3:$V$1015,A12,'KIDS&amp;ADULTS'!$M$3:$M$1015,"phương")</f>
        <v>0</v>
      </c>
      <c r="D12" s="373">
        <f>sumifs('KIDS&amp;ADULTS'!$Z$3:$Z$1015,'KIDS&amp;ADULTS'!$V$3:$V$1015,A12,'KIDS&amp;ADULTS'!$M$3:$M$1015,$D$3)</f>
        <v>0</v>
      </c>
      <c r="E12" s="373">
        <f>sumifs('KIDS&amp;ADULTS'!$Z$3:$Z$1015,'KIDS&amp;ADULTS'!$V$3:$V$1015,A12,'KIDS&amp;ADULTS'!$M$3:$M$1015,"Ánh")</f>
        <v>12035000</v>
      </c>
      <c r="F12" s="373">
        <f>sumifs('KIDS&amp;ADULTS'!$Z$3:$Z$1015,'KIDS&amp;ADULTS'!$V$3:$V$1015,A12,'KIDS&amp;ADULTS'!$M$3:$M$1015,"Loan")</f>
        <v>0</v>
      </c>
      <c r="G12" s="373">
        <f t="shared" si="1"/>
        <v>12035000</v>
      </c>
      <c r="J12" s="372">
        <v>45178.0</v>
      </c>
      <c r="K12" s="374">
        <f>COUNTIFS('KIDS&amp;ADULTS'!$A$3:$A$12008,J12,'KIDS&amp;ADULTS'!$B$3:$B$12008,$K$3)</f>
        <v>0</v>
      </c>
      <c r="L12" s="374">
        <f>COUNTIFS('KIDS&amp;ADULTS'!$A$3:$A$12008,J12,'KIDS&amp;ADULTS'!$B$3:$B$12008,$L$3)</f>
        <v>0</v>
      </c>
      <c r="M12" s="374">
        <f>COUNTIFS('KIDS&amp;ADULTS'!$A$3:$A$12008,J12,'KIDS&amp;ADULTS'!$B$3:$B$12008,$M$3)</f>
        <v>0</v>
      </c>
      <c r="N12" s="375">
        <f>COUNTIFS('KIDS&amp;ADULTS'!$A$3:$A$12008,J12,'KIDS&amp;ADULTS'!$B$3:$B$12008,$N$3)</f>
        <v>0</v>
      </c>
      <c r="O12" s="375">
        <f>COUNTIFS('KIDS&amp;ADULTS'!$A$3:$A$12008,J12,'KIDS&amp;ADULTS'!$B$3:$B$12008,$O$3)</f>
        <v>0</v>
      </c>
      <c r="P12" s="375">
        <f>COUNTIFS('KIDS&amp;ADULTS'!$A$3:$A$12008,J12,'KIDS&amp;ADULTS'!$B$3:$B$12008,$P$3)</f>
        <v>0</v>
      </c>
      <c r="Q12" s="375">
        <f>COUNTIFS('KIDS&amp;ADULTS'!$A$3:$A$1008,J12,'KIDS&amp;ADULTS'!$B$3:$B$1008,$Q$3)</f>
        <v>0</v>
      </c>
      <c r="R12" s="374">
        <f>COUNTIFS('KIDS&amp;ADULTS'!$A$3:$A$12008,J12,'KIDS&amp;ADULTS'!$B$3:$B$12008,$R$3)</f>
        <v>0</v>
      </c>
      <c r="U12" s="372">
        <f t="shared" si="3"/>
        <v>45178</v>
      </c>
      <c r="V12" s="376">
        <f>COUNTIFS('KIDS&amp;ADULTS'!$V$3:$V$12006,U12,'KIDS&amp;ADULTS'!$B$3:$B$12006,$K$3,'KIDS&amp;ADULTS'!$N$3:$N$12006,"Đã đóng học phí")</f>
        <v>0</v>
      </c>
      <c r="W12" s="376">
        <f>COUNTIFS('KIDS&amp;ADULTS'!$V$3:$V$12006,U12,'KIDS&amp;ADULTS'!$B$3:$B12014,$W$3,'KIDS&amp;ADULTS'!$N$3:$N$12006,"Đã đóng học phí")</f>
        <v>0</v>
      </c>
      <c r="X12" s="376">
        <f>COUNTIFS('KIDS&amp;ADULTS'!$V$3:$V$12006,U12,'KIDS&amp;ADULTS'!$B$3:$B$12006,$X$3,'KIDS&amp;ADULTS'!$N$3:$N$12006,"Đã đóng học phí")</f>
        <v>0</v>
      </c>
      <c r="Y12" s="376">
        <f>COUNTIFS('KIDS&amp;ADULTS'!$V$3:$V$12006,U12,'KIDS&amp;ADULTS'!$B$3:$B$12006,$Y$3,'KIDS&amp;ADULTS'!$N$3:$N$12006,"Đã đóng học phí")</f>
        <v>1</v>
      </c>
      <c r="Z12" s="376">
        <f>COUNTIFS('KIDS&amp;ADULTS'!$V$3:$V$12006,U12,'KIDS&amp;ADULTS'!$B$3:$B$12006,$Z$3,'KIDS&amp;ADULTS'!$N$3:$N$12006,"Đã đóng học phí")</f>
        <v>0</v>
      </c>
      <c r="AA12" s="376">
        <f>COUNTIFS('KIDS&amp;ADULTS'!$V$3:$V$12006,U12,'KIDS&amp;ADULTS'!$B$3:$B$12006,$AA$3,'KIDS&amp;ADULTS'!$N$3:$N$12006,"Đã đóng học phí")</f>
        <v>0</v>
      </c>
      <c r="AB12" s="376">
        <f>COUNTIFS('KIDS&amp;ADULTS'!$V$3:$V$12006,U12,'KIDS&amp;ADULTS'!$B$3:$B$12006,$AB$3,'KIDS&amp;ADULTS'!$N$3:$N$12006,"Đã đóng học phí")</f>
        <v>0</v>
      </c>
      <c r="AC12" s="376">
        <f>COUNTIFS('KIDS&amp;ADULTS'!$V$3:$V$12006,U12,'KIDS&amp;ADULTS'!$B$3:$B$12006,$AC$3,'KIDS&amp;ADULTS'!$N$3:$N$12006,"Đã đóng học phí")</f>
        <v>0</v>
      </c>
    </row>
    <row r="13" ht="15.75" customHeight="1">
      <c r="A13" s="372">
        <v>45179.0</v>
      </c>
      <c r="B13" s="373">
        <f>sumifs('KIDS&amp;ADULTS'!$Z$3:$Z$1015,'KIDS&amp;ADULTS'!$V$3:$V$1015,A13,'KIDS&amp;ADULTS'!$M$3:$M$1015,$B$3)</f>
        <v>0</v>
      </c>
      <c r="C13" s="373">
        <f>sumifs('KIDS&amp;ADULTS'!$Z$3:$Z$1015,'KIDS&amp;ADULTS'!$V$3:$V$1015,A13,'KIDS&amp;ADULTS'!$M$3:$M$1015,"phương")</f>
        <v>0</v>
      </c>
      <c r="D13" s="373">
        <f>sumifs('KIDS&amp;ADULTS'!$Z$3:$Z$1015,'KIDS&amp;ADULTS'!$V$3:$V$1015,A13,'KIDS&amp;ADULTS'!$M$3:$M$1015,$D$3)</f>
        <v>0</v>
      </c>
      <c r="E13" s="373">
        <f>sumifs('KIDS&amp;ADULTS'!$Z$3:$Z$1015,'KIDS&amp;ADULTS'!$V$3:$V$1015,A13,'KIDS&amp;ADULTS'!$M$3:$M$1015,"Ánh")</f>
        <v>4176000</v>
      </c>
      <c r="F13" s="373">
        <f>sumifs('KIDS&amp;ADULTS'!$Z$3:$Z$1015,'KIDS&amp;ADULTS'!$V$3:$V$1015,A13,'KIDS&amp;ADULTS'!$M$3:$M$1015,"Loan")</f>
        <v>0</v>
      </c>
      <c r="G13" s="373">
        <f t="shared" si="1"/>
        <v>4176000</v>
      </c>
      <c r="J13" s="372">
        <v>45179.0</v>
      </c>
      <c r="K13" s="374">
        <f>COUNTIFS('KIDS&amp;ADULTS'!$A$3:$A$12008,J13,'KIDS&amp;ADULTS'!$B$3:$B$12008,$K$3)</f>
        <v>0</v>
      </c>
      <c r="L13" s="374">
        <f>COUNTIFS('KIDS&amp;ADULTS'!$A$3:$A$12008,J13,'KIDS&amp;ADULTS'!$B$3:$B$12008,$L$3)</f>
        <v>0</v>
      </c>
      <c r="M13" s="374">
        <f>COUNTIFS('KIDS&amp;ADULTS'!$A$3:$A$12008,J13,'KIDS&amp;ADULTS'!$B$3:$B$12008,$M$3)</f>
        <v>0</v>
      </c>
      <c r="N13" s="375">
        <f>COUNTIFS('KIDS&amp;ADULTS'!$A$3:$A$12008,J13,'KIDS&amp;ADULTS'!$B$3:$B$12008,$N$3)</f>
        <v>0</v>
      </c>
      <c r="O13" s="375">
        <f>COUNTIFS('KIDS&amp;ADULTS'!$A$3:$A$12008,J13,'KIDS&amp;ADULTS'!$B$3:$B$12008,$O$3)</f>
        <v>0</v>
      </c>
      <c r="P13" s="375">
        <f>COUNTIFS('KIDS&amp;ADULTS'!$A$3:$A$12008,J13,'KIDS&amp;ADULTS'!$B$3:$B$12008,$P$3)</f>
        <v>0</v>
      </c>
      <c r="Q13" s="375">
        <f>COUNTIFS('KIDS&amp;ADULTS'!$A$3:$A$1008,J13,'KIDS&amp;ADULTS'!$B$3:$B$1008,$Q$3)</f>
        <v>0</v>
      </c>
      <c r="R13" s="374">
        <f>COUNTIFS('KIDS&amp;ADULTS'!$A$3:$A$12008,J13,'KIDS&amp;ADULTS'!$B$3:$B$12008,$R$3)</f>
        <v>0</v>
      </c>
      <c r="U13" s="372">
        <f t="shared" si="3"/>
        <v>45179</v>
      </c>
      <c r="V13" s="376">
        <f>COUNTIFS('KIDS&amp;ADULTS'!$V$3:$V$12006,U13,'KIDS&amp;ADULTS'!$B$3:$B$12006,$K$3,'KIDS&amp;ADULTS'!$N$3:$N$12006,"Đã đóng học phí")</f>
        <v>0</v>
      </c>
      <c r="W13" s="376">
        <f>COUNTIFS('KIDS&amp;ADULTS'!$V$3:$V$12006,U13,'KIDS&amp;ADULTS'!$B$3:$B12015,$W$3,'KIDS&amp;ADULTS'!$N$3:$N$12006,"Đã đóng học phí")</f>
        <v>0</v>
      </c>
      <c r="X13" s="376">
        <f>COUNTIFS('KIDS&amp;ADULTS'!$V$3:$V$12006,U13,'KIDS&amp;ADULTS'!$B$3:$B$12006,$X$3,'KIDS&amp;ADULTS'!$N$3:$N$12006,"Đã đóng học phí")</f>
        <v>0</v>
      </c>
      <c r="Y13" s="376">
        <f>COUNTIFS('KIDS&amp;ADULTS'!$V$3:$V$12006,U13,'KIDS&amp;ADULTS'!$B$3:$B$12006,$Y$3,'KIDS&amp;ADULTS'!$N$3:$N$12006,"Đã đóng học phí")</f>
        <v>0</v>
      </c>
      <c r="Z13" s="376">
        <f>COUNTIFS('KIDS&amp;ADULTS'!$V$3:$V$12006,U13,'KIDS&amp;ADULTS'!$B$3:$B$12006,$Z$3,'KIDS&amp;ADULTS'!$N$3:$N$12006,"Đã đóng học phí")</f>
        <v>0</v>
      </c>
      <c r="AA13" s="376">
        <f>COUNTIFS('KIDS&amp;ADULTS'!$V$3:$V$12006,U13,'KIDS&amp;ADULTS'!$B$3:$B$12006,$AA$3,'KIDS&amp;ADULTS'!$N$3:$N$12006,"Đã đóng học phí")</f>
        <v>0</v>
      </c>
      <c r="AB13" s="376">
        <f>COUNTIFS('KIDS&amp;ADULTS'!$V$3:$V$12006,U13,'KIDS&amp;ADULTS'!$B$3:$B$12006,$AB$3,'KIDS&amp;ADULTS'!$N$3:$N$12006,"Đã đóng học phí")</f>
        <v>0</v>
      </c>
      <c r="AC13" s="376">
        <f>COUNTIFS('KIDS&amp;ADULTS'!$V$3:$V$12006,U13,'KIDS&amp;ADULTS'!$B$3:$B$12006,$AC$3,'KIDS&amp;ADULTS'!$N$3:$N$12006,"Đã đóng học phí")</f>
        <v>0</v>
      </c>
    </row>
    <row r="14" ht="15.75" customHeight="1">
      <c r="A14" s="372">
        <v>45180.0</v>
      </c>
      <c r="B14" s="373">
        <f>sumifs('KIDS&amp;ADULTS'!$Z$3:$Z$1015,'KIDS&amp;ADULTS'!$V$3:$V$1015,A14,'KIDS&amp;ADULTS'!$M$3:$M$1015,$B$3)</f>
        <v>0</v>
      </c>
      <c r="C14" s="373">
        <f>sumifs('KIDS&amp;ADULTS'!$Z$3:$Z$1015,'KIDS&amp;ADULTS'!$V$3:$V$1015,A14,'KIDS&amp;ADULTS'!$M$3:$M$1015,"phương")</f>
        <v>0</v>
      </c>
      <c r="D14" s="373">
        <f>sumifs('KIDS&amp;ADULTS'!$Z$3:$Z$1015,'KIDS&amp;ADULTS'!$V$3:$V$1015,A14,'KIDS&amp;ADULTS'!$M$3:$M$1015,$D$3)</f>
        <v>0</v>
      </c>
      <c r="E14" s="373">
        <f>sumifs('KIDS&amp;ADULTS'!$Z$3:$Z$1015,'KIDS&amp;ADULTS'!$V$3:$V$1015,A14,'KIDS&amp;ADULTS'!$M$3:$M$1015,"Ánh")</f>
        <v>5512000</v>
      </c>
      <c r="F14" s="373">
        <f>sumifs('KIDS&amp;ADULTS'!$Z$3:$Z$1015,'KIDS&amp;ADULTS'!$V$3:$V$1015,A14,'KIDS&amp;ADULTS'!$M$3:$M$1015,"Loan")</f>
        <v>0</v>
      </c>
      <c r="G14" s="373">
        <f t="shared" si="1"/>
        <v>5512000</v>
      </c>
      <c r="J14" s="372">
        <v>45180.0</v>
      </c>
      <c r="K14" s="374">
        <f>COUNTIFS('KIDS&amp;ADULTS'!$A$3:$A$12008,J14,'KIDS&amp;ADULTS'!$B$3:$B$12008,$K$3)</f>
        <v>0</v>
      </c>
      <c r="L14" s="374">
        <f>COUNTIFS('KIDS&amp;ADULTS'!$A$3:$A$12008,J14,'KIDS&amp;ADULTS'!$B$3:$B$12008,$L$3)</f>
        <v>0</v>
      </c>
      <c r="M14" s="374">
        <f>COUNTIFS('KIDS&amp;ADULTS'!$A$3:$A$12008,J14,'KIDS&amp;ADULTS'!$B$3:$B$12008,$M$3)</f>
        <v>0</v>
      </c>
      <c r="N14" s="375">
        <f>COUNTIFS('KIDS&amp;ADULTS'!$A$3:$A$12008,J14,'KIDS&amp;ADULTS'!$B$3:$B$12008,$N$3)</f>
        <v>1</v>
      </c>
      <c r="O14" s="375">
        <f>COUNTIFS('KIDS&amp;ADULTS'!$A$3:$A$12008,J14,'KIDS&amp;ADULTS'!$B$3:$B$12008,$O$3)</f>
        <v>0</v>
      </c>
      <c r="P14" s="375">
        <f>COUNTIFS('KIDS&amp;ADULTS'!$A$3:$A$12008,J14,'KIDS&amp;ADULTS'!$B$3:$B$12008,$P$3)</f>
        <v>0</v>
      </c>
      <c r="Q14" s="375">
        <f>COUNTIFS('KIDS&amp;ADULTS'!$A$3:$A$1008,J14,'KIDS&amp;ADULTS'!$B$3:$B$1008,$Q$3)</f>
        <v>0</v>
      </c>
      <c r="R14" s="374">
        <f>COUNTIFS('KIDS&amp;ADULTS'!$A$3:$A$12008,J14,'KIDS&amp;ADULTS'!$B$3:$B$12008,$R$3)</f>
        <v>0</v>
      </c>
      <c r="U14" s="372">
        <f t="shared" si="3"/>
        <v>45180</v>
      </c>
      <c r="V14" s="376">
        <f>COUNTIFS('KIDS&amp;ADULTS'!$V$3:$V$12006,U14,'KIDS&amp;ADULTS'!$B$3:$B$12006,$K$3,'KIDS&amp;ADULTS'!$N$3:$N$12006,"Đã đóng học phí")</f>
        <v>0</v>
      </c>
      <c r="W14" s="376">
        <f>COUNTIFS('KIDS&amp;ADULTS'!$V$3:$V$12006,U14,'KIDS&amp;ADULTS'!$B$3:$B12016,$W$3,'KIDS&amp;ADULTS'!$N$3:$N$12006,"Đã đóng học phí")</f>
        <v>0</v>
      </c>
      <c r="X14" s="376">
        <f>COUNTIFS('KIDS&amp;ADULTS'!$V$3:$V$12006,U14,'KIDS&amp;ADULTS'!$B$3:$B$12006,$X$3,'KIDS&amp;ADULTS'!$N$3:$N$12006,"Đã đóng học phí")</f>
        <v>0</v>
      </c>
      <c r="Y14" s="376">
        <f>COUNTIFS('KIDS&amp;ADULTS'!$V$3:$V$12006,U14,'KIDS&amp;ADULTS'!$B$3:$B$12006,$Y$3,'KIDS&amp;ADULTS'!$N$3:$N$12006,"Đã đóng học phí")</f>
        <v>1</v>
      </c>
      <c r="Z14" s="376">
        <f>COUNTIFS('KIDS&amp;ADULTS'!$V$3:$V$12006,U14,'KIDS&amp;ADULTS'!$B$3:$B$12006,$Z$3,'KIDS&amp;ADULTS'!$N$3:$N$12006,"Đã đóng học phí")</f>
        <v>0</v>
      </c>
      <c r="AA14" s="376">
        <f>COUNTIFS('KIDS&amp;ADULTS'!$V$3:$V$12006,U14,'KIDS&amp;ADULTS'!$B$3:$B$12006,$AA$3,'KIDS&amp;ADULTS'!$N$3:$N$12006,"Đã đóng học phí")</f>
        <v>0</v>
      </c>
      <c r="AB14" s="376">
        <f>COUNTIFS('KIDS&amp;ADULTS'!$V$3:$V$12006,U14,'KIDS&amp;ADULTS'!$B$3:$B$12006,$AB$3,'KIDS&amp;ADULTS'!$N$3:$N$12006,"Đã đóng học phí")</f>
        <v>0</v>
      </c>
      <c r="AC14" s="376">
        <f>COUNTIFS('KIDS&amp;ADULTS'!$V$3:$V$12006,U14,'KIDS&amp;ADULTS'!$B$3:$B$12006,$AC$3,'KIDS&amp;ADULTS'!$N$3:$N$12006,"Đã đóng học phí")</f>
        <v>0</v>
      </c>
    </row>
    <row r="15" ht="15.75" customHeight="1">
      <c r="A15" s="372">
        <v>45181.0</v>
      </c>
      <c r="B15" s="373">
        <f>sumifs('KIDS&amp;ADULTS'!$Z$3:$Z$1015,'KIDS&amp;ADULTS'!$V$3:$V$1015,A15,'KIDS&amp;ADULTS'!$M$3:$M$1015,$B$3)</f>
        <v>0</v>
      </c>
      <c r="C15" s="373">
        <f>sumifs('KIDS&amp;ADULTS'!$Z$3:$Z$1015,'KIDS&amp;ADULTS'!$V$3:$V$1015,A15,'KIDS&amp;ADULTS'!$M$3:$M$1015,"phương")</f>
        <v>0</v>
      </c>
      <c r="D15" s="373">
        <f>sumifs('KIDS&amp;ADULTS'!$Z$3:$Z$1015,'KIDS&amp;ADULTS'!$V$3:$V$1015,A15,'KIDS&amp;ADULTS'!$M$3:$M$1015,$D$3)</f>
        <v>0</v>
      </c>
      <c r="E15" s="373">
        <f>sumifs('KIDS&amp;ADULTS'!$Z$3:$Z$1015,'KIDS&amp;ADULTS'!$V$3:$V$1015,A15,'KIDS&amp;ADULTS'!$M$3:$M$1015,"Ánh")</f>
        <v>2664000</v>
      </c>
      <c r="F15" s="373">
        <f>sumifs('KIDS&amp;ADULTS'!$Z$3:$Z$1015,'KIDS&amp;ADULTS'!$V$3:$V$1015,A15,'KIDS&amp;ADULTS'!$M$3:$M$1015,"Loan")</f>
        <v>0</v>
      </c>
      <c r="G15" s="373">
        <f t="shared" si="1"/>
        <v>2664000</v>
      </c>
      <c r="J15" s="372">
        <v>45181.0</v>
      </c>
      <c r="K15" s="374">
        <f>COUNTIFS('KIDS&amp;ADULTS'!$A$3:$A$12008,J15,'KIDS&amp;ADULTS'!$B$3:$B$12008,$K$3)</f>
        <v>0</v>
      </c>
      <c r="L15" s="374">
        <f>COUNTIFS('KIDS&amp;ADULTS'!$A$3:$A$12008,J15,'KIDS&amp;ADULTS'!$B$3:$B$12008,$L$3)</f>
        <v>0</v>
      </c>
      <c r="M15" s="374">
        <f>COUNTIFS('KIDS&amp;ADULTS'!$A$3:$A$12008,J15,'KIDS&amp;ADULTS'!$B$3:$B$12008,$M$3)</f>
        <v>0</v>
      </c>
      <c r="N15" s="375">
        <f>COUNTIFS('KIDS&amp;ADULTS'!$A$3:$A$12008,J15,'KIDS&amp;ADULTS'!$B$3:$B$12008,$N$3)</f>
        <v>0</v>
      </c>
      <c r="O15" s="375">
        <f>COUNTIFS('KIDS&amp;ADULTS'!$A$3:$A$12008,J15,'KIDS&amp;ADULTS'!$B$3:$B$12008,$O$3)</f>
        <v>0</v>
      </c>
      <c r="P15" s="375">
        <f>COUNTIFS('KIDS&amp;ADULTS'!$A$3:$A$12008,J15,'KIDS&amp;ADULTS'!$B$3:$B$12008,$P$3)</f>
        <v>0</v>
      </c>
      <c r="Q15" s="375">
        <f>COUNTIFS('KIDS&amp;ADULTS'!$A$3:$A$1008,J15,'KIDS&amp;ADULTS'!$B$3:$B$1008,$Q$3)</f>
        <v>0</v>
      </c>
      <c r="R15" s="374">
        <f>COUNTIFS('KIDS&amp;ADULTS'!$A$3:$A$12008,J15,'KIDS&amp;ADULTS'!$B$3:$B$12008,$R$3)</f>
        <v>0</v>
      </c>
      <c r="U15" s="372">
        <f t="shared" si="3"/>
        <v>45181</v>
      </c>
      <c r="V15" s="376">
        <f>COUNTIFS('KIDS&amp;ADULTS'!$V$3:$V$12006,U15,'KIDS&amp;ADULTS'!$B$3:$B$12006,$K$3,'KIDS&amp;ADULTS'!$N$3:$N$12006,"Đã đóng học phí")</f>
        <v>0</v>
      </c>
      <c r="W15" s="376">
        <f>COUNTIFS('KIDS&amp;ADULTS'!$V$3:$V$12006,U15,'KIDS&amp;ADULTS'!$B$3:$B12017,$W$3,'KIDS&amp;ADULTS'!$N$3:$N$12006,"Đã đóng học phí")</f>
        <v>0</v>
      </c>
      <c r="X15" s="376">
        <f>COUNTIFS('KIDS&amp;ADULTS'!$V$3:$V$12006,U15,'KIDS&amp;ADULTS'!$B$3:$B$12006,$X$3,'KIDS&amp;ADULTS'!$N$3:$N$12006,"Đã đóng học phí")</f>
        <v>0</v>
      </c>
      <c r="Y15" s="376">
        <f>COUNTIFS('KIDS&amp;ADULTS'!$V$3:$V$12006,U15,'KIDS&amp;ADULTS'!$B$3:$B$12006,$Y$3,'KIDS&amp;ADULTS'!$N$3:$N$12006,"Đã đóng học phí")</f>
        <v>0</v>
      </c>
      <c r="Z15" s="376">
        <f>COUNTIFS('KIDS&amp;ADULTS'!$V$3:$V$12006,U15,'KIDS&amp;ADULTS'!$B$3:$B$12006,$Z$3,'KIDS&amp;ADULTS'!$N$3:$N$12006,"Đã đóng học phí")</f>
        <v>1</v>
      </c>
      <c r="AA15" s="376">
        <f>COUNTIFS('KIDS&amp;ADULTS'!$V$3:$V$12006,U15,'KIDS&amp;ADULTS'!$B$3:$B$12006,$AA$3,'KIDS&amp;ADULTS'!$N$3:$N$12006,"Đã đóng học phí")</f>
        <v>0</v>
      </c>
      <c r="AB15" s="376">
        <f>COUNTIFS('KIDS&amp;ADULTS'!$V$3:$V$12006,U15,'KIDS&amp;ADULTS'!$B$3:$B$12006,$AB$3,'KIDS&amp;ADULTS'!$N$3:$N$12006,"Đã đóng học phí")</f>
        <v>0</v>
      </c>
      <c r="AC15" s="376">
        <f>COUNTIFS('KIDS&amp;ADULTS'!$V$3:$V$12006,U15,'KIDS&amp;ADULTS'!$B$3:$B$12006,$AC$3,'KIDS&amp;ADULTS'!$N$3:$N$12006,"Đã đóng học phí")</f>
        <v>0</v>
      </c>
    </row>
    <row r="16" ht="15.75" customHeight="1">
      <c r="A16" s="372">
        <v>45182.0</v>
      </c>
      <c r="B16" s="373">
        <f>sumifs('KIDS&amp;ADULTS'!$Z$3:$Z$1015,'KIDS&amp;ADULTS'!$V$3:$V$1015,A16,'KIDS&amp;ADULTS'!$M$3:$M$1015,$B$3)</f>
        <v>0</v>
      </c>
      <c r="C16" s="373">
        <f>sumifs('KIDS&amp;ADULTS'!$Z$3:$Z$1015,'KIDS&amp;ADULTS'!$V$3:$V$1015,A16,'KIDS&amp;ADULTS'!$M$3:$M$1015,"phương")</f>
        <v>0</v>
      </c>
      <c r="D16" s="373">
        <f>sumifs('KIDS&amp;ADULTS'!$Z$3:$Z$1015,'KIDS&amp;ADULTS'!$V$3:$V$1015,A16,'KIDS&amp;ADULTS'!$M$3:$M$1015,$D$3)</f>
        <v>0</v>
      </c>
      <c r="E16" s="373">
        <f>sumifs('KIDS&amp;ADULTS'!$Z$3:$Z$1015,'KIDS&amp;ADULTS'!$V$3:$V$1015,A16,'KIDS&amp;ADULTS'!$M$3:$M$1015,"Ánh")</f>
        <v>0</v>
      </c>
      <c r="F16" s="373">
        <f>sumifs('KIDS&amp;ADULTS'!$Z$3:$Z$1015,'KIDS&amp;ADULTS'!$V$3:$V$1015,A16,'KIDS&amp;ADULTS'!$M$3:$M$1015,"Loan")</f>
        <v>0</v>
      </c>
      <c r="G16" s="373">
        <f t="shared" si="1"/>
        <v>0</v>
      </c>
      <c r="J16" s="372">
        <v>45182.0</v>
      </c>
      <c r="K16" s="374">
        <f>COUNTIFS('KIDS&amp;ADULTS'!$A$3:$A$12008,J16,'KIDS&amp;ADULTS'!$B$3:$B$12008,$K$3)</f>
        <v>0</v>
      </c>
      <c r="L16" s="374">
        <f>COUNTIFS('KIDS&amp;ADULTS'!$A$3:$A$12008,J16,'KIDS&amp;ADULTS'!$B$3:$B$12008,$L$3)</f>
        <v>0</v>
      </c>
      <c r="M16" s="374">
        <f>COUNTIFS('KIDS&amp;ADULTS'!$A$3:$A$12008,J16,'KIDS&amp;ADULTS'!$B$3:$B$12008,$M$3)</f>
        <v>0</v>
      </c>
      <c r="N16" s="375">
        <f>COUNTIFS('KIDS&amp;ADULTS'!$A$3:$A$12008,J16,'KIDS&amp;ADULTS'!$B$3:$B$12008,$N$3)</f>
        <v>0</v>
      </c>
      <c r="O16" s="375">
        <f>COUNTIFS('KIDS&amp;ADULTS'!$A$3:$A$12008,J16,'KIDS&amp;ADULTS'!$B$3:$B$12008,$O$3)</f>
        <v>0</v>
      </c>
      <c r="P16" s="375">
        <f>COUNTIFS('KIDS&amp;ADULTS'!$A$3:$A$12008,J16,'KIDS&amp;ADULTS'!$B$3:$B$12008,$P$3)</f>
        <v>0</v>
      </c>
      <c r="Q16" s="375">
        <f>COUNTIFS('KIDS&amp;ADULTS'!$A$3:$A$1008,J16,'KIDS&amp;ADULTS'!$B$3:$B$1008,$Q$3)</f>
        <v>0</v>
      </c>
      <c r="R16" s="374">
        <f>COUNTIFS('KIDS&amp;ADULTS'!$A$3:$A$12008,J16,'KIDS&amp;ADULTS'!$B$3:$B$12008,$R$3)</f>
        <v>0</v>
      </c>
      <c r="U16" s="372">
        <f t="shared" si="3"/>
        <v>45182</v>
      </c>
      <c r="V16" s="376">
        <f>COUNTIFS('KIDS&amp;ADULTS'!$V$3:$V$12006,U16,'KIDS&amp;ADULTS'!$B$3:$B$12006,$K$3,'KIDS&amp;ADULTS'!$N$3:$N$12006,"Đã đóng học phí")</f>
        <v>0</v>
      </c>
      <c r="W16" s="376">
        <f>COUNTIFS('KIDS&amp;ADULTS'!$V$3:$V$12006,U16,'KIDS&amp;ADULTS'!$B$3:$B12018,$W$3,'KIDS&amp;ADULTS'!$N$3:$N$12006,"Đã đóng học phí")</f>
        <v>0</v>
      </c>
      <c r="X16" s="376">
        <f>COUNTIFS('KIDS&amp;ADULTS'!$V$3:$V$12006,U16,'KIDS&amp;ADULTS'!$B$3:$B$12006,$X$3,'KIDS&amp;ADULTS'!$N$3:$N$12006,"Đã đóng học phí")</f>
        <v>0</v>
      </c>
      <c r="Y16" s="376">
        <f>COUNTIFS('KIDS&amp;ADULTS'!$V$3:$V$12006,U16,'KIDS&amp;ADULTS'!$B$3:$B$12006,$Y$3,'KIDS&amp;ADULTS'!$N$3:$N$12006,"Đã đóng học phí")</f>
        <v>0</v>
      </c>
      <c r="Z16" s="376">
        <f>COUNTIFS('KIDS&amp;ADULTS'!$V$3:$V$12006,U16,'KIDS&amp;ADULTS'!$B$3:$B$12006,$Z$3,'KIDS&amp;ADULTS'!$N$3:$N$12006,"Đã đóng học phí")</f>
        <v>0</v>
      </c>
      <c r="AA16" s="376">
        <f>COUNTIFS('KIDS&amp;ADULTS'!$V$3:$V$12006,U16,'KIDS&amp;ADULTS'!$B$3:$B$12006,$AA$3,'KIDS&amp;ADULTS'!$N$3:$N$12006,"Đã đóng học phí")</f>
        <v>0</v>
      </c>
      <c r="AB16" s="376">
        <f>COUNTIFS('KIDS&amp;ADULTS'!$V$3:$V$12006,U16,'KIDS&amp;ADULTS'!$B$3:$B$12006,$AB$3,'KIDS&amp;ADULTS'!$N$3:$N$12006,"Đã đóng học phí")</f>
        <v>0</v>
      </c>
      <c r="AC16" s="376">
        <f>COUNTIFS('KIDS&amp;ADULTS'!$V$3:$V$12006,U16,'KIDS&amp;ADULTS'!$B$3:$B$12006,$AC$3,'KIDS&amp;ADULTS'!$N$3:$N$12006,"Đã đóng học phí")</f>
        <v>0</v>
      </c>
    </row>
    <row r="17" ht="15.75" customHeight="1">
      <c r="A17" s="372">
        <v>45183.0</v>
      </c>
      <c r="B17" s="373">
        <f>sumifs('KIDS&amp;ADULTS'!$Z$3:$Z$1015,'KIDS&amp;ADULTS'!$V$3:$V$1015,A17,'KIDS&amp;ADULTS'!$M$3:$M$1015,$B$3)</f>
        <v>0</v>
      </c>
      <c r="C17" s="373">
        <f>sumifs('KIDS&amp;ADULTS'!$Z$3:$Z$1015,'KIDS&amp;ADULTS'!$V$3:$V$1015,A17,'KIDS&amp;ADULTS'!$M$3:$M$1015,"phương")</f>
        <v>0</v>
      </c>
      <c r="D17" s="373">
        <f>sumifs('KIDS&amp;ADULTS'!$Z$3:$Z$1015,'KIDS&amp;ADULTS'!$V$3:$V$1015,A17,'KIDS&amp;ADULTS'!$M$3:$M$1015,$D$3)</f>
        <v>0</v>
      </c>
      <c r="E17" s="373">
        <f>sumifs('KIDS&amp;ADULTS'!$Z$3:$Z$1015,'KIDS&amp;ADULTS'!$V$3:$V$1015,A17,'KIDS&amp;ADULTS'!$M$3:$M$1015,"Ánh")</f>
        <v>2664000</v>
      </c>
      <c r="F17" s="373">
        <f>sumifs('KIDS&amp;ADULTS'!$Z$3:$Z$1015,'KIDS&amp;ADULTS'!$V$3:$V$1015,A17,'KIDS&amp;ADULTS'!$M$3:$M$1015,"Loan")</f>
        <v>0</v>
      </c>
      <c r="G17" s="373">
        <f t="shared" si="1"/>
        <v>2664000</v>
      </c>
      <c r="J17" s="372">
        <v>45183.0</v>
      </c>
      <c r="K17" s="374">
        <f>COUNTIFS('KIDS&amp;ADULTS'!$A$3:$A$12008,J17,'KIDS&amp;ADULTS'!$B$3:$B$12008,$K$3)</f>
        <v>0</v>
      </c>
      <c r="L17" s="374">
        <f>COUNTIFS('KIDS&amp;ADULTS'!$A$3:$A$12008,J17,'KIDS&amp;ADULTS'!$B$3:$B$12008,$L$3)</f>
        <v>0</v>
      </c>
      <c r="M17" s="374">
        <f>COUNTIFS('KIDS&amp;ADULTS'!$A$3:$A$12008,J17,'KIDS&amp;ADULTS'!$B$3:$B$12008,$M$3)</f>
        <v>0</v>
      </c>
      <c r="N17" s="375">
        <f>COUNTIFS('KIDS&amp;ADULTS'!$A$3:$A$12008,J17,'KIDS&amp;ADULTS'!$B$3:$B$12008,$N$3)</f>
        <v>0</v>
      </c>
      <c r="O17" s="375">
        <f>COUNTIFS('KIDS&amp;ADULTS'!$A$3:$A$12008,J17,'KIDS&amp;ADULTS'!$B$3:$B$12008,$O$3)</f>
        <v>0</v>
      </c>
      <c r="P17" s="375">
        <f>COUNTIFS('KIDS&amp;ADULTS'!$A$3:$A$12008,J17,'KIDS&amp;ADULTS'!$B$3:$B$12008,$P$3)</f>
        <v>0</v>
      </c>
      <c r="Q17" s="375">
        <f>COUNTIFS('KIDS&amp;ADULTS'!$A$3:$A$1008,J17,'KIDS&amp;ADULTS'!$B$3:$B$1008,$Q$3)</f>
        <v>0</v>
      </c>
      <c r="R17" s="374">
        <f>COUNTIFS('KIDS&amp;ADULTS'!$A$3:$A$12008,J17,'KIDS&amp;ADULTS'!$B$3:$B$12008,$R$3)</f>
        <v>0</v>
      </c>
      <c r="U17" s="372">
        <f t="shared" si="3"/>
        <v>45183</v>
      </c>
      <c r="V17" s="376">
        <f>COUNTIFS('KIDS&amp;ADULTS'!$V$3:$V$12006,U17,'KIDS&amp;ADULTS'!$B$3:$B$12006,$K$3,'KIDS&amp;ADULTS'!$N$3:$N$12006,"Đã đóng học phí")</f>
        <v>0</v>
      </c>
      <c r="W17" s="376">
        <f>COUNTIFS('KIDS&amp;ADULTS'!$V$3:$V$12006,U17,'KIDS&amp;ADULTS'!$B$3:$B12019,$W$3,'KIDS&amp;ADULTS'!$N$3:$N$12006,"Đã đóng học phí")</f>
        <v>0</v>
      </c>
      <c r="X17" s="376">
        <f>COUNTIFS('KIDS&amp;ADULTS'!$V$3:$V$12006,U17,'KIDS&amp;ADULTS'!$B$3:$B$12006,$X$3,'KIDS&amp;ADULTS'!$N$3:$N$12006,"Đã đóng học phí")</f>
        <v>0</v>
      </c>
      <c r="Y17" s="376">
        <f>COUNTIFS('KIDS&amp;ADULTS'!$V$3:$V$12006,U17,'KIDS&amp;ADULTS'!$B$3:$B$12006,$Y$3,'KIDS&amp;ADULTS'!$N$3:$N$12006,"Đã đóng học phí")</f>
        <v>0</v>
      </c>
      <c r="Z17" s="376">
        <f>COUNTIFS('KIDS&amp;ADULTS'!$V$3:$V$12006,U17,'KIDS&amp;ADULTS'!$B$3:$B$12006,$Z$3,'KIDS&amp;ADULTS'!$N$3:$N$12006,"Đã đóng học phí")</f>
        <v>0</v>
      </c>
      <c r="AA17" s="376">
        <f>COUNTIFS('KIDS&amp;ADULTS'!$V$3:$V$12006,U17,'KIDS&amp;ADULTS'!$B$3:$B$12006,$AA$3,'KIDS&amp;ADULTS'!$N$3:$N$12006,"Đã đóng học phí")</f>
        <v>0</v>
      </c>
      <c r="AB17" s="376">
        <f>COUNTIFS('KIDS&amp;ADULTS'!$V$3:$V$12006,U17,'KIDS&amp;ADULTS'!$B$3:$B$12006,$AB$3,'KIDS&amp;ADULTS'!$N$3:$N$12006,"Đã đóng học phí")</f>
        <v>0</v>
      </c>
      <c r="AC17" s="376">
        <f>COUNTIFS('KIDS&amp;ADULTS'!$V$3:$V$12006,U17,'KIDS&amp;ADULTS'!$B$3:$B$12006,$AC$3,'KIDS&amp;ADULTS'!$N$3:$N$12006,"Đã đóng học phí")</f>
        <v>0</v>
      </c>
    </row>
    <row r="18" ht="15.75" customHeight="1">
      <c r="A18" s="372">
        <v>45184.0</v>
      </c>
      <c r="B18" s="373">
        <f>sumifs('KIDS&amp;ADULTS'!$Z$3:$Z$1015,'KIDS&amp;ADULTS'!$V$3:$V$1015,A18,'KIDS&amp;ADULTS'!$M$3:$M$1015,$B$3)</f>
        <v>0</v>
      </c>
      <c r="C18" s="373">
        <f>sumifs('KIDS&amp;ADULTS'!$Z$3:$Z$1015,'KIDS&amp;ADULTS'!$V$3:$V$1015,A18,'KIDS&amp;ADULTS'!$M$3:$M$1015,"phương")</f>
        <v>0</v>
      </c>
      <c r="D18" s="373">
        <f>sumifs('KIDS&amp;ADULTS'!$Z$3:$Z$1015,'KIDS&amp;ADULTS'!$V$3:$V$1015,A18,'KIDS&amp;ADULTS'!$M$3:$M$1015,$D$3)</f>
        <v>0</v>
      </c>
      <c r="E18" s="373">
        <f>sumifs('KIDS&amp;ADULTS'!$Z$3:$Z$1015,'KIDS&amp;ADULTS'!$V$3:$V$1015,A18,'KIDS&amp;ADULTS'!$M$3:$M$1015,"Ánh")</f>
        <v>5328000</v>
      </c>
      <c r="F18" s="373">
        <f>sumifs('KIDS&amp;ADULTS'!$Z$3:$Z$1015,'KIDS&amp;ADULTS'!$V$3:$V$1015,A18,'KIDS&amp;ADULTS'!$M$3:$M$1015,"Loan")</f>
        <v>0</v>
      </c>
      <c r="G18" s="373">
        <f t="shared" si="1"/>
        <v>5328000</v>
      </c>
      <c r="J18" s="372">
        <v>45184.0</v>
      </c>
      <c r="K18" s="374">
        <f>COUNTIFS('KIDS&amp;ADULTS'!$A$3:$A$12008,J18,'KIDS&amp;ADULTS'!$B$3:$B$12008,$K$3)</f>
        <v>0</v>
      </c>
      <c r="L18" s="374">
        <f>COUNTIFS('KIDS&amp;ADULTS'!$A$3:$A$12008,J18,'KIDS&amp;ADULTS'!$B$3:$B$12008,$L$3)</f>
        <v>0</v>
      </c>
      <c r="M18" s="374">
        <f>COUNTIFS('KIDS&amp;ADULTS'!$A$3:$A$12008,J18,'KIDS&amp;ADULTS'!$B$3:$B$12008,$M$3)</f>
        <v>0</v>
      </c>
      <c r="N18" s="375">
        <f>COUNTIFS('KIDS&amp;ADULTS'!$A$3:$A$12008,J18,'KIDS&amp;ADULTS'!$B$3:$B$12008,$N$3)</f>
        <v>0</v>
      </c>
      <c r="O18" s="375">
        <f>COUNTIFS('KIDS&amp;ADULTS'!$A$3:$A$12008,J18,'KIDS&amp;ADULTS'!$B$3:$B$12008,$O$3)</f>
        <v>0</v>
      </c>
      <c r="P18" s="375">
        <f>COUNTIFS('KIDS&amp;ADULTS'!$A$3:$A$12008,J18,'KIDS&amp;ADULTS'!$B$3:$B$12008,$P$3)</f>
        <v>0</v>
      </c>
      <c r="Q18" s="375">
        <f>COUNTIFS('KIDS&amp;ADULTS'!$A$3:$A$1008,J18,'KIDS&amp;ADULTS'!$B$3:$B$1008,$Q$3)</f>
        <v>0</v>
      </c>
      <c r="R18" s="374">
        <f>COUNTIFS('KIDS&amp;ADULTS'!$A$3:$A$12008,J18,'KIDS&amp;ADULTS'!$B$3:$B$12008,$R$3)</f>
        <v>0</v>
      </c>
      <c r="U18" s="372">
        <f t="shared" si="3"/>
        <v>45184</v>
      </c>
      <c r="V18" s="376">
        <f>COUNTIFS('KIDS&amp;ADULTS'!$V$3:$V$12006,U18,'KIDS&amp;ADULTS'!$B$3:$B$12006,$K$3,'KIDS&amp;ADULTS'!$N$3:$N$12006,"Đã đóng học phí")</f>
        <v>0</v>
      </c>
      <c r="W18" s="376">
        <f>COUNTIFS('KIDS&amp;ADULTS'!$V$3:$V$12006,U18,'KIDS&amp;ADULTS'!$B$3:$B12020,$W$3,'KIDS&amp;ADULTS'!$N$3:$N$12006,"Đã đóng học phí")</f>
        <v>0</v>
      </c>
      <c r="X18" s="376">
        <f>COUNTIFS('KIDS&amp;ADULTS'!$V$3:$V$12006,U18,'KIDS&amp;ADULTS'!$B$3:$B$12006,$X$3,'KIDS&amp;ADULTS'!$N$3:$N$12006,"Đã đóng học phí")</f>
        <v>0</v>
      </c>
      <c r="Y18" s="376">
        <f>COUNTIFS('KIDS&amp;ADULTS'!$V$3:$V$12006,U18,'KIDS&amp;ADULTS'!$B$3:$B$12006,$Y$3,'KIDS&amp;ADULTS'!$N$3:$N$12006,"Đã đóng học phí")</f>
        <v>1</v>
      </c>
      <c r="Z18" s="376">
        <f>COUNTIFS('KIDS&amp;ADULTS'!$V$3:$V$12006,U18,'KIDS&amp;ADULTS'!$B$3:$B$12006,$Z$3,'KIDS&amp;ADULTS'!$N$3:$N$12006,"Đã đóng học phí")</f>
        <v>0</v>
      </c>
      <c r="AA18" s="376">
        <f>COUNTIFS('KIDS&amp;ADULTS'!$V$3:$V$12006,U18,'KIDS&amp;ADULTS'!$B$3:$B$12006,$AA$3,'KIDS&amp;ADULTS'!$N$3:$N$12006,"Đã đóng học phí")</f>
        <v>0</v>
      </c>
      <c r="AB18" s="376">
        <f>COUNTIFS('KIDS&amp;ADULTS'!$V$3:$V$12006,U18,'KIDS&amp;ADULTS'!$B$3:$B$12006,$AB$3,'KIDS&amp;ADULTS'!$N$3:$N$12006,"Đã đóng học phí")</f>
        <v>0</v>
      </c>
      <c r="AC18" s="376">
        <f>COUNTIFS('KIDS&amp;ADULTS'!$V$3:$V$12006,U18,'KIDS&amp;ADULTS'!$B$3:$B$12006,$AC$3,'KIDS&amp;ADULTS'!$N$3:$N$12006,"Đã đóng học phí")</f>
        <v>0</v>
      </c>
    </row>
    <row r="19" ht="15.75" customHeight="1">
      <c r="A19" s="372">
        <v>45185.0</v>
      </c>
      <c r="B19" s="373">
        <f>sumifs('KIDS&amp;ADULTS'!$Z$3:$Z$1015,'KIDS&amp;ADULTS'!$V$3:$V$1015,A19,'KIDS&amp;ADULTS'!$M$3:$M$1015,$B$3)</f>
        <v>0</v>
      </c>
      <c r="C19" s="373">
        <f>sumifs('KIDS&amp;ADULTS'!$Z$3:$Z$1015,'KIDS&amp;ADULTS'!$V$3:$V$1015,A19,'KIDS&amp;ADULTS'!$M$3:$M$1015,"phương")</f>
        <v>0</v>
      </c>
      <c r="D19" s="373">
        <f>sumifs('KIDS&amp;ADULTS'!$Z$3:$Z$1015,'KIDS&amp;ADULTS'!$V$3:$V$1015,A19,'KIDS&amp;ADULTS'!$M$3:$M$1015,$D$3)</f>
        <v>0</v>
      </c>
      <c r="E19" s="373">
        <f>sumifs('KIDS&amp;ADULTS'!$Z$3:$Z$1015,'KIDS&amp;ADULTS'!$V$3:$V$1015,A19,'KIDS&amp;ADULTS'!$M$3:$M$1015,"Ánh")</f>
        <v>0</v>
      </c>
      <c r="F19" s="373">
        <f>sumifs('KIDS&amp;ADULTS'!$Z$3:$Z$1015,'KIDS&amp;ADULTS'!$V$3:$V$1015,A19,'KIDS&amp;ADULTS'!$M$3:$M$1015,"Loan")</f>
        <v>0</v>
      </c>
      <c r="G19" s="373">
        <f t="shared" si="1"/>
        <v>0</v>
      </c>
      <c r="J19" s="372">
        <v>45185.0</v>
      </c>
      <c r="K19" s="374">
        <f>COUNTIFS('KIDS&amp;ADULTS'!$A$3:$A$12008,J19,'KIDS&amp;ADULTS'!$B$3:$B$12008,$K$3)</f>
        <v>0</v>
      </c>
      <c r="L19" s="374">
        <f>COUNTIFS('KIDS&amp;ADULTS'!$A$3:$A$12008,J19,'KIDS&amp;ADULTS'!$B$3:$B$12008,$L$3)</f>
        <v>0</v>
      </c>
      <c r="M19" s="374">
        <f>COUNTIFS('KIDS&amp;ADULTS'!$A$3:$A$12008,J19,'KIDS&amp;ADULTS'!$B$3:$B$12008,$M$3)</f>
        <v>0</v>
      </c>
      <c r="N19" s="375">
        <f>COUNTIFS('KIDS&amp;ADULTS'!$A$3:$A$12008,J19,'KIDS&amp;ADULTS'!$B$3:$B$12008,$N$3)</f>
        <v>2</v>
      </c>
      <c r="O19" s="375">
        <f>COUNTIFS('KIDS&amp;ADULTS'!$A$3:$A$12008,J19,'KIDS&amp;ADULTS'!$B$3:$B$12008,$O$3)</f>
        <v>0</v>
      </c>
      <c r="P19" s="375">
        <f>COUNTIFS('KIDS&amp;ADULTS'!$A$3:$A$12008,J19,'KIDS&amp;ADULTS'!$B$3:$B$12008,$P$3)</f>
        <v>0</v>
      </c>
      <c r="Q19" s="375">
        <f>COUNTIFS('KIDS&amp;ADULTS'!$A$3:$A$1008,J19,'KIDS&amp;ADULTS'!$B$3:$B$1008,$Q$3)</f>
        <v>0</v>
      </c>
      <c r="R19" s="374">
        <f>COUNTIFS('KIDS&amp;ADULTS'!$A$3:$A$12008,J19,'KIDS&amp;ADULTS'!$B$3:$B$12008,$R$3)</f>
        <v>0</v>
      </c>
      <c r="U19" s="372">
        <f t="shared" si="3"/>
        <v>45185</v>
      </c>
      <c r="V19" s="376">
        <f>COUNTIFS('KIDS&amp;ADULTS'!$V$3:$V$12006,U19,'KIDS&amp;ADULTS'!$B$3:$B$12006,$K$3,'KIDS&amp;ADULTS'!$N$3:$N$12006,"Đã đóng học phí")</f>
        <v>0</v>
      </c>
      <c r="W19" s="376">
        <f>COUNTIFS('KIDS&amp;ADULTS'!$V$3:$V$12006,U19,'KIDS&amp;ADULTS'!$B$3:$B12021,$W$3,'KIDS&amp;ADULTS'!$N$3:$N$12006,"Đã đóng học phí")</f>
        <v>0</v>
      </c>
      <c r="X19" s="376">
        <f>COUNTIFS('KIDS&amp;ADULTS'!$V$3:$V$12006,U19,'KIDS&amp;ADULTS'!$B$3:$B$12006,$X$3,'KIDS&amp;ADULTS'!$N$3:$N$12006,"Đã đóng học phí")</f>
        <v>0</v>
      </c>
      <c r="Y19" s="376">
        <f>COUNTIFS('KIDS&amp;ADULTS'!$V$3:$V$12006,U19,'KIDS&amp;ADULTS'!$B$3:$B$12006,$Y$3,'KIDS&amp;ADULTS'!$N$3:$N$12006,"Đã đóng học phí")</f>
        <v>0</v>
      </c>
      <c r="Z19" s="376">
        <f>COUNTIFS('KIDS&amp;ADULTS'!$V$3:$V$12006,U19,'KIDS&amp;ADULTS'!$B$3:$B$12006,$Z$3,'KIDS&amp;ADULTS'!$N$3:$N$12006,"Đã đóng học phí")</f>
        <v>0</v>
      </c>
      <c r="AA19" s="376">
        <f>COUNTIFS('KIDS&amp;ADULTS'!$V$3:$V$12006,U19,'KIDS&amp;ADULTS'!$B$3:$B$12006,$AA$3,'KIDS&amp;ADULTS'!$N$3:$N$12006,"Đã đóng học phí")</f>
        <v>0</v>
      </c>
      <c r="AB19" s="376">
        <f>COUNTIFS('KIDS&amp;ADULTS'!$V$3:$V$12006,U19,'KIDS&amp;ADULTS'!$B$3:$B$12006,$AB$3,'KIDS&amp;ADULTS'!$N$3:$N$12006,"Đã đóng học phí")</f>
        <v>0</v>
      </c>
      <c r="AC19" s="376">
        <f>COUNTIFS('KIDS&amp;ADULTS'!$V$3:$V$12006,U19,'KIDS&amp;ADULTS'!$B$3:$B$12006,$AC$3,'KIDS&amp;ADULTS'!$N$3:$N$12006,"Đã đóng học phí")</f>
        <v>0</v>
      </c>
    </row>
    <row r="20" ht="15.75" customHeight="1">
      <c r="A20" s="372">
        <v>45186.0</v>
      </c>
      <c r="B20" s="373">
        <f>sumifs('KIDS&amp;ADULTS'!$Z$3:$Z$1015,'KIDS&amp;ADULTS'!$V$3:$V$1015,A20,'KIDS&amp;ADULTS'!$M$3:$M$1015,$B$3)</f>
        <v>0</v>
      </c>
      <c r="C20" s="373">
        <f>sumifs('KIDS&amp;ADULTS'!$Z$3:$Z$1015,'KIDS&amp;ADULTS'!$V$3:$V$1015,A20,'KIDS&amp;ADULTS'!$M$3:$M$1015,"phương")</f>
        <v>0</v>
      </c>
      <c r="D20" s="373">
        <f>sumifs('KIDS&amp;ADULTS'!$Z$3:$Z$1015,'KIDS&amp;ADULTS'!$V$3:$V$1015,A20,'KIDS&amp;ADULTS'!$M$3:$M$1015,$D$3)</f>
        <v>0</v>
      </c>
      <c r="E20" s="373">
        <f>sumifs('KIDS&amp;ADULTS'!$Z$3:$Z$1015,'KIDS&amp;ADULTS'!$V$3:$V$1015,A20,'KIDS&amp;ADULTS'!$M$3:$M$1015,"Ánh")</f>
        <v>0</v>
      </c>
      <c r="F20" s="373">
        <f>sumifs('KIDS&amp;ADULTS'!$Z$3:$Z$1015,'KIDS&amp;ADULTS'!$V$3:$V$1015,A20,'KIDS&amp;ADULTS'!$M$3:$M$1015,"Loan")</f>
        <v>0</v>
      </c>
      <c r="G20" s="373">
        <f t="shared" si="1"/>
        <v>0</v>
      </c>
      <c r="J20" s="372">
        <v>45186.0</v>
      </c>
      <c r="K20" s="374">
        <f>COUNTIFS('KIDS&amp;ADULTS'!$A$3:$A$12008,J20,'KIDS&amp;ADULTS'!$B$3:$B$12008,$K$3)</f>
        <v>0</v>
      </c>
      <c r="L20" s="374">
        <f>COUNTIFS('KIDS&amp;ADULTS'!$A$3:$A$12008,J20,'KIDS&amp;ADULTS'!$B$3:$B$12008,$L$3)</f>
        <v>0</v>
      </c>
      <c r="M20" s="374">
        <f>COUNTIFS('KIDS&amp;ADULTS'!$A$3:$A$12008,J20,'KIDS&amp;ADULTS'!$B$3:$B$12008,$M$3)</f>
        <v>0</v>
      </c>
      <c r="N20" s="375">
        <f>COUNTIFS('KIDS&amp;ADULTS'!$A$3:$A$12008,J20,'KIDS&amp;ADULTS'!$B$3:$B$12008,$N$3)</f>
        <v>0</v>
      </c>
      <c r="O20" s="375">
        <f>COUNTIFS('KIDS&amp;ADULTS'!$A$3:$A$12008,J20,'KIDS&amp;ADULTS'!$B$3:$B$12008,$O$3)</f>
        <v>1</v>
      </c>
      <c r="P20" s="375">
        <f>COUNTIFS('KIDS&amp;ADULTS'!$A$3:$A$12008,J20,'KIDS&amp;ADULTS'!$B$3:$B$12008,$P$3)</f>
        <v>0</v>
      </c>
      <c r="Q20" s="375">
        <f>COUNTIFS('KIDS&amp;ADULTS'!$A$3:$A$1008,J20,'KIDS&amp;ADULTS'!$B$3:$B$1008,$Q$3)</f>
        <v>0</v>
      </c>
      <c r="R20" s="374">
        <f>COUNTIFS('KIDS&amp;ADULTS'!$A$3:$A$12008,J20,'KIDS&amp;ADULTS'!$B$3:$B$12008,$R$3)</f>
        <v>0</v>
      </c>
      <c r="U20" s="372">
        <f t="shared" si="3"/>
        <v>45186</v>
      </c>
      <c r="V20" s="376">
        <f>COUNTIFS('KIDS&amp;ADULTS'!$V$3:$V$12006,U20,'KIDS&amp;ADULTS'!$B$3:$B$12006,$K$3,'KIDS&amp;ADULTS'!$N$3:$N$12006,"Đã đóng học phí")</f>
        <v>0</v>
      </c>
      <c r="W20" s="376">
        <f>COUNTIFS('KIDS&amp;ADULTS'!$V$3:$V$12006,U20,'KIDS&amp;ADULTS'!$B$3:$B12022,$W$3,'KIDS&amp;ADULTS'!$N$3:$N$12006,"Đã đóng học phí")</f>
        <v>0</v>
      </c>
      <c r="X20" s="376">
        <f>COUNTIFS('KIDS&amp;ADULTS'!$V$3:$V$12006,U20,'KIDS&amp;ADULTS'!$B$3:$B$12006,$X$3,'KIDS&amp;ADULTS'!$N$3:$N$12006,"Đã đóng học phí")</f>
        <v>0</v>
      </c>
      <c r="Y20" s="376">
        <f>COUNTIFS('KIDS&amp;ADULTS'!$V$3:$V$12006,U20,'KIDS&amp;ADULTS'!$B$3:$B$12006,$Y$3,'KIDS&amp;ADULTS'!$N$3:$N$12006,"Đã đóng học phí")</f>
        <v>0</v>
      </c>
      <c r="Z20" s="376">
        <f>COUNTIFS('KIDS&amp;ADULTS'!$V$3:$V$12006,U20,'KIDS&amp;ADULTS'!$B$3:$B$12006,$Z$3,'KIDS&amp;ADULTS'!$N$3:$N$12006,"Đã đóng học phí")</f>
        <v>0</v>
      </c>
      <c r="AA20" s="376">
        <f>COUNTIFS('KIDS&amp;ADULTS'!$V$3:$V$12006,U20,'KIDS&amp;ADULTS'!$B$3:$B$12006,$AA$3,'KIDS&amp;ADULTS'!$N$3:$N$12006,"Đã đóng học phí")</f>
        <v>0</v>
      </c>
      <c r="AB20" s="376">
        <f>COUNTIFS('KIDS&amp;ADULTS'!$V$3:$V$12006,U20,'KIDS&amp;ADULTS'!$B$3:$B$12006,$AB$3,'KIDS&amp;ADULTS'!$N$3:$N$12006,"Đã đóng học phí")</f>
        <v>0</v>
      </c>
      <c r="AC20" s="376">
        <f>COUNTIFS('KIDS&amp;ADULTS'!$V$3:$V$12006,U20,'KIDS&amp;ADULTS'!$B$3:$B$12006,$AC$3,'KIDS&amp;ADULTS'!$N$3:$N$12006,"Đã đóng học phí")</f>
        <v>0</v>
      </c>
    </row>
    <row r="21" ht="15.75" customHeight="1">
      <c r="A21" s="372">
        <v>45187.0</v>
      </c>
      <c r="B21" s="373">
        <f>sumifs('KIDS&amp;ADULTS'!$Z$3:$Z$1015,'KIDS&amp;ADULTS'!$V$3:$V$1015,A21,'KIDS&amp;ADULTS'!$M$3:$M$1015,$B$3)</f>
        <v>0</v>
      </c>
      <c r="C21" s="373">
        <f>sumifs('KIDS&amp;ADULTS'!$Z$3:$Z$1015,'KIDS&amp;ADULTS'!$V$3:$V$1015,A21,'KIDS&amp;ADULTS'!$M$3:$M$1015,"phương")</f>
        <v>0</v>
      </c>
      <c r="D21" s="373">
        <f>sumifs('KIDS&amp;ADULTS'!$Z$3:$Z$1015,'KIDS&amp;ADULTS'!$V$3:$V$1015,A21,'KIDS&amp;ADULTS'!$M$3:$M$1015,$D$3)</f>
        <v>0</v>
      </c>
      <c r="E21" s="373">
        <f>sumifs('KIDS&amp;ADULTS'!$Z$3:$Z$1015,'KIDS&amp;ADULTS'!$V$3:$V$1015,A21,'KIDS&amp;ADULTS'!$M$3:$M$1015,"Ánh")</f>
        <v>0</v>
      </c>
      <c r="F21" s="373">
        <f>sumifs('KIDS&amp;ADULTS'!$Z$3:$Z$1015,'KIDS&amp;ADULTS'!$V$3:$V$1015,A21,'KIDS&amp;ADULTS'!$M$3:$M$1015,"Loan")</f>
        <v>0</v>
      </c>
      <c r="G21" s="373">
        <f t="shared" si="1"/>
        <v>0</v>
      </c>
      <c r="J21" s="372">
        <v>45187.0</v>
      </c>
      <c r="K21" s="374">
        <f>COUNTIFS('KIDS&amp;ADULTS'!$A$3:$A$12008,J21,'KIDS&amp;ADULTS'!$B$3:$B$12008,$K$3)</f>
        <v>0</v>
      </c>
      <c r="L21" s="374">
        <f>COUNTIFS('KIDS&amp;ADULTS'!$A$3:$A$12008,J21,'KIDS&amp;ADULTS'!$B$3:$B$12008,$L$3)</f>
        <v>0</v>
      </c>
      <c r="M21" s="374">
        <f>COUNTIFS('KIDS&amp;ADULTS'!$A$3:$A$12008,J21,'KIDS&amp;ADULTS'!$B$3:$B$12008,$M$3)</f>
        <v>0</v>
      </c>
      <c r="N21" s="375">
        <f>COUNTIFS('KIDS&amp;ADULTS'!$A$3:$A$12008,J21,'KIDS&amp;ADULTS'!$B$3:$B$12008,$N$3)</f>
        <v>0</v>
      </c>
      <c r="O21" s="375">
        <f>COUNTIFS('KIDS&amp;ADULTS'!$A$3:$A$12008,J21,'KIDS&amp;ADULTS'!$B$3:$B$12008,$O$3)</f>
        <v>0</v>
      </c>
      <c r="P21" s="375">
        <f>COUNTIFS('KIDS&amp;ADULTS'!$A$3:$A$12008,J21,'KIDS&amp;ADULTS'!$B$3:$B$12008,$P$3)</f>
        <v>0</v>
      </c>
      <c r="Q21" s="375">
        <f>COUNTIFS('KIDS&amp;ADULTS'!$A$3:$A$1008,J21,'KIDS&amp;ADULTS'!$B$3:$B$1008,$Q$3)</f>
        <v>0</v>
      </c>
      <c r="R21" s="374">
        <f>COUNTIFS('KIDS&amp;ADULTS'!$A$3:$A$12008,J21,'KIDS&amp;ADULTS'!$B$3:$B$12008,$R$3)</f>
        <v>2</v>
      </c>
      <c r="U21" s="372">
        <f t="shared" si="3"/>
        <v>45187</v>
      </c>
      <c r="V21" s="376">
        <f>COUNTIFS('KIDS&amp;ADULTS'!$V$3:$V$12006,U21,'KIDS&amp;ADULTS'!$B$3:$B$12006,$K$3,'KIDS&amp;ADULTS'!$N$3:$N$12006,"Đã đóng học phí")</f>
        <v>0</v>
      </c>
      <c r="W21" s="376">
        <f>COUNTIFS('KIDS&amp;ADULTS'!$V$3:$V$12006,U21,'KIDS&amp;ADULTS'!$B$3:$B12023,$W$3,'KIDS&amp;ADULTS'!$N$3:$N$12006,"Đã đóng học phí")</f>
        <v>0</v>
      </c>
      <c r="X21" s="376">
        <f>COUNTIFS('KIDS&amp;ADULTS'!$V$3:$V$12006,U21,'KIDS&amp;ADULTS'!$B$3:$B$12006,$X$3,'KIDS&amp;ADULTS'!$N$3:$N$12006,"Đã đóng học phí")</f>
        <v>0</v>
      </c>
      <c r="Y21" s="376">
        <f>COUNTIFS('KIDS&amp;ADULTS'!$V$3:$V$12006,U21,'KIDS&amp;ADULTS'!$B$3:$B$12006,$Y$3,'KIDS&amp;ADULTS'!$N$3:$N$12006,"Đã đóng học phí")</f>
        <v>0</v>
      </c>
      <c r="Z21" s="376">
        <f>COUNTIFS('KIDS&amp;ADULTS'!$V$3:$V$12006,U21,'KIDS&amp;ADULTS'!$B$3:$B$12006,$Z$3,'KIDS&amp;ADULTS'!$N$3:$N$12006,"Đã đóng học phí")</f>
        <v>0</v>
      </c>
      <c r="AA21" s="376">
        <f>COUNTIFS('KIDS&amp;ADULTS'!$V$3:$V$12006,U21,'KIDS&amp;ADULTS'!$B$3:$B$12006,$AA$3,'KIDS&amp;ADULTS'!$N$3:$N$12006,"Đã đóng học phí")</f>
        <v>0</v>
      </c>
      <c r="AB21" s="376">
        <f>COUNTIFS('KIDS&amp;ADULTS'!$V$3:$V$12006,U21,'KIDS&amp;ADULTS'!$B$3:$B$12006,$AB$3,'KIDS&amp;ADULTS'!$N$3:$N$12006,"Đã đóng học phí")</f>
        <v>0</v>
      </c>
      <c r="AC21" s="376">
        <f>COUNTIFS('KIDS&amp;ADULTS'!$V$3:$V$12006,U21,'KIDS&amp;ADULTS'!$B$3:$B$12006,$AC$3,'KIDS&amp;ADULTS'!$N$3:$N$12006,"Đã đóng học phí")</f>
        <v>0</v>
      </c>
    </row>
    <row r="22" ht="15.75" customHeight="1">
      <c r="A22" s="372">
        <v>45188.0</v>
      </c>
      <c r="B22" s="373">
        <f>sumifs('KIDS&amp;ADULTS'!$Z$3:$Z$1015,'KIDS&amp;ADULTS'!$V$3:$V$1015,A22,'KIDS&amp;ADULTS'!$M$3:$M$1015,$B$3)</f>
        <v>0</v>
      </c>
      <c r="C22" s="373">
        <f>sumifs('KIDS&amp;ADULTS'!$Z$3:$Z$1015,'KIDS&amp;ADULTS'!$V$3:$V$1015,A22,'KIDS&amp;ADULTS'!$M$3:$M$1015,"phương")</f>
        <v>0</v>
      </c>
      <c r="D22" s="373">
        <f>sumifs('KIDS&amp;ADULTS'!$Z$3:$Z$1015,'KIDS&amp;ADULTS'!$V$3:$V$1015,A22,'KIDS&amp;ADULTS'!$M$3:$M$1015,$D$3)</f>
        <v>0</v>
      </c>
      <c r="E22" s="373">
        <f>sumifs('KIDS&amp;ADULTS'!$Z$3:$Z$1015,'KIDS&amp;ADULTS'!$V$3:$V$1015,A22,'KIDS&amp;ADULTS'!$M$3:$M$1015,"Ánh")</f>
        <v>0</v>
      </c>
      <c r="F22" s="373">
        <f>sumifs('KIDS&amp;ADULTS'!$Z$3:$Z$1015,'KIDS&amp;ADULTS'!$V$3:$V$1015,A22,'KIDS&amp;ADULTS'!$M$3:$M$1015,"Loan")</f>
        <v>0</v>
      </c>
      <c r="G22" s="373">
        <f t="shared" si="1"/>
        <v>0</v>
      </c>
      <c r="J22" s="372">
        <v>45188.0</v>
      </c>
      <c r="K22" s="374">
        <f>COUNTIFS('KIDS&amp;ADULTS'!$A$3:$A$12008,J22,'KIDS&amp;ADULTS'!$B$3:$B$12008,$K$3)</f>
        <v>0</v>
      </c>
      <c r="L22" s="374">
        <f>COUNTIFS('KIDS&amp;ADULTS'!$A$3:$A$12008,J22,'KIDS&amp;ADULTS'!$B$3:$B$12008,$L$3)</f>
        <v>0</v>
      </c>
      <c r="M22" s="374">
        <f>COUNTIFS('KIDS&amp;ADULTS'!$A$3:$A$12008,J22,'KIDS&amp;ADULTS'!$B$3:$B$12008,$M$3)</f>
        <v>0</v>
      </c>
      <c r="N22" s="375">
        <f>COUNTIFS('KIDS&amp;ADULTS'!$A$3:$A$12008,J22,'KIDS&amp;ADULTS'!$B$3:$B$12008,$N$3)</f>
        <v>0</v>
      </c>
      <c r="O22" s="375">
        <f>COUNTIFS('KIDS&amp;ADULTS'!$A$3:$A$12008,J22,'KIDS&amp;ADULTS'!$B$3:$B$12008,$O$3)</f>
        <v>0</v>
      </c>
      <c r="P22" s="375">
        <f>COUNTIFS('KIDS&amp;ADULTS'!$A$3:$A$12008,J22,'KIDS&amp;ADULTS'!$B$3:$B$12008,$P$3)</f>
        <v>0</v>
      </c>
      <c r="Q22" s="375">
        <f>COUNTIFS('KIDS&amp;ADULTS'!$A$3:$A$1008,J22,'KIDS&amp;ADULTS'!$B$3:$B$1008,$Q$3)</f>
        <v>0</v>
      </c>
      <c r="R22" s="374">
        <f>COUNTIFS('KIDS&amp;ADULTS'!$A$3:$A$12008,J22,'KIDS&amp;ADULTS'!$B$3:$B$12008,$R$3)</f>
        <v>2</v>
      </c>
      <c r="U22" s="372">
        <f t="shared" si="3"/>
        <v>45188</v>
      </c>
      <c r="V22" s="376">
        <f>COUNTIFS('KIDS&amp;ADULTS'!$V$3:$V$12006,U22,'KIDS&amp;ADULTS'!$B$3:$B$12006,$K$3,'KIDS&amp;ADULTS'!$N$3:$N$12006,"Đã đóng học phí")</f>
        <v>0</v>
      </c>
      <c r="W22" s="376">
        <f>COUNTIFS('KIDS&amp;ADULTS'!$V$3:$V$12006,U22,'KIDS&amp;ADULTS'!$B$3:$B12024,$W$3,'KIDS&amp;ADULTS'!$N$3:$N$12006,"Đã đóng học phí")</f>
        <v>0</v>
      </c>
      <c r="X22" s="376">
        <f>COUNTIFS('KIDS&amp;ADULTS'!$V$3:$V$12006,U22,'KIDS&amp;ADULTS'!$B$3:$B$12006,$X$3,'KIDS&amp;ADULTS'!$N$3:$N$12006,"Đã đóng học phí")</f>
        <v>0</v>
      </c>
      <c r="Y22" s="376">
        <f>COUNTIFS('KIDS&amp;ADULTS'!$V$3:$V$12006,U22,'KIDS&amp;ADULTS'!$B$3:$B$12006,$Y$3,'KIDS&amp;ADULTS'!$N$3:$N$12006,"Đã đóng học phí")</f>
        <v>0</v>
      </c>
      <c r="Z22" s="376">
        <f>COUNTIFS('KIDS&amp;ADULTS'!$V$3:$V$12006,U22,'KIDS&amp;ADULTS'!$B$3:$B$12006,$Z$3,'KIDS&amp;ADULTS'!$N$3:$N$12006,"Đã đóng học phí")</f>
        <v>0</v>
      </c>
      <c r="AA22" s="376">
        <f>COUNTIFS('KIDS&amp;ADULTS'!$V$3:$V$12006,U22,'KIDS&amp;ADULTS'!$B$3:$B$12006,$AA$3,'KIDS&amp;ADULTS'!$N$3:$N$12006,"Đã đóng học phí")</f>
        <v>0</v>
      </c>
      <c r="AB22" s="376">
        <f>COUNTIFS('KIDS&amp;ADULTS'!$V$3:$V$12006,U22,'KIDS&amp;ADULTS'!$B$3:$B$12006,$AB$3,'KIDS&amp;ADULTS'!$N$3:$N$12006,"Đã đóng học phí")</f>
        <v>0</v>
      </c>
      <c r="AC22" s="376">
        <f>COUNTIFS('KIDS&amp;ADULTS'!$V$3:$V$12006,U22,'KIDS&amp;ADULTS'!$B$3:$B$12006,$AC$3,'KIDS&amp;ADULTS'!$N$3:$N$12006,"Đã đóng học phí")</f>
        <v>0</v>
      </c>
    </row>
    <row r="23" ht="15.75" customHeight="1">
      <c r="A23" s="372">
        <v>45189.0</v>
      </c>
      <c r="B23" s="373">
        <f>sumifs('KIDS&amp;ADULTS'!$Z$3:$Z$1015,'KIDS&amp;ADULTS'!$V$3:$V$1015,A23,'KIDS&amp;ADULTS'!$M$3:$M$1015,$B$3)</f>
        <v>0</v>
      </c>
      <c r="C23" s="373">
        <f>sumifs('KIDS&amp;ADULTS'!$Z$3:$Z$1015,'KIDS&amp;ADULTS'!$V$3:$V$1015,A23,'KIDS&amp;ADULTS'!$M$3:$M$1015,"phương")</f>
        <v>0</v>
      </c>
      <c r="D23" s="373">
        <f>sumifs('KIDS&amp;ADULTS'!$Z$3:$Z$1015,'KIDS&amp;ADULTS'!$V$3:$V$1015,A23,'KIDS&amp;ADULTS'!$M$3:$M$1015,$D$3)</f>
        <v>0</v>
      </c>
      <c r="E23" s="373">
        <f>sumifs('KIDS&amp;ADULTS'!$Z$3:$Z$1015,'KIDS&amp;ADULTS'!$V$3:$V$1015,A23,'KIDS&amp;ADULTS'!$M$3:$M$1015,"Ánh")</f>
        <v>0</v>
      </c>
      <c r="F23" s="373">
        <f>sumifs('KIDS&amp;ADULTS'!$Z$3:$Z$1015,'KIDS&amp;ADULTS'!$V$3:$V$1015,A23,'KIDS&amp;ADULTS'!$M$3:$M$1015,"Loan")</f>
        <v>0</v>
      </c>
      <c r="G23" s="373">
        <f t="shared" si="1"/>
        <v>0</v>
      </c>
      <c r="J23" s="372">
        <v>45189.0</v>
      </c>
      <c r="K23" s="374">
        <f>COUNTIFS('KIDS&amp;ADULTS'!$A$3:$A$12008,J23,'KIDS&amp;ADULTS'!$B$3:$B$12008,$K$3)</f>
        <v>0</v>
      </c>
      <c r="L23" s="374">
        <f>COUNTIFS('KIDS&amp;ADULTS'!$A$3:$A$12008,J23,'KIDS&amp;ADULTS'!$B$3:$B$12008,$L$3)</f>
        <v>0</v>
      </c>
      <c r="M23" s="374">
        <f>COUNTIFS('KIDS&amp;ADULTS'!$A$3:$A$12008,J23,'KIDS&amp;ADULTS'!$B$3:$B$12008,$M$3)</f>
        <v>0</v>
      </c>
      <c r="N23" s="375">
        <f>COUNTIFS('KIDS&amp;ADULTS'!$A$3:$A$12008,J23,'KIDS&amp;ADULTS'!$B$3:$B$12008,$N$3)</f>
        <v>0</v>
      </c>
      <c r="O23" s="375">
        <f>COUNTIFS('KIDS&amp;ADULTS'!$A$3:$A$12008,J23,'KIDS&amp;ADULTS'!$B$3:$B$12008,$O$3)</f>
        <v>0</v>
      </c>
      <c r="P23" s="375">
        <f>COUNTIFS('KIDS&amp;ADULTS'!$A$3:$A$12008,J23,'KIDS&amp;ADULTS'!$B$3:$B$12008,$P$3)</f>
        <v>0</v>
      </c>
      <c r="Q23" s="375">
        <f>COUNTIFS('KIDS&amp;ADULTS'!$A$3:$A$1008,J23,'KIDS&amp;ADULTS'!$B$3:$B$1008,$Q$3)</f>
        <v>0</v>
      </c>
      <c r="R23" s="374">
        <f>COUNTIFS('KIDS&amp;ADULTS'!$A$3:$A$12008,J23,'KIDS&amp;ADULTS'!$B$3:$B$12008,$R$3)</f>
        <v>2</v>
      </c>
      <c r="U23" s="372">
        <f t="shared" si="3"/>
        <v>45189</v>
      </c>
      <c r="V23" s="376">
        <f>COUNTIFS('KIDS&amp;ADULTS'!$V$3:$V$12006,U23,'KIDS&amp;ADULTS'!$B$3:$B$12006,$K$3,'KIDS&amp;ADULTS'!$N$3:$N$12006,"Đã đóng học phí")</f>
        <v>0</v>
      </c>
      <c r="W23" s="376">
        <f>COUNTIFS('KIDS&amp;ADULTS'!$V$3:$V$12006,U23,'KIDS&amp;ADULTS'!$B$3:$B12025,$W$3,'KIDS&amp;ADULTS'!$N$3:$N$12006,"Đã đóng học phí")</f>
        <v>0</v>
      </c>
      <c r="X23" s="376">
        <f>COUNTIFS('KIDS&amp;ADULTS'!$V$3:$V$12006,U23,'KIDS&amp;ADULTS'!$B$3:$B$12006,$X$3,'KIDS&amp;ADULTS'!$N$3:$N$12006,"Đã đóng học phí")</f>
        <v>0</v>
      </c>
      <c r="Y23" s="376">
        <f>COUNTIFS('KIDS&amp;ADULTS'!$V$3:$V$12006,U23,'KIDS&amp;ADULTS'!$B$3:$B$12006,$Y$3,'KIDS&amp;ADULTS'!$N$3:$N$12006,"Đã đóng học phí")</f>
        <v>0</v>
      </c>
      <c r="Z23" s="376">
        <f>COUNTIFS('KIDS&amp;ADULTS'!$V$3:$V$12006,U23,'KIDS&amp;ADULTS'!$B$3:$B$12006,$Z$3,'KIDS&amp;ADULTS'!$N$3:$N$12006,"Đã đóng học phí")</f>
        <v>0</v>
      </c>
      <c r="AA23" s="376">
        <f>COUNTIFS('KIDS&amp;ADULTS'!$V$3:$V$12006,U23,'KIDS&amp;ADULTS'!$B$3:$B$12006,$AA$3,'KIDS&amp;ADULTS'!$N$3:$N$12006,"Đã đóng học phí")</f>
        <v>0</v>
      </c>
      <c r="AB23" s="376">
        <f>COUNTIFS('KIDS&amp;ADULTS'!$V$3:$V$12006,U23,'KIDS&amp;ADULTS'!$B$3:$B$12006,$AB$3,'KIDS&amp;ADULTS'!$N$3:$N$12006,"Đã đóng học phí")</f>
        <v>0</v>
      </c>
      <c r="AC23" s="376">
        <f>COUNTIFS('KIDS&amp;ADULTS'!$V$3:$V$12006,U23,'KIDS&amp;ADULTS'!$B$3:$B$12006,$AC$3,'KIDS&amp;ADULTS'!$N$3:$N$12006,"Đã đóng học phí")</f>
        <v>0</v>
      </c>
    </row>
    <row r="24" ht="15.75" customHeight="1">
      <c r="A24" s="372">
        <v>45190.0</v>
      </c>
      <c r="B24" s="373">
        <f>sumifs('KIDS&amp;ADULTS'!$Z$3:$Z$1015,'KIDS&amp;ADULTS'!$V$3:$V$1015,A24,'KIDS&amp;ADULTS'!$M$3:$M$1015,$B$3)</f>
        <v>0</v>
      </c>
      <c r="C24" s="373">
        <f>sumifs('KIDS&amp;ADULTS'!$Z$3:$Z$1015,'KIDS&amp;ADULTS'!$V$3:$V$1015,A24,'KIDS&amp;ADULTS'!$M$3:$M$1015,"phương")</f>
        <v>0</v>
      </c>
      <c r="D24" s="373">
        <f>sumifs('KIDS&amp;ADULTS'!$Z$3:$Z$1015,'KIDS&amp;ADULTS'!$V$3:$V$1015,A24,'KIDS&amp;ADULTS'!$M$3:$M$1015,$D$3)</f>
        <v>0</v>
      </c>
      <c r="E24" s="373">
        <f>sumifs('KIDS&amp;ADULTS'!$Z$3:$Z$1015,'KIDS&amp;ADULTS'!$V$3:$V$1015,A24,'KIDS&amp;ADULTS'!$M$3:$M$1015,"Ánh")</f>
        <v>0</v>
      </c>
      <c r="F24" s="373">
        <f>sumifs('KIDS&amp;ADULTS'!$Z$3:$Z$1015,'KIDS&amp;ADULTS'!$V$3:$V$1015,A24,'KIDS&amp;ADULTS'!$M$3:$M$1015,"Loan")</f>
        <v>0</v>
      </c>
      <c r="G24" s="373">
        <f t="shared" si="1"/>
        <v>0</v>
      </c>
      <c r="J24" s="372">
        <v>45190.0</v>
      </c>
      <c r="K24" s="374">
        <f>COUNTIFS('KIDS&amp;ADULTS'!$A$3:$A$12008,J24,'KIDS&amp;ADULTS'!$B$3:$B$12008,$K$3)</f>
        <v>0</v>
      </c>
      <c r="L24" s="374">
        <f>COUNTIFS('KIDS&amp;ADULTS'!$A$3:$A$12008,J24,'KIDS&amp;ADULTS'!$B$3:$B$12008,$L$3)</f>
        <v>0</v>
      </c>
      <c r="M24" s="374">
        <f>COUNTIFS('KIDS&amp;ADULTS'!$A$3:$A$12008,J24,'KIDS&amp;ADULTS'!$B$3:$B$12008,$M$3)</f>
        <v>0</v>
      </c>
      <c r="N24" s="375">
        <f>COUNTIFS('KIDS&amp;ADULTS'!$A$3:$A$12008,J24,'KIDS&amp;ADULTS'!$B$3:$B$12008,$N$3)</f>
        <v>1</v>
      </c>
      <c r="O24" s="375">
        <f>COUNTIFS('KIDS&amp;ADULTS'!$A$3:$A$12008,J24,'KIDS&amp;ADULTS'!$B$3:$B$12008,$O$3)</f>
        <v>1</v>
      </c>
      <c r="P24" s="375">
        <f>COUNTIFS('KIDS&amp;ADULTS'!$A$3:$A$12008,J24,'KIDS&amp;ADULTS'!$B$3:$B$12008,$P$3)</f>
        <v>0</v>
      </c>
      <c r="Q24" s="375">
        <f>COUNTIFS('KIDS&amp;ADULTS'!$A$3:$A$1008,J24,'KIDS&amp;ADULTS'!$B$3:$B$1008,$Q$3)</f>
        <v>0</v>
      </c>
      <c r="R24" s="374">
        <f>COUNTIFS('KIDS&amp;ADULTS'!$A$3:$A$12008,J24,'KIDS&amp;ADULTS'!$B$3:$B$12008,$R$3)</f>
        <v>0</v>
      </c>
      <c r="U24" s="372">
        <f t="shared" si="3"/>
        <v>45190</v>
      </c>
      <c r="V24" s="376">
        <f>COUNTIFS('KIDS&amp;ADULTS'!$V$3:$V$12006,U24,'KIDS&amp;ADULTS'!$B$3:$B$12006,$K$3,'KIDS&amp;ADULTS'!$N$3:$N$12006,"Đã đóng học phí")</f>
        <v>0</v>
      </c>
      <c r="W24" s="376">
        <f>COUNTIFS('KIDS&amp;ADULTS'!$V$3:$V$12006,U24,'KIDS&amp;ADULTS'!$B$3:$B12026,$W$3,'KIDS&amp;ADULTS'!$N$3:$N$12006,"Đã đóng học phí")</f>
        <v>0</v>
      </c>
      <c r="X24" s="376">
        <f>COUNTIFS('KIDS&amp;ADULTS'!$V$3:$V$12006,U24,'KIDS&amp;ADULTS'!$B$3:$B$12006,$X$3,'KIDS&amp;ADULTS'!$N$3:$N$12006,"Đã đóng học phí")</f>
        <v>0</v>
      </c>
      <c r="Y24" s="376">
        <f>COUNTIFS('KIDS&amp;ADULTS'!$V$3:$V$12006,U24,'KIDS&amp;ADULTS'!$B$3:$B$12006,$Y$3,'KIDS&amp;ADULTS'!$N$3:$N$12006,"Đã đóng học phí")</f>
        <v>0</v>
      </c>
      <c r="Z24" s="376">
        <f>COUNTIFS('KIDS&amp;ADULTS'!$V$3:$V$12006,U24,'KIDS&amp;ADULTS'!$B$3:$B$12006,$Z$3,'KIDS&amp;ADULTS'!$N$3:$N$12006,"Đã đóng học phí")</f>
        <v>0</v>
      </c>
      <c r="AA24" s="376">
        <f>COUNTIFS('KIDS&amp;ADULTS'!$V$3:$V$12006,U24,'KIDS&amp;ADULTS'!$B$3:$B$12006,$AA$3,'KIDS&amp;ADULTS'!$N$3:$N$12006,"Đã đóng học phí")</f>
        <v>0</v>
      </c>
      <c r="AB24" s="376">
        <f>COUNTIFS('KIDS&amp;ADULTS'!$V$3:$V$12006,U24,'KIDS&amp;ADULTS'!$B$3:$B$12006,$AB$3,'KIDS&amp;ADULTS'!$N$3:$N$12006,"Đã đóng học phí")</f>
        <v>0</v>
      </c>
      <c r="AC24" s="376">
        <f>COUNTIFS('KIDS&amp;ADULTS'!$V$3:$V$12006,U24,'KIDS&amp;ADULTS'!$B$3:$B$12006,$AC$3,'KIDS&amp;ADULTS'!$N$3:$N$12006,"Đã đóng học phí")</f>
        <v>0</v>
      </c>
    </row>
    <row r="25" ht="15.75" customHeight="1">
      <c r="A25" s="372">
        <v>45191.0</v>
      </c>
      <c r="B25" s="373">
        <f>sumifs('KIDS&amp;ADULTS'!$Z$3:$Z$1015,'KIDS&amp;ADULTS'!$V$3:$V$1015,A25,'KIDS&amp;ADULTS'!$M$3:$M$1015,$B$3)</f>
        <v>0</v>
      </c>
      <c r="C25" s="373">
        <f>sumifs('KIDS&amp;ADULTS'!$Z$3:$Z$1015,'KIDS&amp;ADULTS'!$V$3:$V$1015,A25,'KIDS&amp;ADULTS'!$M$3:$M$1015,"phương")</f>
        <v>0</v>
      </c>
      <c r="D25" s="373">
        <f>sumifs('KIDS&amp;ADULTS'!$Z$3:$Z$1015,'KIDS&amp;ADULTS'!$V$3:$V$1015,A25,'KIDS&amp;ADULTS'!$M$3:$M$1015,$D$3)</f>
        <v>0</v>
      </c>
      <c r="E25" s="373">
        <f>sumifs('KIDS&amp;ADULTS'!$Z$3:$Z$1015,'KIDS&amp;ADULTS'!$V$3:$V$1015,A25,'KIDS&amp;ADULTS'!$M$3:$M$1015,"Ánh")</f>
        <v>0</v>
      </c>
      <c r="F25" s="373">
        <f>sumifs('KIDS&amp;ADULTS'!$Z$3:$Z$1015,'KIDS&amp;ADULTS'!$V$3:$V$1015,A25,'KIDS&amp;ADULTS'!$M$3:$M$1015,"Loan")</f>
        <v>0</v>
      </c>
      <c r="G25" s="373">
        <f t="shared" si="1"/>
        <v>0</v>
      </c>
      <c r="J25" s="372">
        <v>45191.0</v>
      </c>
      <c r="K25" s="374">
        <f>COUNTIFS('KIDS&amp;ADULTS'!$A$3:$A$12008,J25,'KIDS&amp;ADULTS'!$B$3:$B$12008,$K$3)</f>
        <v>0</v>
      </c>
      <c r="L25" s="374">
        <f>COUNTIFS('KIDS&amp;ADULTS'!$A$3:$A$12008,J25,'KIDS&amp;ADULTS'!$B$3:$B$12008,$L$3)</f>
        <v>0</v>
      </c>
      <c r="M25" s="374">
        <f>COUNTIFS('KIDS&amp;ADULTS'!$A$3:$A$12008,J25,'KIDS&amp;ADULTS'!$B$3:$B$12008,$M$3)</f>
        <v>0</v>
      </c>
      <c r="N25" s="375">
        <f>COUNTIFS('KIDS&amp;ADULTS'!$A$3:$A$12008,J25,'KIDS&amp;ADULTS'!$B$3:$B$12008,$N$3)</f>
        <v>1</v>
      </c>
      <c r="O25" s="375">
        <f>COUNTIFS('KIDS&amp;ADULTS'!$A$3:$A$12008,J25,'KIDS&amp;ADULTS'!$B$3:$B$12008,$O$3)</f>
        <v>0</v>
      </c>
      <c r="P25" s="375">
        <f>COUNTIFS('KIDS&amp;ADULTS'!$A$3:$A$12008,J25,'KIDS&amp;ADULTS'!$B$3:$B$12008,$P$3)</f>
        <v>0</v>
      </c>
      <c r="Q25" s="375">
        <f>COUNTIFS('KIDS&amp;ADULTS'!$A$3:$A$1008,J25,'KIDS&amp;ADULTS'!$B$3:$B$1008,$Q$3)</f>
        <v>2</v>
      </c>
      <c r="R25" s="374">
        <f>COUNTIFS('KIDS&amp;ADULTS'!$A$3:$A$12008,J25,'KIDS&amp;ADULTS'!$B$3:$B$12008,$R$3)</f>
        <v>1</v>
      </c>
      <c r="U25" s="372">
        <f t="shared" si="3"/>
        <v>45191</v>
      </c>
      <c r="V25" s="376">
        <f>COUNTIFS('KIDS&amp;ADULTS'!$V$3:$V$12006,U25,'KIDS&amp;ADULTS'!$B$3:$B$12006,$K$3,'KIDS&amp;ADULTS'!$N$3:$N$12006,"Đã đóng học phí")</f>
        <v>0</v>
      </c>
      <c r="W25" s="376">
        <f>COUNTIFS('KIDS&amp;ADULTS'!$V$3:$V$12006,U25,'KIDS&amp;ADULTS'!$B$3:$B12027,$W$3,'KIDS&amp;ADULTS'!$N$3:$N$12006,"Đã đóng học phí")</f>
        <v>0</v>
      </c>
      <c r="X25" s="376">
        <f>COUNTIFS('KIDS&amp;ADULTS'!$V$3:$V$12006,U25,'KIDS&amp;ADULTS'!$B$3:$B$12006,$X$3,'KIDS&amp;ADULTS'!$N$3:$N$12006,"Đã đóng học phí")</f>
        <v>0</v>
      </c>
      <c r="Y25" s="376">
        <f>COUNTIFS('KIDS&amp;ADULTS'!$V$3:$V$12006,U25,'KIDS&amp;ADULTS'!$B$3:$B$12006,$Y$3,'KIDS&amp;ADULTS'!$N$3:$N$12006,"Đã đóng học phí")</f>
        <v>0</v>
      </c>
      <c r="Z25" s="376">
        <f>COUNTIFS('KIDS&amp;ADULTS'!$V$3:$V$12006,U25,'KIDS&amp;ADULTS'!$B$3:$B$12006,$Z$3,'KIDS&amp;ADULTS'!$N$3:$N$12006,"Đã đóng học phí")</f>
        <v>0</v>
      </c>
      <c r="AA25" s="376">
        <f>COUNTIFS('KIDS&amp;ADULTS'!$V$3:$V$12006,U25,'KIDS&amp;ADULTS'!$B$3:$B$12006,$AA$3,'KIDS&amp;ADULTS'!$N$3:$N$12006,"Đã đóng học phí")</f>
        <v>0</v>
      </c>
      <c r="AB25" s="376">
        <f>COUNTIFS('KIDS&amp;ADULTS'!$V$3:$V$12006,U25,'KIDS&amp;ADULTS'!$B$3:$B$12006,$AB$3,'KIDS&amp;ADULTS'!$N$3:$N$12006,"Đã đóng học phí")</f>
        <v>0</v>
      </c>
      <c r="AC25" s="376">
        <f>COUNTIFS('KIDS&amp;ADULTS'!$V$3:$V$12006,U25,'KIDS&amp;ADULTS'!$B$3:$B$12006,$AC$3,'KIDS&amp;ADULTS'!$N$3:$N$12006,"Đã đóng học phí")</f>
        <v>0</v>
      </c>
    </row>
    <row r="26" ht="15.75" customHeight="1">
      <c r="A26" s="372">
        <v>45192.0</v>
      </c>
      <c r="B26" s="373">
        <f>sumifs('KIDS&amp;ADULTS'!$Z$3:$Z$1015,'KIDS&amp;ADULTS'!$V$3:$V$1015,A26,'KIDS&amp;ADULTS'!$M$3:$M$1015,$B$3)</f>
        <v>0</v>
      </c>
      <c r="C26" s="373">
        <f>sumifs('KIDS&amp;ADULTS'!$Z$3:$Z$1015,'KIDS&amp;ADULTS'!$V$3:$V$1015,A26,'KIDS&amp;ADULTS'!$M$3:$M$1015,"phương")</f>
        <v>0</v>
      </c>
      <c r="D26" s="373">
        <f>sumifs('KIDS&amp;ADULTS'!$Z$3:$Z$1015,'KIDS&amp;ADULTS'!$V$3:$V$1015,A26,'KIDS&amp;ADULTS'!$M$3:$M$1015,$D$3)</f>
        <v>0</v>
      </c>
      <c r="E26" s="373">
        <f>sumifs('KIDS&amp;ADULTS'!$Z$3:$Z$1015,'KIDS&amp;ADULTS'!$V$3:$V$1015,A26,'KIDS&amp;ADULTS'!$M$3:$M$1015,"Ánh")</f>
        <v>0</v>
      </c>
      <c r="F26" s="373">
        <f>sumifs('KIDS&amp;ADULTS'!$Z$3:$Z$1015,'KIDS&amp;ADULTS'!$V$3:$V$1015,A26,'KIDS&amp;ADULTS'!$M$3:$M$1015,"Loan")</f>
        <v>0</v>
      </c>
      <c r="G26" s="373">
        <f t="shared" si="1"/>
        <v>0</v>
      </c>
      <c r="J26" s="372">
        <v>45192.0</v>
      </c>
      <c r="K26" s="374">
        <f>COUNTIFS('KIDS&amp;ADULTS'!$A$3:$A$12008,J26,'KIDS&amp;ADULTS'!$B$3:$B$12008,$K$3)</f>
        <v>0</v>
      </c>
      <c r="L26" s="374">
        <f>COUNTIFS('KIDS&amp;ADULTS'!$A$3:$A$12008,J26,'KIDS&amp;ADULTS'!$B$3:$B$12008,$L$3)</f>
        <v>0</v>
      </c>
      <c r="M26" s="374">
        <f>COUNTIFS('KIDS&amp;ADULTS'!$A$3:$A$12008,J26,'KIDS&amp;ADULTS'!$B$3:$B$12008,$M$3)</f>
        <v>1</v>
      </c>
      <c r="N26" s="375">
        <f>COUNTIFS('KIDS&amp;ADULTS'!$A$3:$A$12008,J26,'KIDS&amp;ADULTS'!$B$3:$B$12008,$N$3)</f>
        <v>2</v>
      </c>
      <c r="O26" s="375">
        <f>COUNTIFS('KIDS&amp;ADULTS'!$A$3:$A$12008,J26,'KIDS&amp;ADULTS'!$B$3:$B$12008,$O$3)</f>
        <v>0</v>
      </c>
      <c r="P26" s="375">
        <f>COUNTIFS('KIDS&amp;ADULTS'!$A$3:$A$12008,J26,'KIDS&amp;ADULTS'!$B$3:$B$12008,$P$3)</f>
        <v>0</v>
      </c>
      <c r="Q26" s="375">
        <f>COUNTIFS('KIDS&amp;ADULTS'!$A$3:$A$1008,J26,'KIDS&amp;ADULTS'!$B$3:$B$1008,$Q$3)</f>
        <v>3</v>
      </c>
      <c r="R26" s="374">
        <f>COUNTIFS('KIDS&amp;ADULTS'!$A$3:$A$12008,J26,'KIDS&amp;ADULTS'!$B$3:$B$12008,$R$3)</f>
        <v>0</v>
      </c>
      <c r="U26" s="372">
        <f t="shared" si="3"/>
        <v>45192</v>
      </c>
      <c r="V26" s="376">
        <f>COUNTIFS('KIDS&amp;ADULTS'!$V$3:$V$12006,U26,'KIDS&amp;ADULTS'!$B$3:$B$12006,$K$3,'KIDS&amp;ADULTS'!$N$3:$N$12006,"Đã đóng học phí")</f>
        <v>0</v>
      </c>
      <c r="W26" s="376">
        <f>COUNTIFS('KIDS&amp;ADULTS'!$V$3:$V$12006,U26,'KIDS&amp;ADULTS'!$B$3:$B12028,$W$3,'KIDS&amp;ADULTS'!$N$3:$N$12006,"Đã đóng học phí")</f>
        <v>0</v>
      </c>
      <c r="X26" s="376">
        <f>COUNTIFS('KIDS&amp;ADULTS'!$V$3:$V$12006,U26,'KIDS&amp;ADULTS'!$B$3:$B$12006,$X$3,'KIDS&amp;ADULTS'!$N$3:$N$12006,"Đã đóng học phí")</f>
        <v>0</v>
      </c>
      <c r="Y26" s="376">
        <f>COUNTIFS('KIDS&amp;ADULTS'!$V$3:$V$12006,U26,'KIDS&amp;ADULTS'!$B$3:$B$12006,$Y$3,'KIDS&amp;ADULTS'!$N$3:$N$12006,"Đã đóng học phí")</f>
        <v>0</v>
      </c>
      <c r="Z26" s="376">
        <f>COUNTIFS('KIDS&amp;ADULTS'!$V$3:$V$12006,U26,'KIDS&amp;ADULTS'!$B$3:$B$12006,$Z$3,'KIDS&amp;ADULTS'!$N$3:$N$12006,"Đã đóng học phí")</f>
        <v>0</v>
      </c>
      <c r="AA26" s="376">
        <f>COUNTIFS('KIDS&amp;ADULTS'!$V$3:$V$12006,U26,'KIDS&amp;ADULTS'!$B$3:$B$12006,$AA$3,'KIDS&amp;ADULTS'!$N$3:$N$12006,"Đã đóng học phí")</f>
        <v>0</v>
      </c>
      <c r="AB26" s="376">
        <f>COUNTIFS('KIDS&amp;ADULTS'!$V$3:$V$12006,U26,'KIDS&amp;ADULTS'!$B$3:$B$12006,$AB$3,'KIDS&amp;ADULTS'!$N$3:$N$12006,"Đã đóng học phí")</f>
        <v>0</v>
      </c>
      <c r="AC26" s="376">
        <f>COUNTIFS('KIDS&amp;ADULTS'!$V$3:$V$12006,U26,'KIDS&amp;ADULTS'!$B$3:$B$12006,$AC$3,'KIDS&amp;ADULTS'!$N$3:$N$12006,"Đã đóng học phí")</f>
        <v>0</v>
      </c>
    </row>
    <row r="27" ht="15.75" customHeight="1">
      <c r="A27" s="372">
        <v>45193.0</v>
      </c>
      <c r="B27" s="373">
        <f>sumifs('KIDS&amp;ADULTS'!$Z$3:$Z$1015,'KIDS&amp;ADULTS'!$V$3:$V$1015,A27,'KIDS&amp;ADULTS'!$M$3:$M$1015,$B$3)</f>
        <v>0</v>
      </c>
      <c r="C27" s="373">
        <f>sumifs('KIDS&amp;ADULTS'!$Z$3:$Z$1015,'KIDS&amp;ADULTS'!$V$3:$V$1015,A27,'KIDS&amp;ADULTS'!$M$3:$M$1015,"phương")</f>
        <v>0</v>
      </c>
      <c r="D27" s="373">
        <f>sumifs('KIDS&amp;ADULTS'!$Z$3:$Z$1015,'KIDS&amp;ADULTS'!$V$3:$V$1015,A27,'KIDS&amp;ADULTS'!$M$3:$M$1015,$D$3)</f>
        <v>0</v>
      </c>
      <c r="E27" s="373">
        <f>sumifs('KIDS&amp;ADULTS'!$Z$3:$Z$1015,'KIDS&amp;ADULTS'!$V$3:$V$1015,A27,'KIDS&amp;ADULTS'!$M$3:$M$1015,"Ánh")</f>
        <v>0</v>
      </c>
      <c r="F27" s="373">
        <f>sumifs('KIDS&amp;ADULTS'!$Z$3:$Z$1015,'KIDS&amp;ADULTS'!$V$3:$V$1015,A27,'KIDS&amp;ADULTS'!$M$3:$M$1015,"Loan")</f>
        <v>0</v>
      </c>
      <c r="G27" s="373">
        <f t="shared" si="1"/>
        <v>0</v>
      </c>
      <c r="J27" s="372">
        <v>45193.0</v>
      </c>
      <c r="K27" s="374">
        <f>COUNTIFS('KIDS&amp;ADULTS'!$A$3:$A$12008,J27,'KIDS&amp;ADULTS'!$B$3:$B$12008,$K$3)</f>
        <v>0</v>
      </c>
      <c r="L27" s="374">
        <f>COUNTIFS('KIDS&amp;ADULTS'!$A$3:$A$12008,J27,'KIDS&amp;ADULTS'!$B$3:$B$12008,$L$3)</f>
        <v>0</v>
      </c>
      <c r="M27" s="374">
        <f>COUNTIFS('KIDS&amp;ADULTS'!$A$3:$A$12008,J27,'KIDS&amp;ADULTS'!$B$3:$B$12008,$M$3)</f>
        <v>0</v>
      </c>
      <c r="N27" s="375">
        <f>COUNTIFS('KIDS&amp;ADULTS'!$A$3:$A$12008,J27,'KIDS&amp;ADULTS'!$B$3:$B$12008,$N$3)</f>
        <v>0</v>
      </c>
      <c r="O27" s="375">
        <f>COUNTIFS('KIDS&amp;ADULTS'!$A$3:$A$12008,J27,'KIDS&amp;ADULTS'!$B$3:$B$12008,$O$3)</f>
        <v>0</v>
      </c>
      <c r="P27" s="375">
        <f>COUNTIFS('KIDS&amp;ADULTS'!$A$3:$A$12008,J27,'KIDS&amp;ADULTS'!$B$3:$B$12008,$P$3)</f>
        <v>0</v>
      </c>
      <c r="Q27" s="375">
        <f>COUNTIFS('KIDS&amp;ADULTS'!$A$3:$A$1008,J27,'KIDS&amp;ADULTS'!$B$3:$B$1008,$Q$3)</f>
        <v>0</v>
      </c>
      <c r="R27" s="374">
        <f>COUNTIFS('KIDS&amp;ADULTS'!$A$3:$A$12008,J27,'KIDS&amp;ADULTS'!$B$3:$B$12008,$R$3)</f>
        <v>0</v>
      </c>
      <c r="U27" s="372">
        <f t="shared" si="3"/>
        <v>45193</v>
      </c>
      <c r="V27" s="376">
        <f>COUNTIFS('KIDS&amp;ADULTS'!$V$3:$V$12006,U27,'KIDS&amp;ADULTS'!$B$3:$B$12006,$K$3,'KIDS&amp;ADULTS'!$N$3:$N$12006,"Đã đóng học phí")</f>
        <v>0</v>
      </c>
      <c r="W27" s="376">
        <f>COUNTIFS('KIDS&amp;ADULTS'!$V$3:$V$12006,U27,'KIDS&amp;ADULTS'!$B$3:$B12029,$W$3,'KIDS&amp;ADULTS'!$N$3:$N$12006,"Đã đóng học phí")</f>
        <v>0</v>
      </c>
      <c r="X27" s="376">
        <f>COUNTIFS('KIDS&amp;ADULTS'!$V$3:$V$12006,U27,'KIDS&amp;ADULTS'!$B$3:$B$12006,$X$3,'KIDS&amp;ADULTS'!$N$3:$N$12006,"Đã đóng học phí")</f>
        <v>0</v>
      </c>
      <c r="Y27" s="376">
        <f>COUNTIFS('KIDS&amp;ADULTS'!$V$3:$V$12006,U27,'KIDS&amp;ADULTS'!$B$3:$B$12006,$Y$3,'KIDS&amp;ADULTS'!$N$3:$N$12006,"Đã đóng học phí")</f>
        <v>0</v>
      </c>
      <c r="Z27" s="376">
        <f>COUNTIFS('KIDS&amp;ADULTS'!$V$3:$V$12006,U27,'KIDS&amp;ADULTS'!$B$3:$B$12006,$Z$3,'KIDS&amp;ADULTS'!$N$3:$N$12006,"Đã đóng học phí")</f>
        <v>0</v>
      </c>
      <c r="AA27" s="376">
        <f>COUNTIFS('KIDS&amp;ADULTS'!$V$3:$V$12006,U27,'KIDS&amp;ADULTS'!$B$3:$B$12006,$AA$3,'KIDS&amp;ADULTS'!$N$3:$N$12006,"Đã đóng học phí")</f>
        <v>0</v>
      </c>
      <c r="AB27" s="376">
        <f>COUNTIFS('KIDS&amp;ADULTS'!$V$3:$V$12006,U27,'KIDS&amp;ADULTS'!$B$3:$B$12006,$AB$3,'KIDS&amp;ADULTS'!$N$3:$N$12006,"Đã đóng học phí")</f>
        <v>0</v>
      </c>
      <c r="AC27" s="376">
        <f>COUNTIFS('KIDS&amp;ADULTS'!$V$3:$V$12006,U27,'KIDS&amp;ADULTS'!$B$3:$B$12006,$AC$3,'KIDS&amp;ADULTS'!$N$3:$N$12006,"Đã đóng học phí")</f>
        <v>0</v>
      </c>
    </row>
    <row r="28" ht="15.75" customHeight="1">
      <c r="A28" s="372">
        <v>45194.0</v>
      </c>
      <c r="B28" s="373">
        <f>sumifs('KIDS&amp;ADULTS'!$Z$3:$Z$1015,'KIDS&amp;ADULTS'!$V$3:$V$1015,A28,'KIDS&amp;ADULTS'!$M$3:$M$1015,$B$3)</f>
        <v>0</v>
      </c>
      <c r="C28" s="373">
        <f>sumifs('KIDS&amp;ADULTS'!$Z$3:$Z$1015,'KIDS&amp;ADULTS'!$V$3:$V$1015,A28,'KIDS&amp;ADULTS'!$M$3:$M$1015,"phương")</f>
        <v>0</v>
      </c>
      <c r="D28" s="373">
        <f>sumifs('KIDS&amp;ADULTS'!$Z$3:$Z$1015,'KIDS&amp;ADULTS'!$V$3:$V$1015,A28,'KIDS&amp;ADULTS'!$M$3:$M$1015,$D$3)</f>
        <v>0</v>
      </c>
      <c r="E28" s="373">
        <f>sumifs('KIDS&amp;ADULTS'!$Z$3:$Z$1015,'KIDS&amp;ADULTS'!$V$3:$V$1015,A28,'KIDS&amp;ADULTS'!$M$3:$M$1015,"Ánh")</f>
        <v>4187000</v>
      </c>
      <c r="F28" s="373">
        <f>sumifs('KIDS&amp;ADULTS'!$Z$3:$Z$1015,'KIDS&amp;ADULTS'!$V$3:$V$1015,A28,'KIDS&amp;ADULTS'!$M$3:$M$1015,"Loan")</f>
        <v>0</v>
      </c>
      <c r="G28" s="373">
        <f t="shared" si="1"/>
        <v>4187000</v>
      </c>
      <c r="J28" s="372">
        <v>45194.0</v>
      </c>
      <c r="K28" s="374">
        <f>COUNTIFS('KIDS&amp;ADULTS'!$A$3:$A$12008,J28,'KIDS&amp;ADULTS'!$B$3:$B$12008,$K$3)</f>
        <v>0</v>
      </c>
      <c r="L28" s="374">
        <f>COUNTIFS('KIDS&amp;ADULTS'!$A$3:$A$12008,J28,'KIDS&amp;ADULTS'!$B$3:$B$12008,$L$3)</f>
        <v>0</v>
      </c>
      <c r="M28" s="374">
        <f>COUNTIFS('KIDS&amp;ADULTS'!$A$3:$A$12008,J28,'KIDS&amp;ADULTS'!$B$3:$B$12008,$M$3)</f>
        <v>0</v>
      </c>
      <c r="N28" s="375">
        <f>COUNTIFS('KIDS&amp;ADULTS'!$A$3:$A$12008,J28,'KIDS&amp;ADULTS'!$B$3:$B$12008,$N$3)</f>
        <v>2</v>
      </c>
      <c r="O28" s="375">
        <f>COUNTIFS('KIDS&amp;ADULTS'!$A$3:$A$12008,J28,'KIDS&amp;ADULTS'!$B$3:$B$12008,$O$3)</f>
        <v>0</v>
      </c>
      <c r="P28" s="375">
        <f>COUNTIFS('KIDS&amp;ADULTS'!$A$3:$A$12008,J28,'KIDS&amp;ADULTS'!$B$3:$B$12008,$P$3)</f>
        <v>0</v>
      </c>
      <c r="Q28" s="375">
        <f>COUNTIFS('KIDS&amp;ADULTS'!$A$3:$A$1008,J28,'KIDS&amp;ADULTS'!$B$3:$B$1008,$Q$3)</f>
        <v>0</v>
      </c>
      <c r="R28" s="374">
        <f>COUNTIFS('KIDS&amp;ADULTS'!$A$3:$A$12008,J28,'KIDS&amp;ADULTS'!$B$3:$B$12008,$R$3)</f>
        <v>0</v>
      </c>
      <c r="U28" s="372">
        <f t="shared" si="3"/>
        <v>45194</v>
      </c>
      <c r="V28" s="376">
        <f>COUNTIFS('KIDS&amp;ADULTS'!$V$3:$V$12006,U28,'KIDS&amp;ADULTS'!$B$3:$B$12006,$K$3,'KIDS&amp;ADULTS'!$N$3:$N$12006,"Đã đóng học phí")</f>
        <v>0</v>
      </c>
      <c r="W28" s="376">
        <f>COUNTIFS('KIDS&amp;ADULTS'!$V$3:$V$12006,U28,'KIDS&amp;ADULTS'!$B$3:$B12030,$W$3,'KIDS&amp;ADULTS'!$N$3:$N$12006,"Đã đóng học phí")</f>
        <v>0</v>
      </c>
      <c r="X28" s="376">
        <f>COUNTIFS('KIDS&amp;ADULTS'!$V$3:$V$12006,U28,'KIDS&amp;ADULTS'!$B$3:$B$12006,$X$3,'KIDS&amp;ADULTS'!$N$3:$N$12006,"Đã đóng học phí")</f>
        <v>0</v>
      </c>
      <c r="Y28" s="376">
        <f>COUNTIFS('KIDS&amp;ADULTS'!$V$3:$V$12006,U28,'KIDS&amp;ADULTS'!$B$3:$B$12006,$Y$3,'KIDS&amp;ADULTS'!$N$3:$N$12006,"Đã đóng học phí")</f>
        <v>1</v>
      </c>
      <c r="Z28" s="376">
        <f>COUNTIFS('KIDS&amp;ADULTS'!$V$3:$V$12006,U28,'KIDS&amp;ADULTS'!$B$3:$B$12006,$Z$3,'KIDS&amp;ADULTS'!$N$3:$N$12006,"Đã đóng học phí")</f>
        <v>0</v>
      </c>
      <c r="AA28" s="376">
        <f>COUNTIFS('KIDS&amp;ADULTS'!$V$3:$V$12006,U28,'KIDS&amp;ADULTS'!$B$3:$B$12006,$AA$3,'KIDS&amp;ADULTS'!$N$3:$N$12006,"Đã đóng học phí")</f>
        <v>0</v>
      </c>
      <c r="AB28" s="376">
        <f>COUNTIFS('KIDS&amp;ADULTS'!$V$3:$V$12006,U28,'KIDS&amp;ADULTS'!$B$3:$B$12006,$AB$3,'KIDS&amp;ADULTS'!$N$3:$N$12006,"Đã đóng học phí")</f>
        <v>0</v>
      </c>
      <c r="AC28" s="376">
        <f>COUNTIFS('KIDS&amp;ADULTS'!$V$3:$V$12006,U28,'KIDS&amp;ADULTS'!$B$3:$B$12006,$AC$3,'KIDS&amp;ADULTS'!$N$3:$N$12006,"Đã đóng học phí")</f>
        <v>0</v>
      </c>
    </row>
    <row r="29" ht="15.75" customHeight="1">
      <c r="A29" s="372">
        <v>45195.0</v>
      </c>
      <c r="B29" s="373">
        <f>sumifs('KIDS&amp;ADULTS'!$Z$3:$Z$1015,'KIDS&amp;ADULTS'!$V$3:$V$1015,A29,'KIDS&amp;ADULTS'!$M$3:$M$1015,$B$3)</f>
        <v>0</v>
      </c>
      <c r="C29" s="373">
        <f>sumifs('KIDS&amp;ADULTS'!$Z$3:$Z$1015,'KIDS&amp;ADULTS'!$V$3:$V$1015,A29,'KIDS&amp;ADULTS'!$M$3:$M$1015,"phương")</f>
        <v>0</v>
      </c>
      <c r="D29" s="373">
        <f>sumifs('KIDS&amp;ADULTS'!$Z$3:$Z$1015,'KIDS&amp;ADULTS'!$V$3:$V$1015,A29,'KIDS&amp;ADULTS'!$M$3:$M$1015,$D$3)</f>
        <v>0</v>
      </c>
      <c r="E29" s="373">
        <f>sumifs('KIDS&amp;ADULTS'!$Z$3:$Z$1015,'KIDS&amp;ADULTS'!$V$3:$V$1015,A29,'KIDS&amp;ADULTS'!$M$3:$M$1015,"Ánh")</f>
        <v>3264000</v>
      </c>
      <c r="F29" s="373">
        <f>sumifs('KIDS&amp;ADULTS'!$Z$3:$Z$1015,'KIDS&amp;ADULTS'!$V$3:$V$1015,A29,'KIDS&amp;ADULTS'!$M$3:$M$1015,"Loan")</f>
        <v>0</v>
      </c>
      <c r="G29" s="373">
        <f t="shared" si="1"/>
        <v>3264000</v>
      </c>
      <c r="J29" s="372">
        <v>45195.0</v>
      </c>
      <c r="K29" s="374">
        <f>COUNTIFS('KIDS&amp;ADULTS'!$A$3:$A$12008,J29,'KIDS&amp;ADULTS'!$B$3:$B$12008,$K$3)</f>
        <v>0</v>
      </c>
      <c r="L29" s="374">
        <f>COUNTIFS('KIDS&amp;ADULTS'!$A$3:$A$12008,J29,'KIDS&amp;ADULTS'!$B$3:$B$12008,$L$3)</f>
        <v>0</v>
      </c>
      <c r="M29" s="374">
        <f>COUNTIFS('KIDS&amp;ADULTS'!$A$3:$A$12008,J29,'KIDS&amp;ADULTS'!$B$3:$B$12008,$M$3)</f>
        <v>0</v>
      </c>
      <c r="N29" s="375">
        <f>COUNTIFS('KIDS&amp;ADULTS'!$A$3:$A$12008,J29,'KIDS&amp;ADULTS'!$B$3:$B$12008,$N$3)</f>
        <v>0</v>
      </c>
      <c r="O29" s="375">
        <f>COUNTIFS('KIDS&amp;ADULTS'!$A$3:$A$12008,J29,'KIDS&amp;ADULTS'!$B$3:$B$12008,$O$3)</f>
        <v>0</v>
      </c>
      <c r="P29" s="375">
        <f>COUNTIFS('KIDS&amp;ADULTS'!$A$3:$A$12008,J29,'KIDS&amp;ADULTS'!$B$3:$B$12008,$P$3)</f>
        <v>0</v>
      </c>
      <c r="Q29" s="375">
        <f>COUNTIFS('KIDS&amp;ADULTS'!$A$3:$A$1008,J29,'KIDS&amp;ADULTS'!$B$3:$B$1008,$Q$3)</f>
        <v>0</v>
      </c>
      <c r="R29" s="374">
        <f>COUNTIFS('KIDS&amp;ADULTS'!$A$3:$A$12008,J29,'KIDS&amp;ADULTS'!$B$3:$B$12008,$R$3)</f>
        <v>0</v>
      </c>
      <c r="U29" s="372">
        <f t="shared" si="3"/>
        <v>45195</v>
      </c>
      <c r="V29" s="376">
        <f>COUNTIFS('KIDS&amp;ADULTS'!$V$3:$V$12006,U29,'KIDS&amp;ADULTS'!$B$3:$B$12006,$K$3,'KIDS&amp;ADULTS'!$N$3:$N$12006,"Đã đóng học phí")</f>
        <v>0</v>
      </c>
      <c r="W29" s="376">
        <f>COUNTIFS('KIDS&amp;ADULTS'!$V$3:$V$12006,U29,'KIDS&amp;ADULTS'!$B$3:$B12031,$W$3,'KIDS&amp;ADULTS'!$N$3:$N$12006,"Đã đóng học phí")</f>
        <v>0</v>
      </c>
      <c r="X29" s="376">
        <f>COUNTIFS('KIDS&amp;ADULTS'!$V$3:$V$12006,U29,'KIDS&amp;ADULTS'!$B$3:$B$12006,$X$3,'KIDS&amp;ADULTS'!$N$3:$N$12006,"Đã đóng học phí")</f>
        <v>0</v>
      </c>
      <c r="Y29" s="376">
        <f>COUNTIFS('KIDS&amp;ADULTS'!$V$3:$V$12006,U29,'KIDS&amp;ADULTS'!$B$3:$B$12006,$Y$3,'KIDS&amp;ADULTS'!$N$3:$N$12006,"Đã đóng học phí")</f>
        <v>0</v>
      </c>
      <c r="Z29" s="376">
        <f>COUNTIFS('KIDS&amp;ADULTS'!$V$3:$V$12006,U29,'KIDS&amp;ADULTS'!$B$3:$B$12006,$Z$3,'KIDS&amp;ADULTS'!$N$3:$N$12006,"Đã đóng học phí")</f>
        <v>0</v>
      </c>
      <c r="AA29" s="376">
        <f>COUNTIFS('KIDS&amp;ADULTS'!$V$3:$V$12006,U29,'KIDS&amp;ADULTS'!$B$3:$B$12006,$AA$3,'KIDS&amp;ADULTS'!$N$3:$N$12006,"Đã đóng học phí")</f>
        <v>0</v>
      </c>
      <c r="AB29" s="376">
        <f>COUNTIFS('KIDS&amp;ADULTS'!$V$3:$V$12006,U29,'KIDS&amp;ADULTS'!$B$3:$B$12006,$AB$3,'KIDS&amp;ADULTS'!$N$3:$N$12006,"Đã đóng học phí")</f>
        <v>0</v>
      </c>
      <c r="AC29" s="376">
        <f>COUNTIFS('KIDS&amp;ADULTS'!$V$3:$V$12006,U29,'KIDS&amp;ADULTS'!$B$3:$B$12006,$AC$3,'KIDS&amp;ADULTS'!$N$3:$N$12006,"Đã đóng học phí")</f>
        <v>0</v>
      </c>
    </row>
    <row r="30" ht="15.75" customHeight="1">
      <c r="A30" s="372">
        <v>45196.0</v>
      </c>
      <c r="B30" s="373">
        <f>sumifs('KIDS&amp;ADULTS'!$Z$3:$Z$1015,'KIDS&amp;ADULTS'!$V$3:$V$1015,A30,'KIDS&amp;ADULTS'!$M$3:$M$1015,$B$3)</f>
        <v>0</v>
      </c>
      <c r="C30" s="373">
        <f>sumifs('KIDS&amp;ADULTS'!$Z$3:$Z$1015,'KIDS&amp;ADULTS'!$V$3:$V$1015,A30,'KIDS&amp;ADULTS'!$M$3:$M$1015,"phương")</f>
        <v>0</v>
      </c>
      <c r="D30" s="373">
        <f>sumifs('KIDS&amp;ADULTS'!$Z$3:$Z$1015,'KIDS&amp;ADULTS'!$V$3:$V$1015,A30,'KIDS&amp;ADULTS'!$M$3:$M$1015,$D$3)</f>
        <v>0</v>
      </c>
      <c r="E30" s="373">
        <f>sumifs('KIDS&amp;ADULTS'!$Z$3:$Z$1015,'KIDS&amp;ADULTS'!$V$3:$V$1015,A30,'KIDS&amp;ADULTS'!$M$3:$M$1015,"Ánh")</f>
        <v>0</v>
      </c>
      <c r="F30" s="373">
        <f>sumifs('KIDS&amp;ADULTS'!$Z$3:$Z$1015,'KIDS&amp;ADULTS'!$V$3:$V$1015,A30,'KIDS&amp;ADULTS'!$M$3:$M$1015,"Loan")</f>
        <v>0</v>
      </c>
      <c r="G30" s="373">
        <f t="shared" si="1"/>
        <v>0</v>
      </c>
      <c r="J30" s="372">
        <v>45196.0</v>
      </c>
      <c r="K30" s="374">
        <f>COUNTIFS('KIDS&amp;ADULTS'!$A$3:$A$12008,J30,'KIDS&amp;ADULTS'!$B$3:$B$12008,$K$3)</f>
        <v>0</v>
      </c>
      <c r="L30" s="374">
        <f>COUNTIFS('KIDS&amp;ADULTS'!$A$3:$A$12008,J30,'KIDS&amp;ADULTS'!$B$3:$B$12008,$L$3)</f>
        <v>0</v>
      </c>
      <c r="M30" s="374">
        <f>COUNTIFS('KIDS&amp;ADULTS'!$A$3:$A$12008,J30,'KIDS&amp;ADULTS'!$B$3:$B$12008,$M$3)</f>
        <v>0</v>
      </c>
      <c r="N30" s="375">
        <f>COUNTIFS('KIDS&amp;ADULTS'!$A$3:$A$12008,J30,'KIDS&amp;ADULTS'!$B$3:$B$12008,$N$3)</f>
        <v>0</v>
      </c>
      <c r="O30" s="375">
        <f>COUNTIFS('KIDS&amp;ADULTS'!$A$3:$A$12008,J30,'KIDS&amp;ADULTS'!$B$3:$B$12008,$O$3)</f>
        <v>0</v>
      </c>
      <c r="P30" s="375">
        <f>COUNTIFS('KIDS&amp;ADULTS'!$A$3:$A$12008,J30,'KIDS&amp;ADULTS'!$B$3:$B$12008,$P$3)</f>
        <v>0</v>
      </c>
      <c r="Q30" s="375">
        <f>COUNTIFS('KIDS&amp;ADULTS'!$A$3:$A$1008,J30,'KIDS&amp;ADULTS'!$B$3:$B$1008,$Q$3)</f>
        <v>0</v>
      </c>
      <c r="R30" s="374">
        <f>COUNTIFS('KIDS&amp;ADULTS'!$A$3:$A$12008,J30,'KIDS&amp;ADULTS'!$B$3:$B$12008,$R$3)</f>
        <v>0</v>
      </c>
      <c r="U30" s="372">
        <f t="shared" si="3"/>
        <v>45196</v>
      </c>
      <c r="V30" s="376">
        <f>COUNTIFS('KIDS&amp;ADULTS'!$V$3:$V$12006,U30,'KIDS&amp;ADULTS'!$B$3:$B$12006,$K$3,'KIDS&amp;ADULTS'!$N$3:$N$12006,"Đã đóng học phí")</f>
        <v>0</v>
      </c>
      <c r="W30" s="376">
        <f>COUNTIFS('KIDS&amp;ADULTS'!$V$3:$V$12006,U30,'KIDS&amp;ADULTS'!$B$3:$B12032,$W$3,'KIDS&amp;ADULTS'!$N$3:$N$12006,"Đã đóng học phí")</f>
        <v>0</v>
      </c>
      <c r="X30" s="376">
        <f>COUNTIFS('KIDS&amp;ADULTS'!$V$3:$V$12006,U30,'KIDS&amp;ADULTS'!$B$3:$B$12006,$X$3,'KIDS&amp;ADULTS'!$N$3:$N$12006,"Đã đóng học phí")</f>
        <v>0</v>
      </c>
      <c r="Y30" s="376">
        <f>COUNTIFS('KIDS&amp;ADULTS'!$V$3:$V$12006,U30,'KIDS&amp;ADULTS'!$B$3:$B$12006,$Y$3,'KIDS&amp;ADULTS'!$N$3:$N$12006,"Đã đóng học phí")</f>
        <v>0</v>
      </c>
      <c r="Z30" s="376">
        <f>COUNTIFS('KIDS&amp;ADULTS'!$V$3:$V$12006,U30,'KIDS&amp;ADULTS'!$B$3:$B$12006,$Z$3,'KIDS&amp;ADULTS'!$N$3:$N$12006,"Đã đóng học phí")</f>
        <v>0</v>
      </c>
      <c r="AA30" s="376">
        <f>COUNTIFS('KIDS&amp;ADULTS'!$V$3:$V$12006,U30,'KIDS&amp;ADULTS'!$B$3:$B$12006,$AA$3,'KIDS&amp;ADULTS'!$N$3:$N$12006,"Đã đóng học phí")</f>
        <v>0</v>
      </c>
      <c r="AB30" s="376">
        <f>COUNTIFS('KIDS&amp;ADULTS'!$V$3:$V$12006,U30,'KIDS&amp;ADULTS'!$B$3:$B$12006,$AB$3,'KIDS&amp;ADULTS'!$N$3:$N$12006,"Đã đóng học phí")</f>
        <v>0</v>
      </c>
      <c r="AC30" s="376">
        <f>COUNTIFS('KIDS&amp;ADULTS'!$V$3:$V$12006,U30,'KIDS&amp;ADULTS'!$B$3:$B$12006,$AC$3,'KIDS&amp;ADULTS'!$N$3:$N$12006,"Đã đóng học phí")</f>
        <v>0</v>
      </c>
    </row>
    <row r="31" ht="15.75" customHeight="1">
      <c r="A31" s="372">
        <v>45197.0</v>
      </c>
      <c r="B31" s="373">
        <f>sumifs('KIDS&amp;ADULTS'!$Z$3:$Z$1015,'KIDS&amp;ADULTS'!$V$3:$V$1015,A31,'KIDS&amp;ADULTS'!$M$3:$M$1015,$B$3)</f>
        <v>0</v>
      </c>
      <c r="C31" s="373">
        <f>sumifs('KIDS&amp;ADULTS'!$Z$3:$Z$1015,'KIDS&amp;ADULTS'!$V$3:$V$1015,A31,'KIDS&amp;ADULTS'!$M$3:$M$1015,"phương")</f>
        <v>0</v>
      </c>
      <c r="D31" s="373">
        <f>sumifs('KIDS&amp;ADULTS'!$Z$3:$Z$1015,'KIDS&amp;ADULTS'!$V$3:$V$1015,A31,'KIDS&amp;ADULTS'!$M$3:$M$1015,$D$3)</f>
        <v>0</v>
      </c>
      <c r="E31" s="373">
        <f>sumifs('KIDS&amp;ADULTS'!$Z$3:$Z$1015,'KIDS&amp;ADULTS'!$V$3:$V$1015,A31,'KIDS&amp;ADULTS'!$M$3:$M$1015,"Ánh")</f>
        <v>0</v>
      </c>
      <c r="F31" s="373">
        <f>sumifs('KIDS&amp;ADULTS'!$Z$3:$Z$1015,'KIDS&amp;ADULTS'!$V$3:$V$1015,A31,'KIDS&amp;ADULTS'!$M$3:$M$1015,"Loan")</f>
        <v>0</v>
      </c>
      <c r="G31" s="373">
        <f t="shared" si="1"/>
        <v>0</v>
      </c>
      <c r="J31" s="372">
        <v>45197.0</v>
      </c>
      <c r="K31" s="374">
        <f>COUNTIFS('KIDS&amp;ADULTS'!$A$3:$A$12008,J31,'KIDS&amp;ADULTS'!$B$3:$B$12008,$K$3)</f>
        <v>0</v>
      </c>
      <c r="L31" s="374">
        <f>COUNTIFS('KIDS&amp;ADULTS'!$A$3:$A$12008,J31,'KIDS&amp;ADULTS'!$B$3:$B$12008,$L$3)</f>
        <v>0</v>
      </c>
      <c r="M31" s="374">
        <f>COUNTIFS('KIDS&amp;ADULTS'!$A$3:$A$12008,J31,'KIDS&amp;ADULTS'!$B$3:$B$12008,$M$3)</f>
        <v>0</v>
      </c>
      <c r="N31" s="375">
        <f>COUNTIFS('KIDS&amp;ADULTS'!$A$3:$A$12008,J31,'KIDS&amp;ADULTS'!$B$3:$B$12008,$N$3)</f>
        <v>0</v>
      </c>
      <c r="O31" s="375">
        <f>COUNTIFS('KIDS&amp;ADULTS'!$A$3:$A$12008,J31,'KIDS&amp;ADULTS'!$B$3:$B$12008,$O$3)</f>
        <v>1</v>
      </c>
      <c r="P31" s="375">
        <f>COUNTIFS('KIDS&amp;ADULTS'!$A$3:$A$12008,J31,'KIDS&amp;ADULTS'!$B$3:$B$12008,$P$3)</f>
        <v>0</v>
      </c>
      <c r="Q31" s="375">
        <f>COUNTIFS('KIDS&amp;ADULTS'!$A$3:$A$1008,J31,'KIDS&amp;ADULTS'!$B$3:$B$1008,$Q$3)</f>
        <v>0</v>
      </c>
      <c r="R31" s="374">
        <f>COUNTIFS('KIDS&amp;ADULTS'!$A$3:$A$12008,J31,'KIDS&amp;ADULTS'!$B$3:$B$12008,$R$3)</f>
        <v>0</v>
      </c>
      <c r="U31" s="372">
        <f t="shared" si="3"/>
        <v>45197</v>
      </c>
      <c r="V31" s="376">
        <f>COUNTIFS('KIDS&amp;ADULTS'!$V$3:$V$12006,U31,'KIDS&amp;ADULTS'!$B$3:$B$12006,$K$3,'KIDS&amp;ADULTS'!$N$3:$N$12006,"Đã đóng học phí")</f>
        <v>0</v>
      </c>
      <c r="W31" s="376">
        <f>COUNTIFS('KIDS&amp;ADULTS'!$V$3:$V$12006,U31,'KIDS&amp;ADULTS'!$B$3:$B12033,$W$3,'KIDS&amp;ADULTS'!$N$3:$N$12006,"Đã đóng học phí")</f>
        <v>0</v>
      </c>
      <c r="X31" s="376">
        <f>COUNTIFS('KIDS&amp;ADULTS'!$V$3:$V$12006,U31,'KIDS&amp;ADULTS'!$B$3:$B$12006,$X$3,'KIDS&amp;ADULTS'!$N$3:$N$12006,"Đã đóng học phí")</f>
        <v>0</v>
      </c>
      <c r="Y31" s="376">
        <f>COUNTIFS('KIDS&amp;ADULTS'!$V$3:$V$12006,U31,'KIDS&amp;ADULTS'!$B$3:$B$12006,$Y$3,'KIDS&amp;ADULTS'!$N$3:$N$12006,"Đã đóng học phí")</f>
        <v>0</v>
      </c>
      <c r="Z31" s="376">
        <f>COUNTIFS('KIDS&amp;ADULTS'!$V$3:$V$12006,U31,'KIDS&amp;ADULTS'!$B$3:$B$12006,$Z$3,'KIDS&amp;ADULTS'!$N$3:$N$12006,"Đã đóng học phí")</f>
        <v>0</v>
      </c>
      <c r="AA31" s="376">
        <f>COUNTIFS('KIDS&amp;ADULTS'!$V$3:$V$12006,U31,'KIDS&amp;ADULTS'!$B$3:$B$12006,$AA$3,'KIDS&amp;ADULTS'!$N$3:$N$12006,"Đã đóng học phí")</f>
        <v>0</v>
      </c>
      <c r="AB31" s="376">
        <f>COUNTIFS('KIDS&amp;ADULTS'!$V$3:$V$12006,U31,'KIDS&amp;ADULTS'!$B$3:$B$12006,$AB$3,'KIDS&amp;ADULTS'!$N$3:$N$12006,"Đã đóng học phí")</f>
        <v>0</v>
      </c>
      <c r="AC31" s="376">
        <f>COUNTIFS('KIDS&amp;ADULTS'!$V$3:$V$12006,U31,'KIDS&amp;ADULTS'!$B$3:$B$12006,$AC$3,'KIDS&amp;ADULTS'!$N$3:$N$12006,"Đã đóng học phí")</f>
        <v>0</v>
      </c>
    </row>
    <row r="32" ht="15.75" customHeight="1">
      <c r="A32" s="372">
        <v>45198.0</v>
      </c>
      <c r="B32" s="373">
        <f>sumifs('KIDS&amp;ADULTS'!$Z$3:$Z$1015,'KIDS&amp;ADULTS'!$V$3:$V$1015,A32,'KIDS&amp;ADULTS'!$M$3:$M$1015,$B$3)</f>
        <v>0</v>
      </c>
      <c r="C32" s="373">
        <f>sumifs('KIDS&amp;ADULTS'!$Z$3:$Z$1015,'KIDS&amp;ADULTS'!$V$3:$V$1015,A32,'KIDS&amp;ADULTS'!$M$3:$M$1015,"phương")</f>
        <v>0</v>
      </c>
      <c r="D32" s="373">
        <f>sumifs('KIDS&amp;ADULTS'!$Z$3:$Z$1015,'KIDS&amp;ADULTS'!$V$3:$V$1015,A32,'KIDS&amp;ADULTS'!$M$3:$M$1015,$D$3)</f>
        <v>0</v>
      </c>
      <c r="E32" s="373">
        <f>sumifs('KIDS&amp;ADULTS'!$Z$3:$Z$1015,'KIDS&amp;ADULTS'!$V$3:$V$1015,A32,'KIDS&amp;ADULTS'!$M$3:$M$1015,"Ánh")</f>
        <v>0</v>
      </c>
      <c r="F32" s="373">
        <f>sumifs('KIDS&amp;ADULTS'!$Z$3:$Z$1015,'KIDS&amp;ADULTS'!$V$3:$V$1015,A32,'KIDS&amp;ADULTS'!$M$3:$M$1015,"Loan")</f>
        <v>0</v>
      </c>
      <c r="G32" s="373">
        <f t="shared" si="1"/>
        <v>0</v>
      </c>
      <c r="J32" s="372">
        <v>45198.0</v>
      </c>
      <c r="K32" s="374">
        <f>COUNTIFS('KIDS&amp;ADULTS'!$A$3:$A$12008,J32,'KIDS&amp;ADULTS'!$B$3:$B$12008,$K$3)</f>
        <v>0</v>
      </c>
      <c r="L32" s="374">
        <f>COUNTIFS('KIDS&amp;ADULTS'!$A$3:$A$12008,J32,'KIDS&amp;ADULTS'!$B$3:$B$12008,$L$3)</f>
        <v>0</v>
      </c>
      <c r="M32" s="374">
        <f>COUNTIFS('KIDS&amp;ADULTS'!$A$3:$A$12008,J32,'KIDS&amp;ADULTS'!$B$3:$B$12008,$M$3)</f>
        <v>0</v>
      </c>
      <c r="N32" s="375">
        <f>COUNTIFS('KIDS&amp;ADULTS'!$A$3:$A$12008,J32,'KIDS&amp;ADULTS'!$B$3:$B$12008,$N$3)</f>
        <v>1</v>
      </c>
      <c r="O32" s="375">
        <f>COUNTIFS('KIDS&amp;ADULTS'!$A$3:$A$12008,J32,'KIDS&amp;ADULTS'!$B$3:$B$12008,$O$3)</f>
        <v>1</v>
      </c>
      <c r="P32" s="375">
        <f>COUNTIFS('KIDS&amp;ADULTS'!$A$3:$A$12008,J32,'KIDS&amp;ADULTS'!$B$3:$B$12008,$P$3)</f>
        <v>0</v>
      </c>
      <c r="Q32" s="375">
        <f>COUNTIFS('KIDS&amp;ADULTS'!$A$3:$A$1008,J32,'KIDS&amp;ADULTS'!$B$3:$B$1008,$Q$3)</f>
        <v>0</v>
      </c>
      <c r="R32" s="374">
        <f>COUNTIFS('KIDS&amp;ADULTS'!$A$3:$A$12008,J32,'KIDS&amp;ADULTS'!$B$3:$B$12008,$R$3)</f>
        <v>0</v>
      </c>
      <c r="U32" s="372">
        <f t="shared" si="3"/>
        <v>45198</v>
      </c>
      <c r="V32" s="376">
        <f>COUNTIFS('KIDS&amp;ADULTS'!$V$3:$V$12006,U32,'KIDS&amp;ADULTS'!$B$3:$B$12006,$K$3,'KIDS&amp;ADULTS'!$N$3:$N$12006,"Đã đóng học phí")</f>
        <v>0</v>
      </c>
      <c r="W32" s="376">
        <f>COUNTIFS('KIDS&amp;ADULTS'!$V$3:$V$12006,U32,'KIDS&amp;ADULTS'!$B$3:$B12034,$W$3,'KIDS&amp;ADULTS'!$N$3:$N$12006,"Đã đóng học phí")</f>
        <v>0</v>
      </c>
      <c r="X32" s="376">
        <f>COUNTIFS('KIDS&amp;ADULTS'!$V$3:$V$12006,U32,'KIDS&amp;ADULTS'!$B$3:$B$12006,$X$3,'KIDS&amp;ADULTS'!$N$3:$N$12006,"Đã đóng học phí")</f>
        <v>0</v>
      </c>
      <c r="Y32" s="376">
        <f>COUNTIFS('KIDS&amp;ADULTS'!$V$3:$V$12006,U32,'KIDS&amp;ADULTS'!$B$3:$B$12006,$Y$3,'KIDS&amp;ADULTS'!$N$3:$N$12006,"Đã đóng học phí")</f>
        <v>0</v>
      </c>
      <c r="Z32" s="376">
        <f>COUNTIFS('KIDS&amp;ADULTS'!$V$3:$V$12006,U32,'KIDS&amp;ADULTS'!$B$3:$B$12006,$Z$3,'KIDS&amp;ADULTS'!$N$3:$N$12006,"Đã đóng học phí")</f>
        <v>0</v>
      </c>
      <c r="AA32" s="376">
        <f>COUNTIFS('KIDS&amp;ADULTS'!$V$3:$V$12006,U32,'KIDS&amp;ADULTS'!$B$3:$B$12006,$AA$3,'KIDS&amp;ADULTS'!$N$3:$N$12006,"Đã đóng học phí")</f>
        <v>0</v>
      </c>
      <c r="AB32" s="376">
        <f>COUNTIFS('KIDS&amp;ADULTS'!$V$3:$V$12006,U32,'KIDS&amp;ADULTS'!$B$3:$B$12006,$AB$3,'KIDS&amp;ADULTS'!$N$3:$N$12006,"Đã đóng học phí")</f>
        <v>0</v>
      </c>
      <c r="AC32" s="376">
        <f>COUNTIFS('KIDS&amp;ADULTS'!$V$3:$V$12006,U32,'KIDS&amp;ADULTS'!$B$3:$B$12006,$AC$3,'KIDS&amp;ADULTS'!$N$3:$N$12006,"Đã đóng học phí")</f>
        <v>0</v>
      </c>
    </row>
    <row r="33" ht="15.75" customHeight="1">
      <c r="A33" s="372">
        <v>45199.0</v>
      </c>
      <c r="B33" s="373">
        <f>sumifs('KIDS&amp;ADULTS'!$Z$3:$Z$1015,'KIDS&amp;ADULTS'!$V$3:$V$1015,A33,'KIDS&amp;ADULTS'!$M$3:$M$1015,$B$3)</f>
        <v>0</v>
      </c>
      <c r="C33" s="373">
        <f>sumifs('KIDS&amp;ADULTS'!$Z$3:$Z$1015,'KIDS&amp;ADULTS'!$V$3:$V$1015,A33,'KIDS&amp;ADULTS'!$M$3:$M$1015,"phương")</f>
        <v>0</v>
      </c>
      <c r="D33" s="373">
        <f>sumifs('KIDS&amp;ADULTS'!$Z$3:$Z$1015,'KIDS&amp;ADULTS'!$V$3:$V$1015,A33,'KIDS&amp;ADULTS'!$M$3:$M$1015,$D$3)</f>
        <v>0</v>
      </c>
      <c r="E33" s="373">
        <f>sumifs('KIDS&amp;ADULTS'!$Z$3:$Z$1015,'KIDS&amp;ADULTS'!$V$3:$V$1015,A33,'KIDS&amp;ADULTS'!$M$3:$M$1015,"Ánh")</f>
        <v>7437500</v>
      </c>
      <c r="F33" s="373">
        <f>sumifs('KIDS&amp;ADULTS'!$Z$3:$Z$1015,'KIDS&amp;ADULTS'!$V$3:$V$1015,A33,'KIDS&amp;ADULTS'!$M$3:$M$1015,"Loan")</f>
        <v>0</v>
      </c>
      <c r="G33" s="373">
        <f t="shared" si="1"/>
        <v>7437500</v>
      </c>
      <c r="J33" s="372">
        <v>45199.0</v>
      </c>
      <c r="K33" s="374">
        <f>COUNTIFS('KIDS&amp;ADULTS'!$A$3:$A$12008,J33,'KIDS&amp;ADULTS'!$B$3:$B$12008,$K$3)</f>
        <v>0</v>
      </c>
      <c r="L33" s="374">
        <f>COUNTIFS('KIDS&amp;ADULTS'!$A$3:$A$12008,J33,'KIDS&amp;ADULTS'!$B$3:$B$12008,$L$3)</f>
        <v>0</v>
      </c>
      <c r="M33" s="374">
        <f>COUNTIFS('KIDS&amp;ADULTS'!$A$3:$A$12008,J33,'KIDS&amp;ADULTS'!$B$3:$B$12008,$M$3)</f>
        <v>0</v>
      </c>
      <c r="N33" s="375">
        <f>COUNTIFS('KIDS&amp;ADULTS'!$A$3:$A$12008,J33,'KIDS&amp;ADULTS'!$B$3:$B$12008,$N$3)</f>
        <v>0</v>
      </c>
      <c r="O33" s="375">
        <f>COUNTIFS('KIDS&amp;ADULTS'!$A$3:$A$280,J33,'KIDS&amp;ADULTS'!$B$3:$B$280,$O$3)</f>
        <v>0</v>
      </c>
      <c r="P33" s="375">
        <f>COUNTIFS('KIDS&amp;ADULTS'!$A$3:$A$12008,J33,'KIDS&amp;ADULTS'!$B$3:$B$12008,$P$3)</f>
        <v>0</v>
      </c>
      <c r="Q33" s="375">
        <f>COUNTIFS('KIDS&amp;ADULTS'!$A$3:$A$1008,J33,'KIDS&amp;ADULTS'!$B$3:$B$1008,$Q$3)</f>
        <v>0</v>
      </c>
      <c r="R33" s="374">
        <f>COUNTIFS('KIDS&amp;ADULTS'!$A$3:$A$12008,J33,'KIDS&amp;ADULTS'!$B$3:$B$12008,$R$3)</f>
        <v>0</v>
      </c>
      <c r="U33" s="372">
        <f t="shared" si="3"/>
        <v>45199</v>
      </c>
      <c r="V33" s="376">
        <f>COUNTIFS('KIDS&amp;ADULTS'!$V$3:$V$12006,U33,'KIDS&amp;ADULTS'!$B$3:$B$12006,$K$3,'KIDS&amp;ADULTS'!$N$3:$N$12006,"Đã đóng học phí")</f>
        <v>0</v>
      </c>
      <c r="W33" s="376">
        <f>COUNTIFS('KIDS&amp;ADULTS'!$V$3:$V$12006,U33,'KIDS&amp;ADULTS'!$B$3:$B12035,$W$3,'KIDS&amp;ADULTS'!$N$3:$N$12006,"Đã đóng học phí")</f>
        <v>0</v>
      </c>
      <c r="X33" s="376">
        <f>COUNTIFS('KIDS&amp;ADULTS'!$V$3:$V$12006,U33,'KIDS&amp;ADULTS'!$B$3:$B$12006,$X$3,'KIDS&amp;ADULTS'!$N$3:$N$12006,"Đã đóng học phí")</f>
        <v>0</v>
      </c>
      <c r="Y33" s="376">
        <f>COUNTIFS('KIDS&amp;ADULTS'!$V$3:$V$12006,U33,'KIDS&amp;ADULTS'!$B$3:$B$12006,$Y$3,'KIDS&amp;ADULTS'!$N$3:$N$12006,"Đã đóng học phí")</f>
        <v>0</v>
      </c>
      <c r="Z33" s="376">
        <f>COUNTIFS('KIDS&amp;ADULTS'!$V$3:$V$12006,U33,'KIDS&amp;ADULTS'!$B$3:$B$12006,$Z$3,'KIDS&amp;ADULTS'!$N$3:$N$12006,"Đã đóng học phí")</f>
        <v>1</v>
      </c>
      <c r="AA33" s="376">
        <f>COUNTIFS('KIDS&amp;ADULTS'!$V$3:$V$12006,U33,'KIDS&amp;ADULTS'!$B$3:$B$12006,$AA$3,'KIDS&amp;ADULTS'!$N$3:$N$12006,"Đã đóng học phí")</f>
        <v>0</v>
      </c>
      <c r="AB33" s="376">
        <f>COUNTIFS('KIDS&amp;ADULTS'!$V$3:$V$12006,U33,'KIDS&amp;ADULTS'!$B$3:$B$12006,$AB$3,'KIDS&amp;ADULTS'!$N$3:$N$12006,"Đã đóng học phí")</f>
        <v>0</v>
      </c>
      <c r="AC33" s="376">
        <f>COUNTIFS('KIDS&amp;ADULTS'!$V$3:$V$12006,U33,'KIDS&amp;ADULTS'!$B$3:$B$12006,$AC$3,'KIDS&amp;ADULTS'!$N$3:$N$12006,"Đã đóng học phí")</f>
        <v>0</v>
      </c>
    </row>
    <row r="34" ht="15.75" customHeight="1">
      <c r="B34" s="386">
        <f t="shared" ref="B34:F34" si="5">sum(B4:B33)</f>
        <v>0</v>
      </c>
      <c r="C34" s="386">
        <f t="shared" si="5"/>
        <v>0</v>
      </c>
      <c r="D34" s="386">
        <f t="shared" si="5"/>
        <v>0</v>
      </c>
      <c r="E34" s="386">
        <f t="shared" si="5"/>
        <v>57923500</v>
      </c>
      <c r="F34" s="386">
        <f t="shared" si="5"/>
        <v>0</v>
      </c>
      <c r="H34" s="387">
        <f>sum(G4:G33)</f>
        <v>57923500</v>
      </c>
      <c r="J34" s="388" t="s">
        <v>4622</v>
      </c>
      <c r="K34" s="389">
        <f t="shared" ref="K34:R34" si="6">SUM(K4:K33)</f>
        <v>0</v>
      </c>
      <c r="L34" s="389">
        <f t="shared" si="6"/>
        <v>0</v>
      </c>
      <c r="M34" s="389">
        <f t="shared" si="6"/>
        <v>2</v>
      </c>
      <c r="N34" s="380">
        <f t="shared" si="6"/>
        <v>12</v>
      </c>
      <c r="O34" s="380">
        <f t="shared" si="6"/>
        <v>6</v>
      </c>
      <c r="P34" s="380">
        <f t="shared" si="6"/>
        <v>1</v>
      </c>
      <c r="Q34" s="380">
        <f t="shared" si="6"/>
        <v>5</v>
      </c>
      <c r="R34" s="389">
        <f t="shared" si="6"/>
        <v>7</v>
      </c>
      <c r="S34" s="390">
        <f>SUM(K34:R35)</f>
        <v>33</v>
      </c>
      <c r="U34" s="388" t="s">
        <v>4622</v>
      </c>
      <c r="V34" s="366">
        <f t="shared" ref="V34:Z34" si="7">SUM(V4:V33)</f>
        <v>0</v>
      </c>
      <c r="W34" s="367">
        <f t="shared" si="7"/>
        <v>0</v>
      </c>
      <c r="X34" s="377">
        <f t="shared" si="7"/>
        <v>0</v>
      </c>
      <c r="Y34" s="377">
        <f t="shared" si="7"/>
        <v>4</v>
      </c>
      <c r="Z34" s="379">
        <f t="shared" si="7"/>
        <v>2</v>
      </c>
      <c r="AA34" s="380">
        <f t="shared" ref="AA34:AB34" si="8">SUM(AA2:AA33)</f>
        <v>1</v>
      </c>
      <c r="AB34" s="380">
        <f t="shared" si="8"/>
        <v>0</v>
      </c>
      <c r="AC34" s="380">
        <f>SUM(AC4:AC33)</f>
        <v>0</v>
      </c>
      <c r="AD34" s="391">
        <f>SUM(V34:AC34)</f>
        <v>7</v>
      </c>
    </row>
    <row r="35" ht="15.75" customHeight="1">
      <c r="F35" s="392"/>
    </row>
    <row r="36" ht="15.75" customHeight="1">
      <c r="H36" s="383"/>
    </row>
    <row r="37" ht="15.75" customHeight="1">
      <c r="I37" s="383" t="s">
        <v>3683</v>
      </c>
      <c r="J37" s="396" t="s">
        <v>4723</v>
      </c>
      <c r="K37" s="397">
        <f>COUNTIFS('KIDS&amp;ADULTS'!V:V,"&gt;"&amp;"31-8-2023",'KIDS&amp;ADULTS'!V:V,"&lt;"&amp;"1-10-2023")</f>
        <v>14</v>
      </c>
      <c r="M37" s="383">
        <f>K37/S34</f>
        <v>0.4242424242</v>
      </c>
      <c r="U37" s="358" t="s">
        <v>4626</v>
      </c>
    </row>
    <row r="38" ht="15.75" customHeight="1">
      <c r="G38" s="386"/>
      <c r="U38" s="361" t="s">
        <v>4613</v>
      </c>
      <c r="V38" s="363" t="s">
        <v>4616</v>
      </c>
      <c r="W38" s="235"/>
      <c r="X38" s="235"/>
      <c r="Y38" s="235"/>
      <c r="Z38" s="235"/>
      <c r="AA38" s="235"/>
      <c r="AB38" s="235"/>
      <c r="AC38" s="236"/>
    </row>
    <row r="39" ht="15.75" customHeight="1">
      <c r="G39" s="386"/>
      <c r="U39" s="11"/>
      <c r="V39" s="366" t="s">
        <v>4620</v>
      </c>
      <c r="W39" s="367" t="s">
        <v>4621</v>
      </c>
      <c r="X39" s="368" t="s">
        <v>73</v>
      </c>
      <c r="Y39" s="369" t="s">
        <v>201</v>
      </c>
      <c r="Z39" s="370" t="s">
        <v>84</v>
      </c>
      <c r="AA39" s="371" t="s">
        <v>60</v>
      </c>
      <c r="AB39" s="371" t="s">
        <v>539</v>
      </c>
      <c r="AC39" s="371" t="s">
        <v>703</v>
      </c>
    </row>
    <row r="40" ht="15.75" customHeight="1">
      <c r="H40" s="123"/>
      <c r="U40" s="372">
        <v>45170.0</v>
      </c>
      <c r="V40" s="398">
        <f>SUMIFS('KIDS&amp;ADULTS'!$Z$3:$Z$12006,'KIDS&amp;ADULTS'!V$3:V$12006,U40,'KIDS&amp;ADULTS'!$B$3:$B$12006,$K$3,'KIDS&amp;ADULTS'!$N$3:$N$12006,"Đã đóng học phí")</f>
        <v>0</v>
      </c>
      <c r="W40" s="398">
        <f>SUMIFS('KIDS&amp;ADULTS'!$Z$3:$Z$12006,'KIDS&amp;ADULTS'!$V$3:$V$12006,U40,'KIDS&amp;ADULTS'!$B$3:$B$12006,$W$3,'KIDS&amp;ADULTS'!$N$3:$N$12006,"Đã đóng học phí")</f>
        <v>0</v>
      </c>
      <c r="X40" s="398">
        <f>SUMIFS('KIDS&amp;ADULTS'!$Z$3:$Z$12006,'KIDS&amp;ADULTS'!$V$3:$V$12006,U40,'KIDS&amp;ADULTS'!$B$3:$B$12006,$X$3,'KIDS&amp;ADULTS'!$N$3:$N$12006,"Đã đóng học phí")</f>
        <v>0</v>
      </c>
      <c r="Y40" s="398">
        <f>SUMIFS('KIDS&amp;ADULTS'!$Z$3:$Z$12006,'KIDS&amp;ADULTS'!$V$3:$V$12006,U40,'KIDS&amp;ADULTS'!$B$3:$B$12006,$Y$3,'KIDS&amp;ADULTS'!$N$3:$N$12006,"Đã đóng học phí")</f>
        <v>0</v>
      </c>
      <c r="Z40" s="398">
        <f>SUMIFS('KIDS&amp;ADULTS'!$Z$3:$Z$12006,'KIDS&amp;ADULTS'!$V$3:$V$12006,U40,'KIDS&amp;ADULTS'!$B$3:$B$12006,$Z$3,'KIDS&amp;ADULTS'!$N$3:$N$12006,"Đã đóng học phí")</f>
        <v>0</v>
      </c>
      <c r="AA40" s="398">
        <f>SUMIFS('KIDS&amp;ADULTS'!$Z$3:$Z$12006,'KIDS&amp;ADULTS'!$V$3:$V$12006,U40,'KIDS&amp;ADULTS'!$B$3:$B$12006,$AA$3,'KIDS&amp;ADULTS'!$N$3:$N$12006,"Đã đóng học phí")</f>
        <v>0</v>
      </c>
      <c r="AB40" s="398">
        <f>SUMIFS('KIDS&amp;ADULTS'!$Z$3:$Z$12006,'KIDS&amp;ADULTS'!$V$3:$V$12006,U40,'KIDS&amp;ADULTS'!$B$3:$B$12006,$AB$3,'KIDS&amp;ADULTS'!$N$3:$N$12006,"Đã đóng học phí")</f>
        <v>0</v>
      </c>
      <c r="AC40" s="398">
        <f>SUMIFS('KIDS&amp;ADULTS'!$Z$3:$Z$12006,'KIDS&amp;ADULTS'!$V$3:$V$12006,U40,'KIDS&amp;ADULTS'!$B$3:$B$12006,$AC$3,'KIDS&amp;ADULTS'!$N$3:$N$12006,"Đã đóng học phí")</f>
        <v>0</v>
      </c>
      <c r="AD40" s="398">
        <f t="shared" ref="AD40:AD71" si="9">SUM(V40:AC40)</f>
        <v>0</v>
      </c>
      <c r="AE40" s="373">
        <v>0.0</v>
      </c>
    </row>
    <row r="41" ht="15.75" customHeight="1">
      <c r="U41" s="372">
        <f t="shared" ref="U41:U70" si="10">U40+1</f>
        <v>45171</v>
      </c>
      <c r="V41" s="398">
        <f>SUMIFS('KIDS&amp;ADULTS'!$Z$3:$Z$12006,'KIDS&amp;ADULTS'!V$3:V$12006,U41,'KIDS&amp;ADULTS'!$B$3:$B$12006,$K$3,'KIDS&amp;ADULTS'!$N$3:$N$12006,"Đã đóng học phí")</f>
        <v>0</v>
      </c>
      <c r="W41" s="398">
        <f>SUMIFS('KIDS&amp;ADULTS'!$Z$3:$Z$12006,'KIDS&amp;ADULTS'!$V$3:$V$12006,U41,'KIDS&amp;ADULTS'!$B$3:$B$12006,$W$3,'KIDS&amp;ADULTS'!$N$3:$N$12006,"Đã đóng học phí")</f>
        <v>0</v>
      </c>
      <c r="X41" s="398">
        <f>SUMIFS('KIDS&amp;ADULTS'!$Z$3:$Z$12006,'KIDS&amp;ADULTS'!$V$3:$V$12006,U41,'KIDS&amp;ADULTS'!$B$3:$B$12006,$X$3,'KIDS&amp;ADULTS'!$N$3:$N$12006,"Đã đóng học phí")</f>
        <v>0</v>
      </c>
      <c r="Y41" s="398">
        <f>SUMIFS('KIDS&amp;ADULTS'!$Z$3:$Z$12006,'KIDS&amp;ADULTS'!$V$3:$V$12006,U41,'KIDS&amp;ADULTS'!$B$3:$B$12006,$Y$3,'KIDS&amp;ADULTS'!$N$3:$N$12006,"Đã đóng học phí")</f>
        <v>0</v>
      </c>
      <c r="Z41" s="398">
        <f>SUMIFS('KIDS&amp;ADULTS'!$Z$3:$Z$12006,'KIDS&amp;ADULTS'!$V$3:$V$12006,U41,'KIDS&amp;ADULTS'!$B$3:$B$12006,$Z$3,'KIDS&amp;ADULTS'!$N$3:$N$12006,"Đã đóng học phí")</f>
        <v>0</v>
      </c>
      <c r="AA41" s="398">
        <f>SUMIFS('KIDS&amp;ADULTS'!$Z$3:$Z$12006,'KIDS&amp;ADULTS'!$V$3:$V$12006,U41,'KIDS&amp;ADULTS'!$B$3:$B$12006,$AA$3,'KIDS&amp;ADULTS'!$N$3:$N$12006,"Đã đóng học phí")</f>
        <v>0</v>
      </c>
      <c r="AB41" s="398">
        <f>SUMIFS('KIDS&amp;ADULTS'!$Z$3:$Z$12006,'KIDS&amp;ADULTS'!$V$3:$V$12006,U41,'KIDS&amp;ADULTS'!$B$3:$B$12006,$AB$3,'KIDS&amp;ADULTS'!$N$3:$N$12006,"Đã đóng học phí")</f>
        <v>0</v>
      </c>
      <c r="AC41" s="398">
        <f>SUMIFS('KIDS&amp;ADULTS'!$Z$3:$Z$12006,'KIDS&amp;ADULTS'!$V$3:$V$12006,U41,'KIDS&amp;ADULTS'!$B$3:$B$12006,$AC$3,'KIDS&amp;ADULTS'!$N$3:$N$12006,"Đã đóng học phí")</f>
        <v>0</v>
      </c>
      <c r="AD41" s="398">
        <f t="shared" si="9"/>
        <v>0</v>
      </c>
      <c r="AE41" s="373">
        <v>0.0</v>
      </c>
    </row>
    <row r="42" ht="15.75" customHeight="1">
      <c r="U42" s="372">
        <f t="shared" si="10"/>
        <v>45172</v>
      </c>
      <c r="V42" s="398">
        <f>SUMIFS('KIDS&amp;ADULTS'!$Z$3:$Z$12006,'KIDS&amp;ADULTS'!V$3:V$12006,U42,'KIDS&amp;ADULTS'!$B$3:$B$12006,$K$3,'KIDS&amp;ADULTS'!$N$3:$N$12006,"Đã đóng học phí")</f>
        <v>0</v>
      </c>
      <c r="W42" s="398">
        <f>SUMIFS('KIDS&amp;ADULTS'!$Z$3:$Z$12006,'KIDS&amp;ADULTS'!$V$3:$V$12006,U42,'KIDS&amp;ADULTS'!$B$3:$B$12006,$W$3,'KIDS&amp;ADULTS'!$N$3:$N$12006,"Đã đóng học phí")</f>
        <v>0</v>
      </c>
      <c r="X42" s="398">
        <f>SUMIFS('KIDS&amp;ADULTS'!$Z$3:$Z$12006,'KIDS&amp;ADULTS'!$V$3:$V$12006,U42,'KIDS&amp;ADULTS'!$B$3:$B$12006,$X$3,'KIDS&amp;ADULTS'!$N$3:$N$12006,"Đã đóng học phí")</f>
        <v>0</v>
      </c>
      <c r="Y42" s="398">
        <f>SUMIFS('KIDS&amp;ADULTS'!$Z$3:$Z$12006,'KIDS&amp;ADULTS'!$V$3:$V$12006,U42,'KIDS&amp;ADULTS'!$B$3:$B$12006,$Y$3,'KIDS&amp;ADULTS'!$N$3:$N$12006,"Đã đóng học phí")</f>
        <v>0</v>
      </c>
      <c r="Z42" s="398">
        <f>SUMIFS('KIDS&amp;ADULTS'!$Z$3:$Z$12006,'KIDS&amp;ADULTS'!$V$3:$V$12006,U42,'KIDS&amp;ADULTS'!$B$3:$B$12006,$Z$3,'KIDS&amp;ADULTS'!$N$3:$N$12006,"Đã đóng học phí")</f>
        <v>0</v>
      </c>
      <c r="AA42" s="398">
        <f>SUMIFS('KIDS&amp;ADULTS'!$Z$3:$Z$12006,'KIDS&amp;ADULTS'!$V$3:$V$12006,U42,'KIDS&amp;ADULTS'!$B$3:$B$12006,$AA$3,'KIDS&amp;ADULTS'!$N$3:$N$12006,"Đã đóng học phí")</f>
        <v>0</v>
      </c>
      <c r="AB42" s="398">
        <f>SUMIFS('KIDS&amp;ADULTS'!$Z$3:$Z$12006,'KIDS&amp;ADULTS'!$V$3:$V$12006,U42,'KIDS&amp;ADULTS'!$B$3:$B$12006,$AB$3,'KIDS&amp;ADULTS'!$N$3:$N$12006,"Đã đóng học phí")</f>
        <v>0</v>
      </c>
      <c r="AC42" s="398">
        <f>SUMIFS('KIDS&amp;ADULTS'!$Z$3:$Z$12006,'KIDS&amp;ADULTS'!$V$3:$V$12006,U42,'KIDS&amp;ADULTS'!$B$3:$B$12006,$AC$3,'KIDS&amp;ADULTS'!$N$3:$N$12006,"Đã đóng học phí")</f>
        <v>0</v>
      </c>
      <c r="AD42" s="398">
        <f t="shared" si="9"/>
        <v>0</v>
      </c>
      <c r="AE42" s="373">
        <v>0.0</v>
      </c>
    </row>
    <row r="43" ht="15.75" customHeight="1">
      <c r="U43" s="372">
        <f t="shared" si="10"/>
        <v>45173</v>
      </c>
      <c r="V43" s="398">
        <f>SUMIFS('KIDS&amp;ADULTS'!$Z$3:$Z$12006,'KIDS&amp;ADULTS'!V$3:V$12006,U43,'KIDS&amp;ADULTS'!$B$3:$B$12006,$K$3,'KIDS&amp;ADULTS'!$N$3:$N$12006,"Đã đóng học phí")</f>
        <v>0</v>
      </c>
      <c r="W43" s="398">
        <f>SUMIFS('KIDS&amp;ADULTS'!$Z$3:$Z$12006,'KIDS&amp;ADULTS'!$V$3:$V$12006,U43,'KIDS&amp;ADULTS'!$B$3:$B$12006,$W$3,'KIDS&amp;ADULTS'!$N$3:$N$12006,"Đã đóng học phí")</f>
        <v>0</v>
      </c>
      <c r="X43" s="398">
        <f>SUMIFS('KIDS&amp;ADULTS'!$Z$3:$Z$12006,'KIDS&amp;ADULTS'!$V$3:$V$12006,U43,'KIDS&amp;ADULTS'!$B$3:$B$12006,$X$3,'KIDS&amp;ADULTS'!$N$3:$N$12006,"Đã đóng học phí")</f>
        <v>0</v>
      </c>
      <c r="Y43" s="398">
        <f>SUMIFS('KIDS&amp;ADULTS'!$Z$3:$Z$12006,'KIDS&amp;ADULTS'!$V$3:$V$12006,U43,'KIDS&amp;ADULTS'!$B$3:$B$12006,$Y$3,'KIDS&amp;ADULTS'!$N$3:$N$12006,"Đã đóng học phí")</f>
        <v>0</v>
      </c>
      <c r="Z43" s="398">
        <f>SUMIFS('KIDS&amp;ADULTS'!$Z$3:$Z$12006,'KIDS&amp;ADULTS'!$V$3:$V$12006,U43,'KIDS&amp;ADULTS'!$B$3:$B$12006,$Z$3,'KIDS&amp;ADULTS'!$N$3:$N$12006,"Đã đóng học phí")</f>
        <v>0</v>
      </c>
      <c r="AA43" s="398">
        <f>SUMIFS('KIDS&amp;ADULTS'!$Z$3:$Z$12006,'KIDS&amp;ADULTS'!$V$3:$V$12006,U43,'KIDS&amp;ADULTS'!$B$3:$B$12006,$AA$3,'KIDS&amp;ADULTS'!$N$3:$N$12006,"Đã đóng học phí")</f>
        <v>0</v>
      </c>
      <c r="AB43" s="398">
        <f>SUMIFS('KIDS&amp;ADULTS'!$Z$3:$Z$12006,'KIDS&amp;ADULTS'!$V$3:$V$12006,U43,'KIDS&amp;ADULTS'!$B$3:$B$12006,$AB$3,'KIDS&amp;ADULTS'!$N$3:$N$12006,"Đã đóng học phí")</f>
        <v>0</v>
      </c>
      <c r="AC43" s="398">
        <f>SUMIFS('KIDS&amp;ADULTS'!$Z$3:$Z$12006,'KIDS&amp;ADULTS'!$V$3:$V$12006,U43,'KIDS&amp;ADULTS'!$B$3:$B$12006,$AC$3,'KIDS&amp;ADULTS'!$N$3:$N$12006,"Đã đóng học phí")</f>
        <v>0</v>
      </c>
      <c r="AD43" s="398">
        <f t="shared" si="9"/>
        <v>0</v>
      </c>
      <c r="AE43" s="373">
        <v>0.0</v>
      </c>
    </row>
    <row r="44" ht="15.75" customHeight="1">
      <c r="K44" s="386"/>
      <c r="U44" s="372">
        <f t="shared" si="10"/>
        <v>45174</v>
      </c>
      <c r="V44" s="398">
        <f>SUMIFS('KIDS&amp;ADULTS'!$Z$3:$Z$12006,'KIDS&amp;ADULTS'!V$3:V$12006,U44,'KIDS&amp;ADULTS'!$B$3:$B$12006,$K$3,'KIDS&amp;ADULTS'!$N$3:$N$12006,"Đã đóng học phí")</f>
        <v>0</v>
      </c>
      <c r="W44" s="398">
        <f>SUMIFS('KIDS&amp;ADULTS'!$Z$3:$Z$12006,'KIDS&amp;ADULTS'!$V$3:$V$12006,U44,'KIDS&amp;ADULTS'!$B$3:$B$12006,$W$3,'KIDS&amp;ADULTS'!$N$3:$N$12006,"Đã đóng học phí")</f>
        <v>0</v>
      </c>
      <c r="X44" s="398">
        <f>SUMIFS('KIDS&amp;ADULTS'!$Z$3:$Z$12006,'KIDS&amp;ADULTS'!$V$3:$V$12006,U44,'KIDS&amp;ADULTS'!$B$3:$B$12006,$X$3,'KIDS&amp;ADULTS'!$N$3:$N$12006,"Đã đóng học phí")</f>
        <v>0</v>
      </c>
      <c r="Y44" s="398">
        <f>SUMIFS('KIDS&amp;ADULTS'!$Z$3:$Z$12006,'KIDS&amp;ADULTS'!$V$3:$V$12006,U44,'KIDS&amp;ADULTS'!$B$3:$B$12006,$Y$3,'KIDS&amp;ADULTS'!$N$3:$N$12006,"Đã đóng học phí")</f>
        <v>0</v>
      </c>
      <c r="Z44" s="398">
        <f>SUMIFS('KIDS&amp;ADULTS'!$Z$3:$Z$12006,'KIDS&amp;ADULTS'!$V$3:$V$12006,U44,'KIDS&amp;ADULTS'!$B$3:$B$12006,$Z$3,'KIDS&amp;ADULTS'!$N$3:$N$12006,"Đã đóng học phí")</f>
        <v>0</v>
      </c>
      <c r="AA44" s="398">
        <f>SUMIFS('KIDS&amp;ADULTS'!$Z$3:$Z$12006,'KIDS&amp;ADULTS'!$V$3:$V$12006,U44,'KIDS&amp;ADULTS'!$B$3:$B$12006,$AA$3,'KIDS&amp;ADULTS'!$N$3:$N$12006,"Đã đóng học phí")</f>
        <v>0</v>
      </c>
      <c r="AB44" s="398">
        <f>SUMIFS('KIDS&amp;ADULTS'!$Z$3:$Z$12006,'KIDS&amp;ADULTS'!$V$3:$V$12006,U44,'KIDS&amp;ADULTS'!$B$3:$B$12006,$AB$3,'KIDS&amp;ADULTS'!$N$3:$N$12006,"Đã đóng học phí")</f>
        <v>0</v>
      </c>
      <c r="AC44" s="398">
        <f>SUMIFS('KIDS&amp;ADULTS'!$Z$3:$Z$12006,'KIDS&amp;ADULTS'!$V$3:$V$12006,U44,'KIDS&amp;ADULTS'!$B$3:$B$12006,$AC$3,'KIDS&amp;ADULTS'!$N$3:$N$12006,"Đã đóng học phí")</f>
        <v>0</v>
      </c>
      <c r="AD44" s="398">
        <f t="shared" si="9"/>
        <v>0</v>
      </c>
      <c r="AE44" s="373">
        <v>0.0</v>
      </c>
    </row>
    <row r="45" ht="15.75" customHeight="1">
      <c r="K45" s="386"/>
      <c r="U45" s="372">
        <f t="shared" si="10"/>
        <v>45175</v>
      </c>
      <c r="V45" s="398">
        <f>SUMIFS('KIDS&amp;ADULTS'!$Z$3:$Z$12006,'KIDS&amp;ADULTS'!V$3:V$12006,U45,'KIDS&amp;ADULTS'!$B$3:$B$12006,$K$3,'KIDS&amp;ADULTS'!$N$3:$N$12006,"Đã đóng học phí")</f>
        <v>0</v>
      </c>
      <c r="W45" s="398">
        <f>SUMIFS('KIDS&amp;ADULTS'!$Z$3:$Z$12006,'KIDS&amp;ADULTS'!$V$3:$V$12006,U45,'KIDS&amp;ADULTS'!$B$3:$B$12006,$W$3,'KIDS&amp;ADULTS'!$N$3:$N$12006,"Đã đóng học phí")</f>
        <v>0</v>
      </c>
      <c r="X45" s="398">
        <f>SUMIFS('KIDS&amp;ADULTS'!$Z$3:$Z$12006,'KIDS&amp;ADULTS'!$V$3:$V$12006,U45,'KIDS&amp;ADULTS'!$B$3:$B$12006,$X$3,'KIDS&amp;ADULTS'!$N$3:$N$12006,"Đã đóng học phí")</f>
        <v>0</v>
      </c>
      <c r="Y45" s="398">
        <f>SUMIFS('KIDS&amp;ADULTS'!$Z$3:$Z$12006,'KIDS&amp;ADULTS'!$V$3:$V$12006,U45,'KIDS&amp;ADULTS'!$B$3:$B$12006,$Y$3,'KIDS&amp;ADULTS'!$N$3:$N$12006,"Đã đóng học phí")</f>
        <v>0</v>
      </c>
      <c r="Z45" s="398">
        <f>SUMIFS('KIDS&amp;ADULTS'!$Z$3:$Z$12006,'KIDS&amp;ADULTS'!$V$3:$V$12006,U45,'KIDS&amp;ADULTS'!$B$3:$B$12006,$Z$3,'KIDS&amp;ADULTS'!$N$3:$N$12006,"Đã đóng học phí")</f>
        <v>0</v>
      </c>
      <c r="AA45" s="398">
        <f>SUMIFS('KIDS&amp;ADULTS'!$Z$3:$Z$12006,'KIDS&amp;ADULTS'!$V$3:$V$12006,U45,'KIDS&amp;ADULTS'!$B$3:$B$12006,$AA$3,'KIDS&amp;ADULTS'!$N$3:$N$12006,"Đã đóng học phí")</f>
        <v>0</v>
      </c>
      <c r="AB45" s="398">
        <f>SUMIFS('KIDS&amp;ADULTS'!$Z$3:$Z$12006,'KIDS&amp;ADULTS'!$V$3:$V$12006,U45,'KIDS&amp;ADULTS'!$B$3:$B$12006,$AB$3,'KIDS&amp;ADULTS'!$N$3:$N$12006,"Đã đóng học phí")</f>
        <v>0</v>
      </c>
      <c r="AC45" s="398">
        <f>SUMIFS('KIDS&amp;ADULTS'!$Z$3:$Z$12006,'KIDS&amp;ADULTS'!$V$3:$V$12006,U45,'KIDS&amp;ADULTS'!$B$3:$B$12006,$AC$3,'KIDS&amp;ADULTS'!$N$3:$N$12006,"Đã đóng học phí")</f>
        <v>0</v>
      </c>
      <c r="AD45" s="398">
        <f t="shared" si="9"/>
        <v>0</v>
      </c>
      <c r="AE45" s="373">
        <v>0.0</v>
      </c>
    </row>
    <row r="46" ht="15.75" customHeight="1">
      <c r="U46" s="372">
        <f t="shared" si="10"/>
        <v>45176</v>
      </c>
      <c r="V46" s="398">
        <f>SUMIFS('KIDS&amp;ADULTS'!$Z$3:$Z$12006,'KIDS&amp;ADULTS'!V$3:V$12006,U46,'KIDS&amp;ADULTS'!$B$3:$B$12006,$K$3,'KIDS&amp;ADULTS'!$N$3:$N$12006,"Đã đóng học phí")</f>
        <v>0</v>
      </c>
      <c r="W46" s="398">
        <f>SUMIFS('KIDS&amp;ADULTS'!$Z$3:$Z$12006,'KIDS&amp;ADULTS'!$V$3:$V$12006,U46,'KIDS&amp;ADULTS'!$B$3:$B$12006,$W$3,'KIDS&amp;ADULTS'!$N$3:$N$12006,"Đã đóng học phí")</f>
        <v>0</v>
      </c>
      <c r="X46" s="398">
        <f>SUMIFS('KIDS&amp;ADULTS'!$Z$3:$Z$12006,'KIDS&amp;ADULTS'!$V$3:$V$12006,U46,'KIDS&amp;ADULTS'!$B$3:$B$12006,$X$3,'KIDS&amp;ADULTS'!$N$3:$N$12006,"Đã đóng học phí")</f>
        <v>0</v>
      </c>
      <c r="Y46" s="398">
        <f>SUMIFS('KIDS&amp;ADULTS'!$Z$3:$Z$12006,'KIDS&amp;ADULTS'!$V$3:$V$12006,U46,'KIDS&amp;ADULTS'!$B$3:$B$12006,$Y$3,'KIDS&amp;ADULTS'!$N$3:$N$12006,"Đã đóng học phí")</f>
        <v>0</v>
      </c>
      <c r="Z46" s="398">
        <f>SUMIFS('KIDS&amp;ADULTS'!$Z$3:$Z$12006,'KIDS&amp;ADULTS'!$V$3:$V$12006,U46,'KIDS&amp;ADULTS'!$B$3:$B$12006,$Z$3,'KIDS&amp;ADULTS'!$N$3:$N$12006,"Đã đóng học phí")</f>
        <v>0</v>
      </c>
      <c r="AA46" s="398">
        <f>SUMIFS('KIDS&amp;ADULTS'!$Z$3:$Z$12006,'KIDS&amp;ADULTS'!$V$3:$V$12006,U46,'KIDS&amp;ADULTS'!$B$3:$B$12006,$AA$3,'KIDS&amp;ADULTS'!$N$3:$N$12006,"Đã đóng học phí")</f>
        <v>0</v>
      </c>
      <c r="AB46" s="398">
        <f>SUMIFS('KIDS&amp;ADULTS'!$Z$3:$Z$12006,'KIDS&amp;ADULTS'!$V$3:$V$12006,U46,'KIDS&amp;ADULTS'!$B$3:$B$12006,$AB$3,'KIDS&amp;ADULTS'!$N$3:$N$12006,"Đã đóng học phí")</f>
        <v>0</v>
      </c>
      <c r="AC46" s="398">
        <f>SUMIFS('KIDS&amp;ADULTS'!$Z$3:$Z$12006,'KIDS&amp;ADULTS'!$V$3:$V$12006,U46,'KIDS&amp;ADULTS'!$B$3:$B$12006,$AC$3,'KIDS&amp;ADULTS'!$N$3:$N$12006,"Đã đóng học phí")</f>
        <v>0</v>
      </c>
      <c r="AD46" s="398">
        <f t="shared" si="9"/>
        <v>0</v>
      </c>
      <c r="AE46" s="373">
        <v>5328000.0</v>
      </c>
    </row>
    <row r="47" ht="15.75" customHeight="1">
      <c r="U47" s="372">
        <f t="shared" si="10"/>
        <v>45177</v>
      </c>
      <c r="V47" s="398">
        <f>SUMIFS('KIDS&amp;ADULTS'!$Z$3:$Z$12006,'KIDS&amp;ADULTS'!V$3:V$12006,U47,'KIDS&amp;ADULTS'!$B$3:$B$12006,$K$3,'KIDS&amp;ADULTS'!$N$3:$N$12006,"Đã đóng học phí")</f>
        <v>0</v>
      </c>
      <c r="W47" s="398">
        <f>SUMIFS('KIDS&amp;ADULTS'!$Z$3:$Z$12006,'KIDS&amp;ADULTS'!$V$3:$V$12006,U47,'KIDS&amp;ADULTS'!$B$3:$B$12006,$W$3,'KIDS&amp;ADULTS'!$N$3:$N$12006,"Đã đóng học phí")</f>
        <v>0</v>
      </c>
      <c r="X47" s="398">
        <f>SUMIFS('KIDS&amp;ADULTS'!$Z$3:$Z$12006,'KIDS&amp;ADULTS'!$V$3:$V$12006,U47,'KIDS&amp;ADULTS'!$B$3:$B$12006,$X$3,'KIDS&amp;ADULTS'!$N$3:$N$12006,"Đã đóng học phí")</f>
        <v>0</v>
      </c>
      <c r="Y47" s="398">
        <f>SUMIFS('KIDS&amp;ADULTS'!$Z$3:$Z$12006,'KIDS&amp;ADULTS'!$V$3:$V$12006,U47,'KIDS&amp;ADULTS'!$B$3:$B$12006,$Y$3,'KIDS&amp;ADULTS'!$N$3:$N$12006,"Đã đóng học phí")</f>
        <v>0</v>
      </c>
      <c r="Z47" s="398">
        <f>SUMIFS('KIDS&amp;ADULTS'!$Z$3:$Z$12006,'KIDS&amp;ADULTS'!$V$3:$V$12006,U47,'KIDS&amp;ADULTS'!$B$3:$B$12006,$Z$3,'KIDS&amp;ADULTS'!$N$3:$N$12006,"Đã đóng học phí")</f>
        <v>0</v>
      </c>
      <c r="AA47" s="398">
        <f>SUMIFS('KIDS&amp;ADULTS'!$Z$3:$Z$12006,'KIDS&amp;ADULTS'!$V$3:$V$12006,U47,'KIDS&amp;ADULTS'!$B$3:$B$12006,$AA$3,'KIDS&amp;ADULTS'!$N$3:$N$12006,"Đã đóng học phí")</f>
        <v>2664000</v>
      </c>
      <c r="AB47" s="398">
        <f>SUMIFS('KIDS&amp;ADULTS'!$Z$3:$Z$12006,'KIDS&amp;ADULTS'!$V$3:$V$12006,U47,'KIDS&amp;ADULTS'!$B$3:$B$12006,$AB$3,'KIDS&amp;ADULTS'!$N$3:$N$12006,"Đã đóng học phí")</f>
        <v>0</v>
      </c>
      <c r="AC47" s="398">
        <f>SUMIFS('KIDS&amp;ADULTS'!$Z$3:$Z$12006,'KIDS&amp;ADULTS'!$V$3:$V$12006,U47,'KIDS&amp;ADULTS'!$B$3:$B$12006,$AC$3,'KIDS&amp;ADULTS'!$N$3:$N$12006,"Đã đóng học phí")</f>
        <v>0</v>
      </c>
      <c r="AD47" s="398">
        <f t="shared" si="9"/>
        <v>2664000</v>
      </c>
      <c r="AE47" s="373">
        <v>5328000.0</v>
      </c>
    </row>
    <row r="48" ht="15.75" customHeight="1">
      <c r="U48" s="372">
        <f t="shared" si="10"/>
        <v>45178</v>
      </c>
      <c r="V48" s="398">
        <f>SUMIFS('KIDS&amp;ADULTS'!$Z$3:$Z$12006,'KIDS&amp;ADULTS'!V$3:V$12006,U48,'KIDS&amp;ADULTS'!$B$3:$B$12006,$K$3,'KIDS&amp;ADULTS'!$N$3:$N$12006,"Đã đóng học phí")</f>
        <v>0</v>
      </c>
      <c r="W48" s="398">
        <f>SUMIFS('KIDS&amp;ADULTS'!$Z$3:$Z$12006,'KIDS&amp;ADULTS'!$V$3:$V$12006,U48,'KIDS&amp;ADULTS'!$B$3:$B$12006,$W$3,'KIDS&amp;ADULTS'!$N$3:$N$12006,"Đã đóng học phí")</f>
        <v>0</v>
      </c>
      <c r="X48" s="398">
        <f>SUMIFS('KIDS&amp;ADULTS'!$Z$3:$Z$12006,'KIDS&amp;ADULTS'!$V$3:$V$12006,U48,'KIDS&amp;ADULTS'!$B$3:$B$12006,$X$3,'KIDS&amp;ADULTS'!$N$3:$N$12006,"Đã đóng học phí")</f>
        <v>0</v>
      </c>
      <c r="Y48" s="398">
        <f>SUMIFS('KIDS&amp;ADULTS'!$Z$3:$Z$12006,'KIDS&amp;ADULTS'!$V$3:$V$12006,U48,'KIDS&amp;ADULTS'!$B$3:$B$12006,$Y$3,'KIDS&amp;ADULTS'!$N$3:$N$12006,"Đã đóng học phí")</f>
        <v>4349000</v>
      </c>
      <c r="Z48" s="398">
        <f>SUMIFS('KIDS&amp;ADULTS'!$Z$3:$Z$12006,'KIDS&amp;ADULTS'!$V$3:$V$12006,U48,'KIDS&amp;ADULTS'!$B$3:$B$12006,$Z$3,'KIDS&amp;ADULTS'!$N$3:$N$12006,"Đã đóng học phí")</f>
        <v>0</v>
      </c>
      <c r="AA48" s="398">
        <f>SUMIFS('KIDS&amp;ADULTS'!$Z$3:$Z$12006,'KIDS&amp;ADULTS'!$V$3:$V$12006,U48,'KIDS&amp;ADULTS'!$B$3:$B$12006,$AA$3,'KIDS&amp;ADULTS'!$N$3:$N$12006,"Đã đóng học phí")</f>
        <v>0</v>
      </c>
      <c r="AB48" s="398">
        <f>SUMIFS('KIDS&amp;ADULTS'!$Z$3:$Z$12006,'KIDS&amp;ADULTS'!$V$3:$V$12006,U48,'KIDS&amp;ADULTS'!$B$3:$B$12006,$AB$3,'KIDS&amp;ADULTS'!$N$3:$N$12006,"Đã đóng học phí")</f>
        <v>0</v>
      </c>
      <c r="AC48" s="398">
        <f>SUMIFS('KIDS&amp;ADULTS'!$Z$3:$Z$12006,'KIDS&amp;ADULTS'!$V$3:$V$12006,U48,'KIDS&amp;ADULTS'!$B$3:$B$12006,$AC$3,'KIDS&amp;ADULTS'!$N$3:$N$12006,"Đã đóng học phí")</f>
        <v>0</v>
      </c>
      <c r="AD48" s="398">
        <f t="shared" si="9"/>
        <v>4349000</v>
      </c>
      <c r="AE48" s="373">
        <v>1.2035E7</v>
      </c>
    </row>
    <row r="49" ht="15.75" customHeight="1">
      <c r="U49" s="372">
        <f t="shared" si="10"/>
        <v>45179</v>
      </c>
      <c r="V49" s="398">
        <f>SUMIFS('KIDS&amp;ADULTS'!$Z$3:$Z$12006,'KIDS&amp;ADULTS'!V$3:V$12006,U49,'KIDS&amp;ADULTS'!$B$3:$B$12006,$K$3,'KIDS&amp;ADULTS'!$N$3:$N$12006,"Đã đóng học phí")</f>
        <v>0</v>
      </c>
      <c r="W49" s="398">
        <f>SUMIFS('KIDS&amp;ADULTS'!$Z$3:$Z$12006,'KIDS&amp;ADULTS'!$V$3:$V$12006,U49,'KIDS&amp;ADULTS'!$B$3:$B$12006,$W$3,'KIDS&amp;ADULTS'!$N$3:$N$12006,"Đã đóng học phí")</f>
        <v>0</v>
      </c>
      <c r="X49" s="398">
        <f>SUMIFS('KIDS&amp;ADULTS'!$Z$3:$Z$12006,'KIDS&amp;ADULTS'!$V$3:$V$12006,U49,'KIDS&amp;ADULTS'!$B$3:$B$12006,$X$3,'KIDS&amp;ADULTS'!$N$3:$N$12006,"Đã đóng học phí")</f>
        <v>0</v>
      </c>
      <c r="Y49" s="398">
        <f>SUMIFS('KIDS&amp;ADULTS'!$Z$3:$Z$12006,'KIDS&amp;ADULTS'!$V$3:$V$12006,U49,'KIDS&amp;ADULTS'!$B$3:$B$12006,$Y$3,'KIDS&amp;ADULTS'!$N$3:$N$12006,"Đã đóng học phí")</f>
        <v>0</v>
      </c>
      <c r="Z49" s="398">
        <f>SUMIFS('KIDS&amp;ADULTS'!$Z$3:$Z$12006,'KIDS&amp;ADULTS'!$V$3:$V$12006,U49,'KIDS&amp;ADULTS'!$B$3:$B$12006,$Z$3,'KIDS&amp;ADULTS'!$N$3:$N$12006,"Đã đóng học phí")</f>
        <v>0</v>
      </c>
      <c r="AA49" s="398">
        <f>SUMIFS('KIDS&amp;ADULTS'!$Z$3:$Z$12006,'KIDS&amp;ADULTS'!$V$3:$V$12006,U49,'KIDS&amp;ADULTS'!$B$3:$B$12006,$AA$3,'KIDS&amp;ADULTS'!$N$3:$N$12006,"Đã đóng học phí")</f>
        <v>0</v>
      </c>
      <c r="AB49" s="398">
        <f>SUMIFS('KIDS&amp;ADULTS'!$Z$3:$Z$12006,'KIDS&amp;ADULTS'!$V$3:$V$12006,U49,'KIDS&amp;ADULTS'!$B$3:$B$12006,$AB$3,'KIDS&amp;ADULTS'!$N$3:$N$12006,"Đã đóng học phí")</f>
        <v>0</v>
      </c>
      <c r="AC49" s="398">
        <f>SUMIFS('KIDS&amp;ADULTS'!$Z$3:$Z$12006,'KIDS&amp;ADULTS'!$V$3:$V$12006,U49,'KIDS&amp;ADULTS'!$B$3:$B$12006,$AC$3,'KIDS&amp;ADULTS'!$N$3:$N$12006,"Đã đóng học phí")</f>
        <v>0</v>
      </c>
      <c r="AD49" s="398">
        <f t="shared" si="9"/>
        <v>0</v>
      </c>
      <c r="AE49" s="373">
        <v>4176000.0</v>
      </c>
    </row>
    <row r="50" ht="15.75" customHeight="1">
      <c r="U50" s="372">
        <f t="shared" si="10"/>
        <v>45180</v>
      </c>
      <c r="V50" s="398">
        <f>SUMIFS('KIDS&amp;ADULTS'!$Z$3:$Z$12006,'KIDS&amp;ADULTS'!V$3:V$12006,U50,'KIDS&amp;ADULTS'!$B$3:$B$12006,$K$3,'KIDS&amp;ADULTS'!$N$3:$N$12006,"Đã đóng học phí")</f>
        <v>0</v>
      </c>
      <c r="W50" s="398">
        <f>SUMIFS('KIDS&amp;ADULTS'!$Z$3:$Z$12006,'KIDS&amp;ADULTS'!$V$3:$V$12006,U50,'KIDS&amp;ADULTS'!$B$3:$B$12006,$W$3,'KIDS&amp;ADULTS'!$N$3:$N$12006,"Đã đóng học phí")</f>
        <v>0</v>
      </c>
      <c r="X50" s="398">
        <f>SUMIFS('KIDS&amp;ADULTS'!$Z$3:$Z$12006,'KIDS&amp;ADULTS'!$V$3:$V$12006,U50,'KIDS&amp;ADULTS'!$B$3:$B$12006,$X$3,'KIDS&amp;ADULTS'!$N$3:$N$12006,"Đã đóng học phí")</f>
        <v>0</v>
      </c>
      <c r="Y50" s="398">
        <f>SUMIFS('KIDS&amp;ADULTS'!$Z$3:$Z$12006,'KIDS&amp;ADULTS'!$V$3:$V$12006,U50,'KIDS&amp;ADULTS'!$B$3:$B$12006,$Y$3,'KIDS&amp;ADULTS'!$N$3:$N$12006,"Đã đóng học phí")</f>
        <v>5512000</v>
      </c>
      <c r="Z50" s="398">
        <f>SUMIFS('KIDS&amp;ADULTS'!$Z$3:$Z$12006,'KIDS&amp;ADULTS'!$V$3:$V$12006,U50,'KIDS&amp;ADULTS'!$B$3:$B$12006,$Z$3,'KIDS&amp;ADULTS'!$N$3:$N$12006,"Đã đóng học phí")</f>
        <v>0</v>
      </c>
      <c r="AA50" s="398">
        <f>SUMIFS('KIDS&amp;ADULTS'!$Z$3:$Z$12006,'KIDS&amp;ADULTS'!$V$3:$V$12006,U50,'KIDS&amp;ADULTS'!$B$3:$B$12006,$AA$3,'KIDS&amp;ADULTS'!$N$3:$N$12006,"Đã đóng học phí")</f>
        <v>0</v>
      </c>
      <c r="AB50" s="398">
        <f>SUMIFS('KIDS&amp;ADULTS'!$Z$3:$Z$12006,'KIDS&amp;ADULTS'!$V$3:$V$12006,U50,'KIDS&amp;ADULTS'!$B$3:$B$12006,$AB$3,'KIDS&amp;ADULTS'!$N$3:$N$12006,"Đã đóng học phí")</f>
        <v>0</v>
      </c>
      <c r="AC50" s="398">
        <f>SUMIFS('KIDS&amp;ADULTS'!$Z$3:$Z$12006,'KIDS&amp;ADULTS'!$V$3:$V$12006,U50,'KIDS&amp;ADULTS'!$B$3:$B$12006,$AC$3,'KIDS&amp;ADULTS'!$N$3:$N$12006,"Đã đóng học phí")</f>
        <v>0</v>
      </c>
      <c r="AD50" s="398">
        <f t="shared" si="9"/>
        <v>5512000</v>
      </c>
      <c r="AE50" s="373">
        <v>5512000.0</v>
      </c>
    </row>
    <row r="51" ht="15.75" customHeight="1">
      <c r="U51" s="372">
        <f t="shared" si="10"/>
        <v>45181</v>
      </c>
      <c r="V51" s="398">
        <f>SUMIFS('KIDS&amp;ADULTS'!$Z$3:$Z$12006,'KIDS&amp;ADULTS'!V$3:V$12006,U51,'KIDS&amp;ADULTS'!$B$3:$B$12006,$K$3,'KIDS&amp;ADULTS'!$N$3:$N$12006,"Đã đóng học phí")</f>
        <v>0</v>
      </c>
      <c r="W51" s="398">
        <f>SUMIFS('KIDS&amp;ADULTS'!$Z$3:$Z$12006,'KIDS&amp;ADULTS'!$V$3:$V$12006,U51,'KIDS&amp;ADULTS'!$B$3:$B$12006,$W$3,'KIDS&amp;ADULTS'!$N$3:$N$12006,"Đã đóng học phí")</f>
        <v>0</v>
      </c>
      <c r="X51" s="398">
        <f>SUMIFS('KIDS&amp;ADULTS'!$Z$3:$Z$12006,'KIDS&amp;ADULTS'!$V$3:$V$12006,U51,'KIDS&amp;ADULTS'!$B$3:$B$12006,$X$3,'KIDS&amp;ADULTS'!$N$3:$N$12006,"Đã đóng học phí")</f>
        <v>0</v>
      </c>
      <c r="Y51" s="398">
        <f>SUMIFS('KIDS&amp;ADULTS'!$Z$3:$Z$12006,'KIDS&amp;ADULTS'!$V$3:$V$12006,U51,'KIDS&amp;ADULTS'!$B$3:$B$12006,$Y$3,'KIDS&amp;ADULTS'!$N$3:$N$12006,"Đã đóng học phí")</f>
        <v>0</v>
      </c>
      <c r="Z51" s="398">
        <f>SUMIFS('KIDS&amp;ADULTS'!$Z$3:$Z$12006,'KIDS&amp;ADULTS'!$V$3:$V$12006,U51,'KIDS&amp;ADULTS'!$B$3:$B$12006,$Z$3,'KIDS&amp;ADULTS'!$N$3:$N$12006,"Đã đóng học phí")</f>
        <v>2664000</v>
      </c>
      <c r="AA51" s="398">
        <f>SUMIFS('KIDS&amp;ADULTS'!$Z$3:$Z$12006,'KIDS&amp;ADULTS'!$V$3:$V$12006,U51,'KIDS&amp;ADULTS'!$B$3:$B$12006,$AA$3,'KIDS&amp;ADULTS'!$N$3:$N$12006,"Đã đóng học phí")</f>
        <v>0</v>
      </c>
      <c r="AB51" s="398">
        <f>SUMIFS('KIDS&amp;ADULTS'!$Z$3:$Z$12006,'KIDS&amp;ADULTS'!$V$3:$V$12006,U51,'KIDS&amp;ADULTS'!$B$3:$B$12006,$AB$3,'KIDS&amp;ADULTS'!$N$3:$N$12006,"Đã đóng học phí")</f>
        <v>0</v>
      </c>
      <c r="AC51" s="398">
        <f>SUMIFS('KIDS&amp;ADULTS'!$Z$3:$Z$12006,'KIDS&amp;ADULTS'!$V$3:$V$12006,U51,'KIDS&amp;ADULTS'!$B$3:$B$12006,$AC$3,'KIDS&amp;ADULTS'!$N$3:$N$12006,"Đã đóng học phí")</f>
        <v>0</v>
      </c>
      <c r="AD51" s="398">
        <f t="shared" si="9"/>
        <v>2664000</v>
      </c>
      <c r="AE51" s="373">
        <v>2664000.0</v>
      </c>
    </row>
    <row r="52" ht="15.75" customHeight="1">
      <c r="U52" s="372">
        <f t="shared" si="10"/>
        <v>45182</v>
      </c>
      <c r="V52" s="398">
        <f>SUMIFS('KIDS&amp;ADULTS'!$Z$3:$Z$12006,'KIDS&amp;ADULTS'!V$3:V$12006,U52,'KIDS&amp;ADULTS'!$B$3:$B$12006,$K$3,'KIDS&amp;ADULTS'!$N$3:$N$12006,"Đã đóng học phí")</f>
        <v>0</v>
      </c>
      <c r="W52" s="398">
        <f>SUMIFS('KIDS&amp;ADULTS'!$Z$3:$Z$12006,'KIDS&amp;ADULTS'!$V$3:$V$12006,U52,'KIDS&amp;ADULTS'!$B$3:$B$12006,$W$3,'KIDS&amp;ADULTS'!$N$3:$N$12006,"Đã đóng học phí")</f>
        <v>0</v>
      </c>
      <c r="X52" s="398">
        <f>SUMIFS('KIDS&amp;ADULTS'!$Z$3:$Z$12006,'KIDS&amp;ADULTS'!$V$3:$V$12006,U52,'KIDS&amp;ADULTS'!$B$3:$B$12006,$X$3,'KIDS&amp;ADULTS'!$N$3:$N$12006,"Đã đóng học phí")</f>
        <v>0</v>
      </c>
      <c r="Y52" s="398">
        <f>SUMIFS('KIDS&amp;ADULTS'!$Z$3:$Z$12006,'KIDS&amp;ADULTS'!$V$3:$V$12006,U52,'KIDS&amp;ADULTS'!$B$3:$B$12006,$Y$3,'KIDS&amp;ADULTS'!$N$3:$N$12006,"Đã đóng học phí")</f>
        <v>0</v>
      </c>
      <c r="Z52" s="398">
        <f>SUMIFS('KIDS&amp;ADULTS'!$Z$3:$Z$12006,'KIDS&amp;ADULTS'!$V$3:$V$12006,U52,'KIDS&amp;ADULTS'!$B$3:$B$12006,$Z$3,'KIDS&amp;ADULTS'!$N$3:$N$12006,"Đã đóng học phí")</f>
        <v>0</v>
      </c>
      <c r="AA52" s="398">
        <f>SUMIFS('KIDS&amp;ADULTS'!$Z$3:$Z$12006,'KIDS&amp;ADULTS'!$V$3:$V$12006,U52,'KIDS&amp;ADULTS'!$B$3:$B$12006,$AA$3,'KIDS&amp;ADULTS'!$N$3:$N$12006,"Đã đóng học phí")</f>
        <v>0</v>
      </c>
      <c r="AB52" s="398">
        <f>SUMIFS('KIDS&amp;ADULTS'!$Z$3:$Z$12006,'KIDS&amp;ADULTS'!$V$3:$V$12006,U52,'KIDS&amp;ADULTS'!$B$3:$B$12006,$AB$3,'KIDS&amp;ADULTS'!$N$3:$N$12006,"Đã đóng học phí")</f>
        <v>0</v>
      </c>
      <c r="AC52" s="398">
        <f>SUMIFS('KIDS&amp;ADULTS'!$Z$3:$Z$12006,'KIDS&amp;ADULTS'!$V$3:$V$12006,U52,'KIDS&amp;ADULTS'!$B$3:$B$12006,$AC$3,'KIDS&amp;ADULTS'!$N$3:$N$12006,"Đã đóng học phí")</f>
        <v>0</v>
      </c>
      <c r="AD52" s="398">
        <f t="shared" si="9"/>
        <v>0</v>
      </c>
      <c r="AE52" s="373">
        <v>0.0</v>
      </c>
    </row>
    <row r="53" ht="15.75" customHeight="1">
      <c r="U53" s="372">
        <f t="shared" si="10"/>
        <v>45183</v>
      </c>
      <c r="V53" s="398">
        <f>SUMIFS('KIDS&amp;ADULTS'!$Z$3:$Z$12006,'KIDS&amp;ADULTS'!V$3:V$12006,U53,'KIDS&amp;ADULTS'!$B$3:$B$12006,$K$3,'KIDS&amp;ADULTS'!$N$3:$N$12006,"Đã đóng học phí")</f>
        <v>0</v>
      </c>
      <c r="W53" s="398">
        <f>SUMIFS('KIDS&amp;ADULTS'!$Z$3:$Z$12006,'KIDS&amp;ADULTS'!$V$3:$V$12006,U53,'KIDS&amp;ADULTS'!$B$3:$B$12006,$W$3,'KIDS&amp;ADULTS'!$N$3:$N$12006,"Đã đóng học phí")</f>
        <v>0</v>
      </c>
      <c r="X53" s="398">
        <f>SUMIFS('KIDS&amp;ADULTS'!$Z$3:$Z$12006,'KIDS&amp;ADULTS'!$V$3:$V$12006,U53,'KIDS&amp;ADULTS'!$B$3:$B$12006,$X$3,'KIDS&amp;ADULTS'!$N$3:$N$12006,"Đã đóng học phí")</f>
        <v>0</v>
      </c>
      <c r="Y53" s="398">
        <f>SUMIFS('KIDS&amp;ADULTS'!$Z$3:$Z$12006,'KIDS&amp;ADULTS'!$V$3:$V$12006,U53,'KIDS&amp;ADULTS'!$B$3:$B$12006,$Y$3,'KIDS&amp;ADULTS'!$N$3:$N$12006,"Đã đóng học phí")</f>
        <v>0</v>
      </c>
      <c r="Z53" s="398">
        <f>SUMIFS('KIDS&amp;ADULTS'!$Z$3:$Z$12006,'KIDS&amp;ADULTS'!$V$3:$V$12006,U53,'KIDS&amp;ADULTS'!$B$3:$B$12006,$Z$3,'KIDS&amp;ADULTS'!$N$3:$N$12006,"Đã đóng học phí")</f>
        <v>0</v>
      </c>
      <c r="AA53" s="398">
        <f>SUMIFS('KIDS&amp;ADULTS'!$Z$3:$Z$12006,'KIDS&amp;ADULTS'!$V$3:$V$12006,U53,'KIDS&amp;ADULTS'!$B$3:$B$12006,$AA$3,'KIDS&amp;ADULTS'!$N$3:$N$12006,"Đã đóng học phí")</f>
        <v>0</v>
      </c>
      <c r="AB53" s="398">
        <f>SUMIFS('KIDS&amp;ADULTS'!$Z$3:$Z$12006,'KIDS&amp;ADULTS'!$V$3:$V$12006,U53,'KIDS&amp;ADULTS'!$B$3:$B$12006,$AB$3,'KIDS&amp;ADULTS'!$N$3:$N$12006,"Đã đóng học phí")</f>
        <v>0</v>
      </c>
      <c r="AC53" s="398">
        <f>SUMIFS('KIDS&amp;ADULTS'!$Z$3:$Z$12006,'KIDS&amp;ADULTS'!$V$3:$V$12006,U53,'KIDS&amp;ADULTS'!$B$3:$B$12006,$AC$3,'KIDS&amp;ADULTS'!$N$3:$N$12006,"Đã đóng học phí")</f>
        <v>0</v>
      </c>
      <c r="AD53" s="398">
        <f t="shared" si="9"/>
        <v>0</v>
      </c>
      <c r="AE53" s="373">
        <v>2664000.0</v>
      </c>
    </row>
    <row r="54" ht="15.75" customHeight="1">
      <c r="U54" s="372">
        <f t="shared" si="10"/>
        <v>45184</v>
      </c>
      <c r="V54" s="398">
        <f>SUMIFS('KIDS&amp;ADULTS'!$Z$3:$Z$12006,'KIDS&amp;ADULTS'!V$3:V$12006,U54,'KIDS&amp;ADULTS'!$B$3:$B$12006,$K$3,'KIDS&amp;ADULTS'!$N$3:$N$12006,"Đã đóng học phí")</f>
        <v>0</v>
      </c>
      <c r="W54" s="398">
        <f>SUMIFS('KIDS&amp;ADULTS'!$Z$3:$Z$12006,'KIDS&amp;ADULTS'!$V$3:$V$12006,U54,'KIDS&amp;ADULTS'!$B$3:$B$12006,$W$3,'KIDS&amp;ADULTS'!$N$3:$N$12006,"Đã đóng học phí")</f>
        <v>0</v>
      </c>
      <c r="X54" s="398">
        <f>SUMIFS('KIDS&amp;ADULTS'!$Z$3:$Z$12006,'KIDS&amp;ADULTS'!$V$3:$V$12006,U54,'KIDS&amp;ADULTS'!$B$3:$B$12006,$X$3,'KIDS&amp;ADULTS'!$N$3:$N$12006,"Đã đóng học phí")</f>
        <v>0</v>
      </c>
      <c r="Y54" s="398">
        <f>SUMIFS('KIDS&amp;ADULTS'!$Z$3:$Z$12006,'KIDS&amp;ADULTS'!$V$3:$V$12006,U54,'KIDS&amp;ADULTS'!$B$3:$B$12006,$Y$3,'KIDS&amp;ADULTS'!$N$3:$N$12006,"Đã đóng học phí")</f>
        <v>5328000</v>
      </c>
      <c r="Z54" s="398">
        <f>SUMIFS('KIDS&amp;ADULTS'!$Z$3:$Z$12006,'KIDS&amp;ADULTS'!$V$3:$V$12006,U54,'KIDS&amp;ADULTS'!$B$3:$B$12006,$Z$3,'KIDS&amp;ADULTS'!$N$3:$N$12006,"Đã đóng học phí")</f>
        <v>0</v>
      </c>
      <c r="AA54" s="398">
        <f>SUMIFS('KIDS&amp;ADULTS'!$Z$3:$Z$12006,'KIDS&amp;ADULTS'!$V$3:$V$12006,U54,'KIDS&amp;ADULTS'!$B$3:$B$12006,$AA$3,'KIDS&amp;ADULTS'!$N$3:$N$12006,"Đã đóng học phí")</f>
        <v>0</v>
      </c>
      <c r="AB54" s="398">
        <f>SUMIFS('KIDS&amp;ADULTS'!$Z$3:$Z$12006,'KIDS&amp;ADULTS'!$V$3:$V$12006,U54,'KIDS&amp;ADULTS'!$B$3:$B$12006,$AB$3,'KIDS&amp;ADULTS'!$N$3:$N$12006,"Đã đóng học phí")</f>
        <v>0</v>
      </c>
      <c r="AC54" s="398">
        <f>SUMIFS('KIDS&amp;ADULTS'!$Z$3:$Z$12006,'KIDS&amp;ADULTS'!$V$3:$V$12006,U54,'KIDS&amp;ADULTS'!$B$3:$B$12006,$AC$3,'KIDS&amp;ADULTS'!$N$3:$N$12006,"Đã đóng học phí")</f>
        <v>0</v>
      </c>
      <c r="AD54" s="398">
        <f t="shared" si="9"/>
        <v>5328000</v>
      </c>
      <c r="AE54" s="373">
        <v>0.0</v>
      </c>
    </row>
    <row r="55" ht="15.75" customHeight="1">
      <c r="U55" s="372">
        <f t="shared" si="10"/>
        <v>45185</v>
      </c>
      <c r="V55" s="398">
        <f>SUMIFS('KIDS&amp;ADULTS'!$Z$3:$Z$12006,'KIDS&amp;ADULTS'!V$3:V$12006,U55,'KIDS&amp;ADULTS'!$B$3:$B$12006,$K$3,'KIDS&amp;ADULTS'!$N$3:$N$12006,"Đã đóng học phí")</f>
        <v>0</v>
      </c>
      <c r="W55" s="398">
        <f>SUMIFS('KIDS&amp;ADULTS'!$Z$3:$Z$12006,'KIDS&amp;ADULTS'!$V$3:$V$12006,U55,'KIDS&amp;ADULTS'!$B$3:$B$12006,$W$3,'KIDS&amp;ADULTS'!$N$3:$N$12006,"Đã đóng học phí")</f>
        <v>0</v>
      </c>
      <c r="X55" s="398">
        <f>SUMIFS('KIDS&amp;ADULTS'!$Z$3:$Z$12006,'KIDS&amp;ADULTS'!$V$3:$V$12006,U55,'KIDS&amp;ADULTS'!$B$3:$B$12006,$X$3,'KIDS&amp;ADULTS'!$N$3:$N$12006,"Đã đóng học phí")</f>
        <v>0</v>
      </c>
      <c r="Y55" s="398">
        <f>SUMIFS('KIDS&amp;ADULTS'!$Z$3:$Z$12006,'KIDS&amp;ADULTS'!$V$3:$V$12006,U55,'KIDS&amp;ADULTS'!$B$3:$B$12006,$Y$3,'KIDS&amp;ADULTS'!$N$3:$N$12006,"Đã đóng học phí")</f>
        <v>0</v>
      </c>
      <c r="Z55" s="398">
        <f>SUMIFS('KIDS&amp;ADULTS'!$Z$3:$Z$12006,'KIDS&amp;ADULTS'!$V$3:$V$12006,U55,'KIDS&amp;ADULTS'!$B$3:$B$12006,$Z$3,'KIDS&amp;ADULTS'!$N$3:$N$12006,"Đã đóng học phí")</f>
        <v>0</v>
      </c>
      <c r="AA55" s="398">
        <f>SUMIFS('KIDS&amp;ADULTS'!$Z$3:$Z$12006,'KIDS&amp;ADULTS'!$V$3:$V$12006,U55,'KIDS&amp;ADULTS'!$B$3:$B$12006,$AA$3,'KIDS&amp;ADULTS'!$N$3:$N$12006,"Đã đóng học phí")</f>
        <v>0</v>
      </c>
      <c r="AB55" s="398">
        <f>SUMIFS('KIDS&amp;ADULTS'!$Z$3:$Z$12006,'KIDS&amp;ADULTS'!$V$3:$V$12006,U55,'KIDS&amp;ADULTS'!$B$3:$B$12006,$AB$3,'KIDS&amp;ADULTS'!$N$3:$N$12006,"Đã đóng học phí")</f>
        <v>0</v>
      </c>
      <c r="AC55" s="398">
        <f>SUMIFS('KIDS&amp;ADULTS'!$Z$3:$Z$12006,'KIDS&amp;ADULTS'!$V$3:$V$12006,U55,'KIDS&amp;ADULTS'!$B$3:$B$12006,$AC$3,'KIDS&amp;ADULTS'!$N$3:$N$12006,"Đã đóng học phí")</f>
        <v>0</v>
      </c>
      <c r="AD55" s="398">
        <f t="shared" si="9"/>
        <v>0</v>
      </c>
      <c r="AE55" s="373">
        <v>0.0</v>
      </c>
    </row>
    <row r="56" ht="15.75" customHeight="1">
      <c r="U56" s="372">
        <f t="shared" si="10"/>
        <v>45186</v>
      </c>
      <c r="V56" s="398">
        <f>SUMIFS('KIDS&amp;ADULTS'!$Z$3:$Z$12006,'KIDS&amp;ADULTS'!V$3:V$12006,U56,'KIDS&amp;ADULTS'!$B$3:$B$12006,$K$3,'KIDS&amp;ADULTS'!$N$3:$N$12006,"Đã đóng học phí")</f>
        <v>0</v>
      </c>
      <c r="W56" s="398">
        <f>SUMIFS('KIDS&amp;ADULTS'!$Z$3:$Z$12006,'KIDS&amp;ADULTS'!$V$3:$V$12006,U56,'KIDS&amp;ADULTS'!$B$3:$B$12006,$W$3,'KIDS&amp;ADULTS'!$N$3:$N$12006,"Đã đóng học phí")</f>
        <v>0</v>
      </c>
      <c r="X56" s="398">
        <f>SUMIFS('KIDS&amp;ADULTS'!$Z$3:$Z$12006,'KIDS&amp;ADULTS'!$V$3:$V$12006,U56,'KIDS&amp;ADULTS'!$B$3:$B$12006,$X$3,'KIDS&amp;ADULTS'!$N$3:$N$12006,"Đã đóng học phí")</f>
        <v>0</v>
      </c>
      <c r="Y56" s="398">
        <f>SUMIFS('KIDS&amp;ADULTS'!$Z$3:$Z$12006,'KIDS&amp;ADULTS'!$V$3:$V$12006,U56,'KIDS&amp;ADULTS'!$B$3:$B$12006,$Y$3,'KIDS&amp;ADULTS'!$N$3:$N$12006,"Đã đóng học phí")</f>
        <v>0</v>
      </c>
      <c r="Z56" s="398">
        <f>SUMIFS('KIDS&amp;ADULTS'!$Z$3:$Z$12006,'KIDS&amp;ADULTS'!$V$3:$V$12006,U56,'KIDS&amp;ADULTS'!$B$3:$B$12006,$Z$3,'KIDS&amp;ADULTS'!$N$3:$N$12006,"Đã đóng học phí")</f>
        <v>0</v>
      </c>
      <c r="AA56" s="398">
        <f>SUMIFS('KIDS&amp;ADULTS'!$Z$3:$Z$12006,'KIDS&amp;ADULTS'!$V$3:$V$12006,U56,'KIDS&amp;ADULTS'!$B$3:$B$12006,$AA$3,'KIDS&amp;ADULTS'!$N$3:$N$12006,"Đã đóng học phí")</f>
        <v>0</v>
      </c>
      <c r="AB56" s="398">
        <f>SUMIFS('KIDS&amp;ADULTS'!$Z$3:$Z$12006,'KIDS&amp;ADULTS'!$V$3:$V$12006,U56,'KIDS&amp;ADULTS'!$B$3:$B$12006,$AB$3,'KIDS&amp;ADULTS'!$N$3:$N$12006,"Đã đóng học phí")</f>
        <v>0</v>
      </c>
      <c r="AC56" s="398">
        <f>SUMIFS('KIDS&amp;ADULTS'!$Z$3:$Z$12006,'KIDS&amp;ADULTS'!$V$3:$V$12006,U56,'KIDS&amp;ADULTS'!$B$3:$B$12006,$AC$3,'KIDS&amp;ADULTS'!$N$3:$N$12006,"Đã đóng học phí")</f>
        <v>0</v>
      </c>
      <c r="AD56" s="398">
        <f t="shared" si="9"/>
        <v>0</v>
      </c>
      <c r="AE56" s="373">
        <v>0.0</v>
      </c>
    </row>
    <row r="57" ht="15.75" customHeight="1">
      <c r="U57" s="372">
        <f t="shared" si="10"/>
        <v>45187</v>
      </c>
      <c r="V57" s="398">
        <f>SUMIFS('KIDS&amp;ADULTS'!$Z$3:$Z$12006,'KIDS&amp;ADULTS'!V$3:V$12006,U57,'KIDS&amp;ADULTS'!$B$3:$B$12006,$K$3,'KIDS&amp;ADULTS'!$N$3:$N$12006,"Đã đóng học phí")</f>
        <v>0</v>
      </c>
      <c r="W57" s="398">
        <f>SUMIFS('KIDS&amp;ADULTS'!$Z$3:$Z$12006,'KIDS&amp;ADULTS'!$V$3:$V$12006,U57,'KIDS&amp;ADULTS'!$B$3:$B$12006,$W$3,'KIDS&amp;ADULTS'!$N$3:$N$12006,"Đã đóng học phí")</f>
        <v>0</v>
      </c>
      <c r="X57" s="398">
        <f>SUMIFS('KIDS&amp;ADULTS'!$Z$3:$Z$12006,'KIDS&amp;ADULTS'!$V$3:$V$12006,U57,'KIDS&amp;ADULTS'!$B$3:$B$12006,$X$3,'KIDS&amp;ADULTS'!$N$3:$N$12006,"Đã đóng học phí")</f>
        <v>0</v>
      </c>
      <c r="Y57" s="398">
        <f>SUMIFS('KIDS&amp;ADULTS'!$Z$3:$Z$12006,'KIDS&amp;ADULTS'!$V$3:$V$12006,U57,'KIDS&amp;ADULTS'!$B$3:$B$12006,$Y$3,'KIDS&amp;ADULTS'!$N$3:$N$12006,"Đã đóng học phí")</f>
        <v>0</v>
      </c>
      <c r="Z57" s="398">
        <f>SUMIFS('KIDS&amp;ADULTS'!$Z$3:$Z$12006,'KIDS&amp;ADULTS'!$V$3:$V$12006,U57,'KIDS&amp;ADULTS'!$B$3:$B$12006,$Z$3,'KIDS&amp;ADULTS'!$N$3:$N$12006,"Đã đóng học phí")</f>
        <v>0</v>
      </c>
      <c r="AA57" s="398">
        <f>SUMIFS('KIDS&amp;ADULTS'!$Z$3:$Z$12006,'KIDS&amp;ADULTS'!$V$3:$V$12006,U57,'KIDS&amp;ADULTS'!$B$3:$B$12006,$AA$3,'KIDS&amp;ADULTS'!$N$3:$N$12006,"Đã đóng học phí")</f>
        <v>0</v>
      </c>
      <c r="AB57" s="398">
        <f>SUMIFS('KIDS&amp;ADULTS'!$Z$3:$Z$12006,'KIDS&amp;ADULTS'!$V$3:$V$12006,U57,'KIDS&amp;ADULTS'!$B$3:$B$12006,$AB$3,'KIDS&amp;ADULTS'!$N$3:$N$12006,"Đã đóng học phí")</f>
        <v>0</v>
      </c>
      <c r="AC57" s="398">
        <f>SUMIFS('KIDS&amp;ADULTS'!$Z$3:$Z$12006,'KIDS&amp;ADULTS'!$V$3:$V$12006,U57,'KIDS&amp;ADULTS'!$B$3:$B$12006,$AC$3,'KIDS&amp;ADULTS'!$N$3:$N$12006,"Đã đóng học phí")</f>
        <v>0</v>
      </c>
      <c r="AD57" s="398">
        <f t="shared" si="9"/>
        <v>0</v>
      </c>
      <c r="AE57" s="373">
        <v>0.0</v>
      </c>
    </row>
    <row r="58" ht="15.75" customHeight="1">
      <c r="U58" s="372">
        <f t="shared" si="10"/>
        <v>45188</v>
      </c>
      <c r="V58" s="398">
        <f>SUMIFS('KIDS&amp;ADULTS'!$Z$3:$Z$12006,'KIDS&amp;ADULTS'!V$3:V$12006,U58,'KIDS&amp;ADULTS'!$B$3:$B$12006,$K$3,'KIDS&amp;ADULTS'!$N$3:$N$12006,"Đã đóng học phí")</f>
        <v>0</v>
      </c>
      <c r="W58" s="398">
        <f>SUMIFS('KIDS&amp;ADULTS'!$Z$3:$Z$12006,'KIDS&amp;ADULTS'!$V$3:$V$12006,U58,'KIDS&amp;ADULTS'!$B$3:$B$12006,$W$3,'KIDS&amp;ADULTS'!$N$3:$N$12006,"Đã đóng học phí")</f>
        <v>0</v>
      </c>
      <c r="X58" s="398">
        <f>SUMIFS('KIDS&amp;ADULTS'!$Z$3:$Z$12006,'KIDS&amp;ADULTS'!$V$3:$V$12006,U58,'KIDS&amp;ADULTS'!$B$3:$B$12006,$X$3,'KIDS&amp;ADULTS'!$N$3:$N$12006,"Đã đóng học phí")</f>
        <v>0</v>
      </c>
      <c r="Y58" s="398">
        <f>SUMIFS('KIDS&amp;ADULTS'!$Z$3:$Z$12006,'KIDS&amp;ADULTS'!$V$3:$V$12006,U58,'KIDS&amp;ADULTS'!$B$3:$B$12006,$Y$3,'KIDS&amp;ADULTS'!$N$3:$N$12006,"Đã đóng học phí")</f>
        <v>0</v>
      </c>
      <c r="Z58" s="398">
        <f>SUMIFS('KIDS&amp;ADULTS'!$Z$3:$Z$12006,'KIDS&amp;ADULTS'!$V$3:$V$12006,U58,'KIDS&amp;ADULTS'!$B$3:$B$12006,$Z$3,'KIDS&amp;ADULTS'!$N$3:$N$12006,"Đã đóng học phí")</f>
        <v>0</v>
      </c>
      <c r="AA58" s="398">
        <f>SUMIFS('KIDS&amp;ADULTS'!$Z$3:$Z$12006,'KIDS&amp;ADULTS'!$V$3:$V$12006,U58,'KIDS&amp;ADULTS'!$B$3:$B$12006,$AA$3,'KIDS&amp;ADULTS'!$N$3:$N$12006,"Đã đóng học phí")</f>
        <v>0</v>
      </c>
      <c r="AB58" s="398">
        <f>SUMIFS('KIDS&amp;ADULTS'!$Z$3:$Z$12006,'KIDS&amp;ADULTS'!$V$3:$V$12006,U58,'KIDS&amp;ADULTS'!$B$3:$B$12006,$AB$3,'KIDS&amp;ADULTS'!$N$3:$N$12006,"Đã đóng học phí")</f>
        <v>0</v>
      </c>
      <c r="AC58" s="398">
        <f>SUMIFS('KIDS&amp;ADULTS'!$Z$3:$Z$12006,'KIDS&amp;ADULTS'!$V$3:$V$12006,U58,'KIDS&amp;ADULTS'!$B$3:$B$12006,$AC$3,'KIDS&amp;ADULTS'!$N$3:$N$12006,"Đã đóng học phí")</f>
        <v>0</v>
      </c>
      <c r="AD58" s="398">
        <f t="shared" si="9"/>
        <v>0</v>
      </c>
      <c r="AE58" s="373">
        <v>0.0</v>
      </c>
    </row>
    <row r="59" ht="15.75" customHeight="1">
      <c r="U59" s="372">
        <f t="shared" si="10"/>
        <v>45189</v>
      </c>
      <c r="V59" s="398">
        <f>SUMIFS('KIDS&amp;ADULTS'!$Z$3:$Z$12006,'KIDS&amp;ADULTS'!V$3:V$12006,U59,'KIDS&amp;ADULTS'!$B$3:$B$12006,$K$3,'KIDS&amp;ADULTS'!$N$3:$N$12006,"Đã đóng học phí")</f>
        <v>0</v>
      </c>
      <c r="W59" s="398">
        <f>SUMIFS('KIDS&amp;ADULTS'!$Z$3:$Z$12006,'KIDS&amp;ADULTS'!$V$3:$V$12006,U59,'KIDS&amp;ADULTS'!$B$3:$B$12006,$W$3,'KIDS&amp;ADULTS'!$N$3:$N$12006,"Đã đóng học phí")</f>
        <v>0</v>
      </c>
      <c r="X59" s="398">
        <f>SUMIFS('KIDS&amp;ADULTS'!$Z$3:$Z$12006,'KIDS&amp;ADULTS'!$V$3:$V$12006,U59,'KIDS&amp;ADULTS'!$B$3:$B$12006,$X$3,'KIDS&amp;ADULTS'!$N$3:$N$12006,"Đã đóng học phí")</f>
        <v>0</v>
      </c>
      <c r="Y59" s="398">
        <f>SUMIFS('KIDS&amp;ADULTS'!$Z$3:$Z$12006,'KIDS&amp;ADULTS'!$V$3:$V$12006,U59,'KIDS&amp;ADULTS'!$B$3:$B$12006,$Y$3,'KIDS&amp;ADULTS'!$N$3:$N$12006,"Đã đóng học phí")</f>
        <v>0</v>
      </c>
      <c r="Z59" s="398">
        <f>SUMIFS('KIDS&amp;ADULTS'!$Z$3:$Z$12006,'KIDS&amp;ADULTS'!$V$3:$V$12006,U59,'KIDS&amp;ADULTS'!$B$3:$B$12006,$Z$3,'KIDS&amp;ADULTS'!$N$3:$N$12006,"Đã đóng học phí")</f>
        <v>0</v>
      </c>
      <c r="AA59" s="398">
        <f>SUMIFS('KIDS&amp;ADULTS'!$Z$3:$Z$12006,'KIDS&amp;ADULTS'!$V$3:$V$12006,U59,'KIDS&amp;ADULTS'!$B$3:$B$12006,$AA$3,'KIDS&amp;ADULTS'!$N$3:$N$12006,"Đã đóng học phí")</f>
        <v>0</v>
      </c>
      <c r="AB59" s="398">
        <f>SUMIFS('KIDS&amp;ADULTS'!$Z$3:$Z$12006,'KIDS&amp;ADULTS'!$V$3:$V$12006,U59,'KIDS&amp;ADULTS'!$B$3:$B$12006,$AB$3,'KIDS&amp;ADULTS'!$N$3:$N$12006,"Đã đóng học phí")</f>
        <v>0</v>
      </c>
      <c r="AC59" s="398">
        <f>SUMIFS('KIDS&amp;ADULTS'!$Z$3:$Z$12006,'KIDS&amp;ADULTS'!$V$3:$V$12006,U59,'KIDS&amp;ADULTS'!$B$3:$B$12006,$AC$3,'KIDS&amp;ADULTS'!$N$3:$N$12006,"Đã đóng học phí")</f>
        <v>0</v>
      </c>
      <c r="AD59" s="398">
        <f t="shared" si="9"/>
        <v>0</v>
      </c>
      <c r="AE59" s="373">
        <v>0.0</v>
      </c>
    </row>
    <row r="60" ht="15.75" customHeight="1">
      <c r="U60" s="372">
        <f t="shared" si="10"/>
        <v>45190</v>
      </c>
      <c r="V60" s="398">
        <f>SUMIFS('KIDS&amp;ADULTS'!$Z$3:$Z$12006,'KIDS&amp;ADULTS'!V$3:V$12006,U60,'KIDS&amp;ADULTS'!$B$3:$B$12006,$K$3,'KIDS&amp;ADULTS'!$N$3:$N$12006,"Đã đóng học phí")</f>
        <v>0</v>
      </c>
      <c r="W60" s="398">
        <f>SUMIFS('KIDS&amp;ADULTS'!$Z$3:$Z$12006,'KIDS&amp;ADULTS'!$V$3:$V$12006,U60,'KIDS&amp;ADULTS'!$B$3:$B$12006,$W$3,'KIDS&amp;ADULTS'!$N$3:$N$12006,"Đã đóng học phí")</f>
        <v>0</v>
      </c>
      <c r="X60" s="398">
        <f>SUMIFS('KIDS&amp;ADULTS'!$Z$3:$Z$12006,'KIDS&amp;ADULTS'!$V$3:$V$12006,U60,'KIDS&amp;ADULTS'!$B$3:$B$12006,$X$3,'KIDS&amp;ADULTS'!$N$3:$N$12006,"Đã đóng học phí")</f>
        <v>0</v>
      </c>
      <c r="Y60" s="398">
        <f>SUMIFS('KIDS&amp;ADULTS'!$Z$3:$Z$12006,'KIDS&amp;ADULTS'!$V$3:$V$12006,U60,'KIDS&amp;ADULTS'!$B$3:$B$12006,$Y$3,'KIDS&amp;ADULTS'!$N$3:$N$12006,"Đã đóng học phí")</f>
        <v>0</v>
      </c>
      <c r="Z60" s="398">
        <f>SUMIFS('KIDS&amp;ADULTS'!$Z$3:$Z$12006,'KIDS&amp;ADULTS'!$V$3:$V$12006,U60,'KIDS&amp;ADULTS'!$B$3:$B$12006,$Z$3,'KIDS&amp;ADULTS'!$N$3:$N$12006,"Đã đóng học phí")</f>
        <v>0</v>
      </c>
      <c r="AA60" s="398">
        <f>SUMIFS('KIDS&amp;ADULTS'!$Z$3:$Z$12006,'KIDS&amp;ADULTS'!$V$3:$V$12006,U60,'KIDS&amp;ADULTS'!$B$3:$B$12006,$AA$3,'KIDS&amp;ADULTS'!$N$3:$N$12006,"Đã đóng học phí")</f>
        <v>0</v>
      </c>
      <c r="AB60" s="398">
        <f>SUMIFS('KIDS&amp;ADULTS'!$Z$3:$Z$12006,'KIDS&amp;ADULTS'!$V$3:$V$12006,U60,'KIDS&amp;ADULTS'!$B$3:$B$12006,$AB$3,'KIDS&amp;ADULTS'!$N$3:$N$12006,"Đã đóng học phí")</f>
        <v>0</v>
      </c>
      <c r="AC60" s="398">
        <f>SUMIFS('KIDS&amp;ADULTS'!$Z$3:$Z$12006,'KIDS&amp;ADULTS'!$V$3:$V$12006,U60,'KIDS&amp;ADULTS'!$B$3:$B$12006,$AC$3,'KIDS&amp;ADULTS'!$N$3:$N$12006,"Đã đóng học phí")</f>
        <v>0</v>
      </c>
      <c r="AD60" s="398">
        <f t="shared" si="9"/>
        <v>0</v>
      </c>
      <c r="AE60" s="373">
        <v>0.0</v>
      </c>
    </row>
    <row r="61" ht="15.75" customHeight="1">
      <c r="U61" s="372">
        <f t="shared" si="10"/>
        <v>45191</v>
      </c>
      <c r="V61" s="398">
        <f>SUMIFS('KIDS&amp;ADULTS'!$Z$3:$Z$12006,'KIDS&amp;ADULTS'!V$3:V$12006,U61,'KIDS&amp;ADULTS'!$B$3:$B$12006,$K$3,'KIDS&amp;ADULTS'!$N$3:$N$12006,"Đã đóng học phí")</f>
        <v>0</v>
      </c>
      <c r="W61" s="398">
        <f>SUMIFS('KIDS&amp;ADULTS'!$Z$3:$Z$12006,'KIDS&amp;ADULTS'!$V$3:$V$12006,U61,'KIDS&amp;ADULTS'!$B$3:$B$12006,$W$3,'KIDS&amp;ADULTS'!$N$3:$N$12006,"Đã đóng học phí")</f>
        <v>0</v>
      </c>
      <c r="X61" s="398">
        <f>SUMIFS('KIDS&amp;ADULTS'!$Z$3:$Z$12006,'KIDS&amp;ADULTS'!$V$3:$V$12006,U61,'KIDS&amp;ADULTS'!$B$3:$B$12006,$X$3,'KIDS&amp;ADULTS'!$N$3:$N$12006,"Đã đóng học phí")</f>
        <v>0</v>
      </c>
      <c r="Y61" s="398">
        <f>SUMIFS('KIDS&amp;ADULTS'!$Z$3:$Z$12006,'KIDS&amp;ADULTS'!$V$3:$V$12006,U61,'KIDS&amp;ADULTS'!$B$3:$B$12006,$Y$3,'KIDS&amp;ADULTS'!$N$3:$N$12006,"Đã đóng học phí")</f>
        <v>0</v>
      </c>
      <c r="Z61" s="398">
        <f>SUMIFS('KIDS&amp;ADULTS'!$Z$3:$Z$12006,'KIDS&amp;ADULTS'!$V$3:$V$12006,U61,'KIDS&amp;ADULTS'!$B$3:$B$12006,$Z$3,'KIDS&amp;ADULTS'!$N$3:$N$12006,"Đã đóng học phí")</f>
        <v>0</v>
      </c>
      <c r="AA61" s="398">
        <f>SUMIFS('KIDS&amp;ADULTS'!$Z$3:$Z$12006,'KIDS&amp;ADULTS'!$V$3:$V$12006,U61,'KIDS&amp;ADULTS'!$B$3:$B$12006,$AA$3,'KIDS&amp;ADULTS'!$N$3:$N$12006,"Đã đóng học phí")</f>
        <v>0</v>
      </c>
      <c r="AB61" s="398">
        <f>SUMIFS('KIDS&amp;ADULTS'!$Z$3:$Z$12006,'KIDS&amp;ADULTS'!$V$3:$V$12006,U61,'KIDS&amp;ADULTS'!$B$3:$B$12006,$AB$3,'KIDS&amp;ADULTS'!$N$3:$N$12006,"Đã đóng học phí")</f>
        <v>0</v>
      </c>
      <c r="AC61" s="398">
        <f>SUMIFS('KIDS&amp;ADULTS'!$Z$3:$Z$12006,'KIDS&amp;ADULTS'!$V$3:$V$12006,U61,'KIDS&amp;ADULTS'!$B$3:$B$12006,$AC$3,'KIDS&amp;ADULTS'!$N$3:$N$12006,"Đã đóng học phí")</f>
        <v>0</v>
      </c>
      <c r="AD61" s="398">
        <f t="shared" si="9"/>
        <v>0</v>
      </c>
      <c r="AE61" s="373">
        <v>0.0</v>
      </c>
    </row>
    <row r="62" ht="15.75" customHeight="1">
      <c r="U62" s="372">
        <f t="shared" si="10"/>
        <v>45192</v>
      </c>
      <c r="V62" s="398">
        <f>SUMIFS('KIDS&amp;ADULTS'!$Z$3:$Z$12006,'KIDS&amp;ADULTS'!V$3:V$12006,U62,'KIDS&amp;ADULTS'!$B$3:$B$12006,$K$3,'KIDS&amp;ADULTS'!$N$3:$N$12006,"Đã đóng học phí")</f>
        <v>0</v>
      </c>
      <c r="W62" s="398">
        <f>SUMIFS('KIDS&amp;ADULTS'!$Z$3:$Z$12006,'KIDS&amp;ADULTS'!$V$3:$V$12006,U62,'KIDS&amp;ADULTS'!$B$3:$B$12006,$W$3,'KIDS&amp;ADULTS'!$N$3:$N$12006,"Đã đóng học phí")</f>
        <v>0</v>
      </c>
      <c r="X62" s="398">
        <f>SUMIFS('KIDS&amp;ADULTS'!$Z$3:$Z$12006,'KIDS&amp;ADULTS'!$V$3:$V$12006,U62,'KIDS&amp;ADULTS'!$B$3:$B$12006,$X$3,'KIDS&amp;ADULTS'!$N$3:$N$12006,"Đã đóng học phí")</f>
        <v>0</v>
      </c>
      <c r="Y62" s="398">
        <f>SUMIFS('KIDS&amp;ADULTS'!$Z$3:$Z$12006,'KIDS&amp;ADULTS'!$V$3:$V$12006,U62,'KIDS&amp;ADULTS'!$B$3:$B$12006,$Y$3,'KIDS&amp;ADULTS'!$N$3:$N$12006,"Đã đóng học phí")</f>
        <v>0</v>
      </c>
      <c r="Z62" s="398">
        <f>SUMIFS('KIDS&amp;ADULTS'!$Z$3:$Z$12006,'KIDS&amp;ADULTS'!$V$3:$V$12006,U62,'KIDS&amp;ADULTS'!$B$3:$B$12006,$Z$3,'KIDS&amp;ADULTS'!$N$3:$N$12006,"Đã đóng học phí")</f>
        <v>0</v>
      </c>
      <c r="AA62" s="398">
        <f>SUMIFS('KIDS&amp;ADULTS'!$Z$3:$Z$12006,'KIDS&amp;ADULTS'!$V$3:$V$12006,U62,'KIDS&amp;ADULTS'!$B$3:$B$12006,$AA$3,'KIDS&amp;ADULTS'!$N$3:$N$12006,"Đã đóng học phí")</f>
        <v>0</v>
      </c>
      <c r="AB62" s="398">
        <f>SUMIFS('KIDS&amp;ADULTS'!$Z$3:$Z$12006,'KIDS&amp;ADULTS'!$V$3:$V$12006,U62,'KIDS&amp;ADULTS'!$B$3:$B$12006,$AB$3,'KIDS&amp;ADULTS'!$N$3:$N$12006,"Đã đóng học phí")</f>
        <v>0</v>
      </c>
      <c r="AC62" s="398">
        <f>SUMIFS('KIDS&amp;ADULTS'!$Z$3:$Z$12006,'KIDS&amp;ADULTS'!$V$3:$V$12006,U62,'KIDS&amp;ADULTS'!$B$3:$B$12006,$AC$3,'KIDS&amp;ADULTS'!$N$3:$N$12006,"Đã đóng học phí")</f>
        <v>0</v>
      </c>
      <c r="AD62" s="398">
        <f t="shared" si="9"/>
        <v>0</v>
      </c>
      <c r="AE62" s="373">
        <v>0.0</v>
      </c>
    </row>
    <row r="63" ht="15.75" customHeight="1">
      <c r="U63" s="372">
        <f t="shared" si="10"/>
        <v>45193</v>
      </c>
      <c r="V63" s="398">
        <f>SUMIFS('KIDS&amp;ADULTS'!$Z$3:$Z$12006,'KIDS&amp;ADULTS'!V$3:V$12006,U63,'KIDS&amp;ADULTS'!$B$3:$B$12006,$K$3,'KIDS&amp;ADULTS'!$N$3:$N$12006,"Đã đóng học phí")</f>
        <v>0</v>
      </c>
      <c r="W63" s="398">
        <f>SUMIFS('KIDS&amp;ADULTS'!$Z$3:$Z$12006,'KIDS&amp;ADULTS'!$V$3:$V$12006,U63,'KIDS&amp;ADULTS'!$B$3:$B$12006,$W$3,'KIDS&amp;ADULTS'!$N$3:$N$12006,"Đã đóng học phí")</f>
        <v>0</v>
      </c>
      <c r="X63" s="398">
        <f>SUMIFS('KIDS&amp;ADULTS'!$Z$3:$Z$12006,'KIDS&amp;ADULTS'!$V$3:$V$12006,U63,'KIDS&amp;ADULTS'!$B$3:$B$12006,$X$3,'KIDS&amp;ADULTS'!$N$3:$N$12006,"Đã đóng học phí")</f>
        <v>0</v>
      </c>
      <c r="Y63" s="398">
        <f>SUMIFS('KIDS&amp;ADULTS'!$Z$3:$Z$12006,'KIDS&amp;ADULTS'!$V$3:$V$12006,U63,'KIDS&amp;ADULTS'!$B$3:$B$12006,$Y$3,'KIDS&amp;ADULTS'!$N$3:$N$12006,"Đã đóng học phí")</f>
        <v>0</v>
      </c>
      <c r="Z63" s="398">
        <f>SUMIFS('KIDS&amp;ADULTS'!$Z$3:$Z$12006,'KIDS&amp;ADULTS'!$V$3:$V$12006,U63,'KIDS&amp;ADULTS'!$B$3:$B$12006,$Z$3,'KIDS&amp;ADULTS'!$N$3:$N$12006,"Đã đóng học phí")</f>
        <v>0</v>
      </c>
      <c r="AA63" s="398">
        <f>SUMIFS('KIDS&amp;ADULTS'!$Z$3:$Z$12006,'KIDS&amp;ADULTS'!$V$3:$V$12006,U63,'KIDS&amp;ADULTS'!$B$3:$B$12006,$AA$3,'KIDS&amp;ADULTS'!$N$3:$N$12006,"Đã đóng học phí")</f>
        <v>0</v>
      </c>
      <c r="AB63" s="398">
        <f>SUMIFS('KIDS&amp;ADULTS'!$Z$3:$Z$12006,'KIDS&amp;ADULTS'!$V$3:$V$12006,U63,'KIDS&amp;ADULTS'!$B$3:$B$12006,$AB$3,'KIDS&amp;ADULTS'!$N$3:$N$12006,"Đã đóng học phí")</f>
        <v>0</v>
      </c>
      <c r="AC63" s="398">
        <f>SUMIFS('KIDS&amp;ADULTS'!$Z$3:$Z$12006,'KIDS&amp;ADULTS'!$V$3:$V$12006,U63,'KIDS&amp;ADULTS'!$B$3:$B$12006,$AC$3,'KIDS&amp;ADULTS'!$N$3:$N$12006,"Đã đóng học phí")</f>
        <v>0</v>
      </c>
      <c r="AD63" s="398">
        <f t="shared" si="9"/>
        <v>0</v>
      </c>
      <c r="AE63" s="373">
        <v>0.0</v>
      </c>
    </row>
    <row r="64" ht="15.75" customHeight="1">
      <c r="U64" s="372">
        <f t="shared" si="10"/>
        <v>45194</v>
      </c>
      <c r="V64" s="398">
        <f>SUMIFS('KIDS&amp;ADULTS'!$Z$3:$Z$12006,'KIDS&amp;ADULTS'!V$3:V$12006,U64,'KIDS&amp;ADULTS'!$B$3:$B$12006,$K$3,'KIDS&amp;ADULTS'!$N$3:$N$12006,"Đã đóng học phí")</f>
        <v>0</v>
      </c>
      <c r="W64" s="398">
        <f>SUMIFS('KIDS&amp;ADULTS'!$Z$3:$Z$12006,'KIDS&amp;ADULTS'!$V$3:$V$12006,U64,'KIDS&amp;ADULTS'!$B$3:$B$12006,$W$3,'KIDS&amp;ADULTS'!$N$3:$N$12006,"Đã đóng học phí")</f>
        <v>0</v>
      </c>
      <c r="X64" s="398">
        <f>SUMIFS('KIDS&amp;ADULTS'!$Z$3:$Z$12006,'KIDS&amp;ADULTS'!$V$3:$V$12006,U64,'KIDS&amp;ADULTS'!$B$3:$B$12006,$X$3,'KIDS&amp;ADULTS'!$N$3:$N$12006,"Đã đóng học phí")</f>
        <v>0</v>
      </c>
      <c r="Y64" s="398">
        <f>SUMIFS('KIDS&amp;ADULTS'!$Z$3:$Z$12006,'KIDS&amp;ADULTS'!$V$3:$V$12006,U64,'KIDS&amp;ADULTS'!$B$3:$B$12006,$Y$3,'KIDS&amp;ADULTS'!$N$3:$N$12006,"Đã đóng học phí")</f>
        <v>4187000</v>
      </c>
      <c r="Z64" s="398">
        <f>SUMIFS('KIDS&amp;ADULTS'!$Z$3:$Z$12006,'KIDS&amp;ADULTS'!$V$3:$V$12006,U64,'KIDS&amp;ADULTS'!$B$3:$B$12006,$Z$3,'KIDS&amp;ADULTS'!$N$3:$N$12006,"Đã đóng học phí")</f>
        <v>0</v>
      </c>
      <c r="AA64" s="398">
        <f>SUMIFS('KIDS&amp;ADULTS'!$Z$3:$Z$12006,'KIDS&amp;ADULTS'!$V$3:$V$12006,U64,'KIDS&amp;ADULTS'!$B$3:$B$12006,$AA$3,'KIDS&amp;ADULTS'!$N$3:$N$12006,"Đã đóng học phí")</f>
        <v>0</v>
      </c>
      <c r="AB64" s="398">
        <f>SUMIFS('KIDS&amp;ADULTS'!$Z$3:$Z$12006,'KIDS&amp;ADULTS'!$V$3:$V$12006,U64,'KIDS&amp;ADULTS'!$B$3:$B$12006,$AB$3,'KIDS&amp;ADULTS'!$N$3:$N$12006,"Đã đóng học phí")</f>
        <v>0</v>
      </c>
      <c r="AC64" s="398">
        <f>SUMIFS('KIDS&amp;ADULTS'!$Z$3:$Z$12006,'KIDS&amp;ADULTS'!$V$3:$V$12006,U64,'KIDS&amp;ADULTS'!$B$3:$B$12006,$AC$3,'KIDS&amp;ADULTS'!$N$3:$N$12006,"Đã đóng học phí")</f>
        <v>0</v>
      </c>
      <c r="AD64" s="398">
        <f t="shared" si="9"/>
        <v>4187000</v>
      </c>
      <c r="AE64" s="373">
        <v>0.0</v>
      </c>
    </row>
    <row r="65" ht="15.75" customHeight="1">
      <c r="U65" s="372">
        <f t="shared" si="10"/>
        <v>45195</v>
      </c>
      <c r="V65" s="398">
        <f>SUMIFS('KIDS&amp;ADULTS'!$Z$3:$Z$12006,'KIDS&amp;ADULTS'!V$3:V$12006,U65,'KIDS&amp;ADULTS'!$B$3:$B$12006,$K$3,'KIDS&amp;ADULTS'!$N$3:$N$12006,"Đã đóng học phí")</f>
        <v>0</v>
      </c>
      <c r="W65" s="398">
        <f>SUMIFS('KIDS&amp;ADULTS'!$Z$3:$Z$12006,'KIDS&amp;ADULTS'!$V$3:$V$12006,U65,'KIDS&amp;ADULTS'!$B$3:$B$12006,$W$3,'KIDS&amp;ADULTS'!$N$3:$N$12006,"Đã đóng học phí")</f>
        <v>0</v>
      </c>
      <c r="X65" s="398">
        <f>SUMIFS('KIDS&amp;ADULTS'!$Z$3:$Z$12006,'KIDS&amp;ADULTS'!$V$3:$V$12006,U65,'KIDS&amp;ADULTS'!$B$3:$B$12006,$X$3,'KIDS&amp;ADULTS'!$N$3:$N$12006,"Đã đóng học phí")</f>
        <v>0</v>
      </c>
      <c r="Y65" s="398">
        <f>SUMIFS('KIDS&amp;ADULTS'!$Z$3:$Z$12006,'KIDS&amp;ADULTS'!$V$3:$V$12006,U65,'KIDS&amp;ADULTS'!$B$3:$B$12006,$Y$3,'KIDS&amp;ADULTS'!$N$3:$N$12006,"Đã đóng học phí")</f>
        <v>0</v>
      </c>
      <c r="Z65" s="398">
        <f>SUMIFS('KIDS&amp;ADULTS'!$Z$3:$Z$12006,'KIDS&amp;ADULTS'!$V$3:$V$12006,U65,'KIDS&amp;ADULTS'!$B$3:$B$12006,$Z$3,'KIDS&amp;ADULTS'!$N$3:$N$12006,"Đã đóng học phí")</f>
        <v>0</v>
      </c>
      <c r="AA65" s="398">
        <f>SUMIFS('KIDS&amp;ADULTS'!$Z$3:$Z$12006,'KIDS&amp;ADULTS'!$V$3:$V$12006,U65,'KIDS&amp;ADULTS'!$B$3:$B$12006,$AA$3,'KIDS&amp;ADULTS'!$N$3:$N$12006,"Đã đóng học phí")</f>
        <v>0</v>
      </c>
      <c r="AB65" s="398">
        <f>SUMIFS('KIDS&amp;ADULTS'!$Z$3:$Z$12006,'KIDS&amp;ADULTS'!$V$3:$V$12006,U65,'KIDS&amp;ADULTS'!$B$3:$B$12006,$AB$3,'KIDS&amp;ADULTS'!$N$3:$N$12006,"Đã đóng học phí")</f>
        <v>0</v>
      </c>
      <c r="AC65" s="398">
        <f>SUMIFS('KIDS&amp;ADULTS'!$Z$3:$Z$12006,'KIDS&amp;ADULTS'!$V$3:$V$12006,U65,'KIDS&amp;ADULTS'!$B$3:$B$12006,$AC$3,'KIDS&amp;ADULTS'!$N$3:$N$12006,"Đã đóng học phí")</f>
        <v>0</v>
      </c>
      <c r="AD65" s="398">
        <f t="shared" si="9"/>
        <v>0</v>
      </c>
      <c r="AE65" s="373">
        <v>0.0</v>
      </c>
    </row>
    <row r="66" ht="15.75" customHeight="1">
      <c r="U66" s="372">
        <f t="shared" si="10"/>
        <v>45196</v>
      </c>
      <c r="V66" s="398">
        <f>SUMIFS('KIDS&amp;ADULTS'!$Z$3:$Z$12006,'KIDS&amp;ADULTS'!V$3:V$12006,U66,'KIDS&amp;ADULTS'!$B$3:$B$12006,$K$3,'KIDS&amp;ADULTS'!$N$3:$N$12006,"Đã đóng học phí")</f>
        <v>0</v>
      </c>
      <c r="W66" s="398">
        <f>SUMIFS('KIDS&amp;ADULTS'!$Z$3:$Z$12006,'KIDS&amp;ADULTS'!$V$3:$V$12006,U66,'KIDS&amp;ADULTS'!$B$3:$B$12006,$W$3,'KIDS&amp;ADULTS'!$N$3:$N$12006,"Đã đóng học phí")</f>
        <v>0</v>
      </c>
      <c r="X66" s="398">
        <f>SUMIFS('KIDS&amp;ADULTS'!$Z$3:$Z$12006,'KIDS&amp;ADULTS'!$V$3:$V$12006,U66,'KIDS&amp;ADULTS'!$B$3:$B$12006,$X$3,'KIDS&amp;ADULTS'!$N$3:$N$12006,"Đã đóng học phí")</f>
        <v>0</v>
      </c>
      <c r="Y66" s="398">
        <f>SUMIFS('KIDS&amp;ADULTS'!$Z$3:$Z$12006,'KIDS&amp;ADULTS'!$V$3:$V$12006,U66,'KIDS&amp;ADULTS'!$B$3:$B$12006,$Y$3,'KIDS&amp;ADULTS'!$N$3:$N$12006,"Đã đóng học phí")</f>
        <v>0</v>
      </c>
      <c r="Z66" s="398">
        <f>SUMIFS('KIDS&amp;ADULTS'!$Z$3:$Z$12006,'KIDS&amp;ADULTS'!$V$3:$V$12006,U66,'KIDS&amp;ADULTS'!$B$3:$B$12006,$Z$3,'KIDS&amp;ADULTS'!$N$3:$N$12006,"Đã đóng học phí")</f>
        <v>0</v>
      </c>
      <c r="AA66" s="398">
        <f>SUMIFS('KIDS&amp;ADULTS'!$Z$3:$Z$12006,'KIDS&amp;ADULTS'!$V$3:$V$12006,U66,'KIDS&amp;ADULTS'!$B$3:$B$12006,$AA$3,'KIDS&amp;ADULTS'!$N$3:$N$12006,"Đã đóng học phí")</f>
        <v>0</v>
      </c>
      <c r="AB66" s="398">
        <f>SUMIFS('KIDS&amp;ADULTS'!$Z$3:$Z$12006,'KIDS&amp;ADULTS'!$V$3:$V$12006,U66,'KIDS&amp;ADULTS'!$B$3:$B$12006,$AB$3,'KIDS&amp;ADULTS'!$N$3:$N$12006,"Đã đóng học phí")</f>
        <v>0</v>
      </c>
      <c r="AC66" s="398">
        <f>SUMIFS('KIDS&amp;ADULTS'!$Z$3:$Z$12006,'KIDS&amp;ADULTS'!$V$3:$V$12006,U66,'KIDS&amp;ADULTS'!$B$3:$B$12006,$AC$3,'KIDS&amp;ADULTS'!$N$3:$N$12006,"Đã đóng học phí")</f>
        <v>0</v>
      </c>
      <c r="AD66" s="398">
        <f t="shared" si="9"/>
        <v>0</v>
      </c>
      <c r="AE66" s="373">
        <v>0.0</v>
      </c>
    </row>
    <row r="67" ht="15.75" customHeight="1">
      <c r="U67" s="372">
        <f t="shared" si="10"/>
        <v>45197</v>
      </c>
      <c r="V67" s="398">
        <f>SUMIFS('KIDS&amp;ADULTS'!$Z$3:$Z$12006,'KIDS&amp;ADULTS'!V$3:V$12006,U67,'KIDS&amp;ADULTS'!$B$3:$B$12006,$K$3,'KIDS&amp;ADULTS'!$N$3:$N$12006,"Đã đóng học phí")</f>
        <v>0</v>
      </c>
      <c r="W67" s="398">
        <f>SUMIFS('KIDS&amp;ADULTS'!$Z$3:$Z$12006,'KIDS&amp;ADULTS'!$V$3:$V$12006,U67,'KIDS&amp;ADULTS'!$B$3:$B$12006,$W$3,'KIDS&amp;ADULTS'!$N$3:$N$12006,"Đã đóng học phí")</f>
        <v>0</v>
      </c>
      <c r="X67" s="398">
        <f>SUMIFS('KIDS&amp;ADULTS'!$Z$3:$Z$12006,'KIDS&amp;ADULTS'!$V$3:$V$12006,U67,'KIDS&amp;ADULTS'!$B$3:$B$12006,$X$3,'KIDS&amp;ADULTS'!$N$3:$N$12006,"Đã đóng học phí")</f>
        <v>0</v>
      </c>
      <c r="Y67" s="398">
        <f>SUMIFS('KIDS&amp;ADULTS'!$Z$3:$Z$12006,'KIDS&amp;ADULTS'!$V$3:$V$12006,U67,'KIDS&amp;ADULTS'!$B$3:$B$12006,$Y$3,'KIDS&amp;ADULTS'!$N$3:$N$12006,"Đã đóng học phí")</f>
        <v>0</v>
      </c>
      <c r="Z67" s="398">
        <f>SUMIFS('KIDS&amp;ADULTS'!$Z$3:$Z$12006,'KIDS&amp;ADULTS'!$V$3:$V$12006,U67,'KIDS&amp;ADULTS'!$B$3:$B$12006,$Z$3,'KIDS&amp;ADULTS'!$N$3:$N$12006,"Đã đóng học phí")</f>
        <v>0</v>
      </c>
      <c r="AA67" s="398">
        <f>SUMIFS('KIDS&amp;ADULTS'!$Z$3:$Z$12006,'KIDS&amp;ADULTS'!$V$3:$V$12006,U67,'KIDS&amp;ADULTS'!$B$3:$B$12006,$AA$3,'KIDS&amp;ADULTS'!$N$3:$N$12006,"Đã đóng học phí")</f>
        <v>0</v>
      </c>
      <c r="AB67" s="398">
        <f>SUMIFS('KIDS&amp;ADULTS'!$Z$3:$Z$12006,'KIDS&amp;ADULTS'!$V$3:$V$12006,U67,'KIDS&amp;ADULTS'!$B$3:$B$12006,$AB$3,'KIDS&amp;ADULTS'!$N$3:$N$12006,"Đã đóng học phí")</f>
        <v>0</v>
      </c>
      <c r="AC67" s="398">
        <f>SUMIFS('KIDS&amp;ADULTS'!$Z$3:$Z$12006,'KIDS&amp;ADULTS'!$V$3:$V$12006,U67,'KIDS&amp;ADULTS'!$B$3:$B$12006,$AC$3,'KIDS&amp;ADULTS'!$N$3:$N$12006,"Đã đóng học phí")</f>
        <v>0</v>
      </c>
      <c r="AD67" s="398">
        <f t="shared" si="9"/>
        <v>0</v>
      </c>
      <c r="AE67" s="373">
        <v>0.0</v>
      </c>
    </row>
    <row r="68" ht="15.75" customHeight="1">
      <c r="U68" s="372">
        <f t="shared" si="10"/>
        <v>45198</v>
      </c>
      <c r="V68" s="398">
        <f>SUMIFS('KIDS&amp;ADULTS'!$Z$3:$Z$12006,'KIDS&amp;ADULTS'!V$3:V$12006,U68,'KIDS&amp;ADULTS'!$B$3:$B$12006,$K$3,'KIDS&amp;ADULTS'!$N$3:$N$12006,"Đã đóng học phí")</f>
        <v>0</v>
      </c>
      <c r="W68" s="398">
        <f>SUMIFS('KIDS&amp;ADULTS'!$Z$3:$Z$12006,'KIDS&amp;ADULTS'!$V$3:$V$12006,U68,'KIDS&amp;ADULTS'!$B$3:$B$12006,$W$3,'KIDS&amp;ADULTS'!$N$3:$N$12006,"Đã đóng học phí")</f>
        <v>0</v>
      </c>
      <c r="X68" s="398">
        <f>SUMIFS('KIDS&amp;ADULTS'!$Z$3:$Z$12006,'KIDS&amp;ADULTS'!$V$3:$V$12006,U68,'KIDS&amp;ADULTS'!$B$3:$B$12006,$X$3,'KIDS&amp;ADULTS'!$N$3:$N$12006,"Đã đóng học phí")</f>
        <v>0</v>
      </c>
      <c r="Y68" s="398">
        <f>SUMIFS('KIDS&amp;ADULTS'!$Z$3:$Z$12006,'KIDS&amp;ADULTS'!$V$3:$V$12006,U68,'KIDS&amp;ADULTS'!$B$3:$B$12006,$Y$3,'KIDS&amp;ADULTS'!$N$3:$N$12006,"Đã đóng học phí")</f>
        <v>0</v>
      </c>
      <c r="Z68" s="398">
        <f>SUMIFS('KIDS&amp;ADULTS'!$Z$3:$Z$12006,'KIDS&amp;ADULTS'!$V$3:$V$12006,U68,'KIDS&amp;ADULTS'!$B$3:$B$12006,$Z$3,'KIDS&amp;ADULTS'!$N$3:$N$12006,"Đã đóng học phí")</f>
        <v>0</v>
      </c>
      <c r="AA68" s="398">
        <f>SUMIFS('KIDS&amp;ADULTS'!$Z$3:$Z$12006,'KIDS&amp;ADULTS'!$V$3:$V$12006,U68,'KIDS&amp;ADULTS'!$B$3:$B$12006,$AA$3,'KIDS&amp;ADULTS'!$N$3:$N$12006,"Đã đóng học phí")</f>
        <v>0</v>
      </c>
      <c r="AB68" s="398">
        <f>SUMIFS('KIDS&amp;ADULTS'!$Z$3:$Z$12006,'KIDS&amp;ADULTS'!$V$3:$V$12006,U68,'KIDS&amp;ADULTS'!$B$3:$B$12006,$AB$3,'KIDS&amp;ADULTS'!$N$3:$N$12006,"Đã đóng học phí")</f>
        <v>0</v>
      </c>
      <c r="AC68" s="398">
        <f>SUMIFS('KIDS&amp;ADULTS'!$Z$3:$Z$12006,'KIDS&amp;ADULTS'!$V$3:$V$12006,U68,'KIDS&amp;ADULTS'!$B$3:$B$12006,$AC$3,'KIDS&amp;ADULTS'!$N$3:$N$12006,"Đã đóng học phí")</f>
        <v>0</v>
      </c>
      <c r="AD68" s="398">
        <f t="shared" si="9"/>
        <v>0</v>
      </c>
      <c r="AE68" s="373">
        <v>0.0</v>
      </c>
    </row>
    <row r="69" ht="15.75" customHeight="1">
      <c r="U69" s="372">
        <f t="shared" si="10"/>
        <v>45199</v>
      </c>
      <c r="V69" s="398">
        <f>SUMIFS('KIDS&amp;ADULTS'!$Z$3:$Z$12006,'KIDS&amp;ADULTS'!V$3:V$12006,U69,'KIDS&amp;ADULTS'!$B$3:$B$12006,$K$3,'KIDS&amp;ADULTS'!$N$3:$N$12006,"Đã đóng học phí")</f>
        <v>0</v>
      </c>
      <c r="W69" s="398">
        <f>SUMIFS('KIDS&amp;ADULTS'!$Z$3:$Z$12006,'KIDS&amp;ADULTS'!$V$3:$V$12006,U69,'KIDS&amp;ADULTS'!$B$3:$B$12006,$W$3,'KIDS&amp;ADULTS'!$N$3:$N$12006,"Đã đóng học phí")</f>
        <v>0</v>
      </c>
      <c r="X69" s="398">
        <f>SUMIFS('KIDS&amp;ADULTS'!$Z$3:$Z$12006,'KIDS&amp;ADULTS'!$V$3:$V$12006,U69,'KIDS&amp;ADULTS'!$B$3:$B$12006,$X$3,'KIDS&amp;ADULTS'!$N$3:$N$12006,"Đã đóng học phí")</f>
        <v>0</v>
      </c>
      <c r="Y69" s="398">
        <f>SUMIFS('KIDS&amp;ADULTS'!$Z$3:$Z$12006,'KIDS&amp;ADULTS'!$V$3:$V$12006,U69,'KIDS&amp;ADULTS'!$B$3:$B$12006,$Y$3,'KIDS&amp;ADULTS'!$N$3:$N$12006,"Đã đóng học phí")</f>
        <v>0</v>
      </c>
      <c r="Z69" s="398">
        <f>SUMIFS('KIDS&amp;ADULTS'!$Z$3:$Z$12006,'KIDS&amp;ADULTS'!$V$3:$V$12006,U69,'KIDS&amp;ADULTS'!$B$3:$B$12006,$Z$3,'KIDS&amp;ADULTS'!$N$3:$N$12006,"Đã đóng học phí")</f>
        <v>7437500</v>
      </c>
      <c r="AA69" s="398">
        <f>SUMIFS('KIDS&amp;ADULTS'!$Z$3:$Z$12006,'KIDS&amp;ADULTS'!$V$3:$V$12006,U69,'KIDS&amp;ADULTS'!$B$3:$B$12006,$AA$3,'KIDS&amp;ADULTS'!$N$3:$N$12006,"Đã đóng học phí")</f>
        <v>0</v>
      </c>
      <c r="AB69" s="398">
        <f>SUMIFS('KIDS&amp;ADULTS'!$Z$3:$Z$12006,'KIDS&amp;ADULTS'!$V$3:$V$12006,U69,'KIDS&amp;ADULTS'!$B$3:$B$12006,$AB$3,'KIDS&amp;ADULTS'!$N$3:$N$12006,"Đã đóng học phí")</f>
        <v>0</v>
      </c>
      <c r="AC69" s="398">
        <f>SUMIFS('KIDS&amp;ADULTS'!$Z$3:$Z$12006,'KIDS&amp;ADULTS'!$V$3:$V$12006,U69,'KIDS&amp;ADULTS'!$B$3:$B$12006,$AC$3,'KIDS&amp;ADULTS'!$N$3:$N$12006,"Đã đóng học phí")</f>
        <v>0</v>
      </c>
      <c r="AD69" s="398">
        <f t="shared" si="9"/>
        <v>7437500</v>
      </c>
      <c r="AE69" s="373">
        <v>0.0</v>
      </c>
    </row>
    <row r="70" ht="15.75" customHeight="1">
      <c r="U70" s="372">
        <f t="shared" si="10"/>
        <v>45200</v>
      </c>
      <c r="V70" s="398">
        <f>SUMIFS('KIDS&amp;ADULTS'!$Z$3:$Z$12006,'KIDS&amp;ADULTS'!V$3:V$12006,U70,'KIDS&amp;ADULTS'!$B$3:$B$12006,$K$3,'KIDS&amp;ADULTS'!$N$3:$N$12006,"Đã đóng học phí")</f>
        <v>0</v>
      </c>
      <c r="W70" s="398">
        <f>SUMIFS('KIDS&amp;ADULTS'!$Z$3:$Z$12006,'KIDS&amp;ADULTS'!$V$3:$V$12006,U70,'KIDS&amp;ADULTS'!$B$3:$B$12006,$W$3,'KIDS&amp;ADULTS'!$N$3:$N$12006,"Đã đóng học phí")</f>
        <v>0</v>
      </c>
      <c r="X70" s="398">
        <f>SUMIFS('KIDS&amp;ADULTS'!$Z$3:$Z$12006,'KIDS&amp;ADULTS'!$V$3:$V$12006,U70,'KIDS&amp;ADULTS'!$B$3:$B$12006,$X$3,'KIDS&amp;ADULTS'!$N$3:$N$12006,"Đã đóng học phí")</f>
        <v>0</v>
      </c>
      <c r="Y70" s="398">
        <f>SUMIFS('KIDS&amp;ADULTS'!$Z$3:$Z$12006,'KIDS&amp;ADULTS'!$V$3:$V$12006,U70,'KIDS&amp;ADULTS'!$B$3:$B$12006,$Y$3,'KIDS&amp;ADULTS'!$N$3:$N$12006,"Đã đóng học phí")</f>
        <v>0</v>
      </c>
      <c r="Z70" s="398">
        <f>SUMIFS('KIDS&amp;ADULTS'!$Z$3:$Z$12006,'KIDS&amp;ADULTS'!$V$3:$V$12006,U70,'KIDS&amp;ADULTS'!$B$3:$B$12006,$Z$3,'KIDS&amp;ADULTS'!$N$3:$N$12006,"Đã đóng học phí")</f>
        <v>0</v>
      </c>
      <c r="AA70" s="398">
        <f>SUMIFS('KIDS&amp;ADULTS'!$Z$3:$Z$12006,'KIDS&amp;ADULTS'!$V$3:$V$12006,U70,'KIDS&amp;ADULTS'!$B$3:$B$12006,$AA$3,'KIDS&amp;ADULTS'!$N$3:$N$12006,"Đã đóng học phí")</f>
        <v>0</v>
      </c>
      <c r="AB70" s="398">
        <f>SUMIFS('KIDS&amp;ADULTS'!$Z$3:$Z$12006,'KIDS&amp;ADULTS'!$V$3:$V$12006,U70,'KIDS&amp;ADULTS'!$B$3:$B$12006,$AB$3,'KIDS&amp;ADULTS'!$N$3:$N$12006,"Đã đóng học phí")</f>
        <v>0</v>
      </c>
      <c r="AC70" s="398">
        <f>SUMIFS('KIDS&amp;ADULTS'!$Z$3:$Z$12006,'KIDS&amp;ADULTS'!$V$3:$V$12006,U70,'KIDS&amp;ADULTS'!$B$3:$B$12006,$AC$3,'KIDS&amp;ADULTS'!$N$3:$N$12006,"Đã đóng học phí")</f>
        <v>0</v>
      </c>
      <c r="AD70" s="398">
        <f t="shared" si="9"/>
        <v>0</v>
      </c>
    </row>
    <row r="71" ht="15.75" customHeight="1">
      <c r="U71" s="388" t="s">
        <v>4622</v>
      </c>
      <c r="V71" s="399">
        <f t="shared" ref="V71:Z71" si="11">SUM(V40:V69)</f>
        <v>0</v>
      </c>
      <c r="W71" s="411">
        <f t="shared" si="11"/>
        <v>0</v>
      </c>
      <c r="X71" s="412">
        <f t="shared" si="11"/>
        <v>0</v>
      </c>
      <c r="Y71" s="412">
        <f t="shared" si="11"/>
        <v>19376000</v>
      </c>
      <c r="Z71" s="413">
        <f t="shared" si="11"/>
        <v>10101500</v>
      </c>
      <c r="AA71" s="414">
        <f t="shared" ref="AA71:AC71" si="12">SUM(AA38:AA69)</f>
        <v>2664000</v>
      </c>
      <c r="AB71" s="414">
        <f t="shared" si="12"/>
        <v>0</v>
      </c>
      <c r="AC71" s="414">
        <f t="shared" si="12"/>
        <v>0</v>
      </c>
      <c r="AD71" s="400">
        <f t="shared" si="9"/>
        <v>32141500</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J1:Q1"/>
    <mergeCell ref="K2:Q2"/>
    <mergeCell ref="A1:G1"/>
    <mergeCell ref="H1:I3"/>
    <mergeCell ref="A2:A3"/>
    <mergeCell ref="B2:F2"/>
    <mergeCell ref="G2:G3"/>
    <mergeCell ref="J2:J3"/>
    <mergeCell ref="U2:U3"/>
    <mergeCell ref="V2:AC2"/>
    <mergeCell ref="U37:AC37"/>
    <mergeCell ref="U38:U39"/>
    <mergeCell ref="V38:AC38"/>
    <mergeCell ref="U1:AC1"/>
    <mergeCell ref="AF2:AN2"/>
    <mergeCell ref="AF3:AF4"/>
    <mergeCell ref="AG3:AN3"/>
    <mergeCell ref="AF7:AN7"/>
    <mergeCell ref="AF8:AF9"/>
    <mergeCell ref="AG8:AN8"/>
  </mergeCells>
  <conditionalFormatting sqref="K4:R33">
    <cfRule type="cellIs" dxfId="1" priority="1" operator="greaterThan">
      <formula>0</formula>
    </cfRule>
  </conditionalFormatting>
  <conditionalFormatting sqref="V4:AC33">
    <cfRule type="cellIs" dxfId="7" priority="2" operator="greaterThan">
      <formula>0</formula>
    </cfRule>
  </conditionalFormatting>
  <conditionalFormatting sqref="V40:AC70">
    <cfRule type="cellIs" dxfId="7" priority="3" operator="greaterThan">
      <formula>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5.38"/>
    <col customWidth="1" min="3" max="6" width="19.0"/>
    <col customWidth="1" min="7" max="7" width="18.25"/>
    <col customWidth="1" min="8" max="8" width="16.88"/>
    <col customWidth="1" min="19" max="20" width="7.0"/>
  </cols>
  <sheetData>
    <row r="1" ht="15.75" customHeight="1">
      <c r="A1" s="357" t="s">
        <v>4724</v>
      </c>
      <c r="J1" s="358" t="s">
        <v>4611</v>
      </c>
      <c r="R1" s="358"/>
      <c r="U1" s="358" t="s">
        <v>4612</v>
      </c>
    </row>
    <row r="2" ht="15.75" customHeight="1">
      <c r="A2" s="359" t="s">
        <v>4613</v>
      </c>
      <c r="B2" s="360" t="s">
        <v>4614</v>
      </c>
      <c r="C2" s="235"/>
      <c r="D2" s="235"/>
      <c r="E2" s="235"/>
      <c r="F2" s="236"/>
      <c r="G2" s="359" t="s">
        <v>4615</v>
      </c>
      <c r="J2" s="361" t="s">
        <v>4613</v>
      </c>
      <c r="K2" s="363" t="s">
        <v>4616</v>
      </c>
      <c r="L2" s="235"/>
      <c r="M2" s="235"/>
      <c r="N2" s="235"/>
      <c r="O2" s="235"/>
      <c r="P2" s="235"/>
      <c r="Q2" s="236"/>
      <c r="R2" s="364"/>
      <c r="U2" s="361" t="s">
        <v>4613</v>
      </c>
      <c r="V2" s="363" t="s">
        <v>4616</v>
      </c>
      <c r="W2" s="235"/>
      <c r="X2" s="235"/>
      <c r="Y2" s="235"/>
      <c r="Z2" s="235"/>
      <c r="AA2" s="235"/>
      <c r="AB2" s="235"/>
      <c r="AC2" s="236"/>
      <c r="AF2" s="358" t="s">
        <v>4617</v>
      </c>
    </row>
    <row r="3" ht="15.75" customHeight="1">
      <c r="A3" s="11"/>
      <c r="B3" s="365" t="s">
        <v>412</v>
      </c>
      <c r="C3" s="365" t="s">
        <v>66</v>
      </c>
      <c r="D3" s="365" t="s">
        <v>48</v>
      </c>
      <c r="E3" s="365" t="s">
        <v>111</v>
      </c>
      <c r="F3" s="365" t="s">
        <v>4618</v>
      </c>
      <c r="G3" s="11"/>
      <c r="J3" s="11"/>
      <c r="K3" s="366" t="s">
        <v>4620</v>
      </c>
      <c r="L3" s="367" t="s">
        <v>4621</v>
      </c>
      <c r="M3" s="368" t="s">
        <v>73</v>
      </c>
      <c r="N3" s="369" t="s">
        <v>201</v>
      </c>
      <c r="O3" s="370" t="s">
        <v>84</v>
      </c>
      <c r="P3" s="371" t="s">
        <v>60</v>
      </c>
      <c r="Q3" s="371" t="s">
        <v>703</v>
      </c>
      <c r="R3" s="371" t="s">
        <v>539</v>
      </c>
      <c r="U3" s="11"/>
      <c r="V3" s="366" t="s">
        <v>4620</v>
      </c>
      <c r="W3" s="367" t="s">
        <v>4621</v>
      </c>
      <c r="X3" s="368" t="s">
        <v>73</v>
      </c>
      <c r="Y3" s="369" t="s">
        <v>201</v>
      </c>
      <c r="Z3" s="370" t="s">
        <v>84</v>
      </c>
      <c r="AA3" s="371" t="s">
        <v>60</v>
      </c>
      <c r="AB3" s="371" t="s">
        <v>539</v>
      </c>
      <c r="AC3" s="371" t="s">
        <v>703</v>
      </c>
      <c r="AF3" s="361" t="s">
        <v>4613</v>
      </c>
      <c r="AG3" s="363" t="s">
        <v>4616</v>
      </c>
      <c r="AH3" s="235"/>
      <c r="AI3" s="235"/>
      <c r="AJ3" s="235"/>
      <c r="AK3" s="235"/>
      <c r="AL3" s="235"/>
      <c r="AM3" s="235"/>
      <c r="AN3" s="236"/>
    </row>
    <row r="4" ht="15.75" customHeight="1">
      <c r="A4" s="372">
        <v>45139.0</v>
      </c>
      <c r="B4" s="373">
        <f>sumifs('KIDS&amp;ADULTS'!$Z$3:$Z$1015,'KIDS&amp;ADULTS'!$V$3:$V$1015,A4,'KIDS&amp;ADULTS'!$M$3:$M$1015,$B$3)</f>
        <v>0</v>
      </c>
      <c r="C4" s="373">
        <f>sumifs('KIDS&amp;ADULTS'!$Z$3:$Z$1015,'KIDS&amp;ADULTS'!$V$3:$V$1015,A4,'KIDS&amp;ADULTS'!$M$3:$M$1015,"phương")</f>
        <v>0</v>
      </c>
      <c r="D4" s="373">
        <f>sumifs('KIDS&amp;ADULTS'!$Z$3:$Z$1015,'KIDS&amp;ADULTS'!$V$3:$V$1015,A4,'KIDS&amp;ADULTS'!$M$3:$M$1015,$D$3)</f>
        <v>0</v>
      </c>
      <c r="E4" s="373">
        <f>sumifs('KIDS&amp;ADULTS'!$Z$3:$Z$1015,'KIDS&amp;ADULTS'!$V$3:$V$1015,A4,'KIDS&amp;ADULTS'!$M$3:$M$1015,"Ánh")</f>
        <v>0</v>
      </c>
      <c r="F4" s="373">
        <f>sumifs('KIDS&amp;ADULTS'!$Z$3:$Z$1015,'KIDS&amp;ADULTS'!$V$3:$V$1015,A4,'KIDS&amp;ADULTS'!$M$3:$M$1015,"Loan")</f>
        <v>0</v>
      </c>
      <c r="G4" s="373">
        <f t="shared" ref="G4:G34" si="1">sum(B4:F4)</f>
        <v>0</v>
      </c>
      <c r="J4" s="372">
        <v>45139.0</v>
      </c>
      <c r="K4" s="374">
        <f>COUNTIFS('KIDS&amp;ADULTS'!$A$3:$A$12008,J4,'KIDS&amp;ADULTS'!$B$3:$B$12008,$K$3)</f>
        <v>0</v>
      </c>
      <c r="L4" s="374">
        <f>COUNTIFS('KIDS&amp;ADULTS'!$A$3:$A$12008,J4,'KIDS&amp;ADULTS'!$B$3:$B$12008,$L$3)</f>
        <v>0</v>
      </c>
      <c r="M4" s="374">
        <f>COUNTIFS('KIDS&amp;ADULTS'!$A$3:$A$12008,J4,'KIDS&amp;ADULTS'!$B$3:$B$12008,$M$3)</f>
        <v>0</v>
      </c>
      <c r="N4" s="375">
        <f>COUNTIFS('KIDS&amp;ADULTS'!$A$3:$A$12008,J4,'KIDS&amp;ADULTS'!$B$3:$B$12008,$N$3)</f>
        <v>0</v>
      </c>
      <c r="O4" s="375">
        <f>COUNTIFS('KIDS&amp;ADULTS'!$A$3:$A$12008,J4,'KIDS&amp;ADULTS'!$B$3:$B$12008,$O$3)</f>
        <v>0</v>
      </c>
      <c r="P4" s="375">
        <f>COUNTIFS('KIDS&amp;ADULTS'!$A$3:$A$12008,J4,'KIDS&amp;ADULTS'!$B$3:$B$12008,$P$3)</f>
        <v>0</v>
      </c>
      <c r="Q4" s="375">
        <f>COUNTIFS('KIDS&amp;ADULTS'!$A$3:$A$1008,J4,'KIDS&amp;ADULTS'!$B$3:$B$1008,$Q$3)</f>
        <v>0</v>
      </c>
      <c r="R4" s="374">
        <f>COUNTIFS('KIDS&amp;ADULTS'!$A$3:$A$12008,J4,'KIDS&amp;ADULTS'!$B$3:$B$12008,$R$3)</f>
        <v>0</v>
      </c>
      <c r="U4" s="372">
        <v>45139.0</v>
      </c>
      <c r="V4" s="376">
        <f>COUNTIFS('KIDS&amp;ADULTS'!$V$3:$V$12006,U4,'KIDS&amp;ADULTS'!$B$3:$B$12006,$K$3,'KIDS&amp;ADULTS'!$N$3:$N$12006,"Đã đóng học phí")</f>
        <v>0</v>
      </c>
      <c r="W4" s="376">
        <f>COUNTIFS('KIDS&amp;ADULTS'!$V$3:$V$12006,U4,'KIDS&amp;ADULTS'!$B$3:$B12006,$W$3,'KIDS&amp;ADULTS'!$N$3:$N$12006,"Đã đóng học phí")</f>
        <v>0</v>
      </c>
      <c r="X4" s="376">
        <f>COUNTIFS('KIDS&amp;ADULTS'!$V$3:$V$12006,U4,'KIDS&amp;ADULTS'!$B$3:$B$12006,$X$3,'KIDS&amp;ADULTS'!$N$3:$N$12006,"Đã đóng học phí")</f>
        <v>0</v>
      </c>
      <c r="Y4" s="376">
        <f>COUNTIFS('KIDS&amp;ADULTS'!$V$3:$V$12006,U4,'KIDS&amp;ADULTS'!$B$3:$B$12006,$Y$3,'KIDS&amp;ADULTS'!$N$3:$N$12006,"Đã đóng học phí")</f>
        <v>0</v>
      </c>
      <c r="Z4" s="376">
        <f>COUNTIFS('KIDS&amp;ADULTS'!$V$3:$V$12006,U4,'KIDS&amp;ADULTS'!$B$3:$B$12006,$Z$3,'KIDS&amp;ADULTS'!$N$3:$N$12006,"Đã đóng học phí")</f>
        <v>0</v>
      </c>
      <c r="AA4" s="376">
        <f>COUNTIFS('KIDS&amp;ADULTS'!$V$3:$V$12006,U4,'KIDS&amp;ADULTS'!$B$3:$B$12006,$AA$3,'KIDS&amp;ADULTS'!$N$3:$N$12006,"Đã đóng học phí")</f>
        <v>0</v>
      </c>
      <c r="AB4" s="376">
        <f>COUNTIFS('KIDS&amp;ADULTS'!$V$3:$V$12006,U4,'KIDS&amp;ADULTS'!$B$3:$B$12006,$AB$3,'KIDS&amp;ADULTS'!$N$3:$N$12006,"Đã đóng học phí")</f>
        <v>0</v>
      </c>
      <c r="AC4" s="376">
        <f>COUNTIFS('KIDS&amp;ADULTS'!$V$3:$V$12006,U4,'KIDS&amp;ADULTS'!$B$3:$B$12006,$AC$3,'KIDS&amp;ADULTS'!$N$3:$N$12006,"Đã đóng học phí")</f>
        <v>0</v>
      </c>
      <c r="AF4" s="11"/>
      <c r="AG4" s="366" t="s">
        <v>4620</v>
      </c>
      <c r="AH4" s="367" t="s">
        <v>4621</v>
      </c>
      <c r="AI4" s="377" t="s">
        <v>73</v>
      </c>
      <c r="AJ4" s="378" t="s">
        <v>201</v>
      </c>
      <c r="AK4" s="379" t="s">
        <v>84</v>
      </c>
      <c r="AL4" s="380" t="s">
        <v>60</v>
      </c>
      <c r="AM4" s="371" t="s">
        <v>539</v>
      </c>
      <c r="AN4" s="380" t="s">
        <v>703</v>
      </c>
    </row>
    <row r="5" ht="15.75" customHeight="1">
      <c r="A5" s="372">
        <v>45140.0</v>
      </c>
      <c r="B5" s="373">
        <f>sumifs('KIDS&amp;ADULTS'!$Z$3:$Z$1015,'KIDS&amp;ADULTS'!$V$3:$V$1015,A5,'KIDS&amp;ADULTS'!$M$3:$M$1015,$B$3)</f>
        <v>0</v>
      </c>
      <c r="C5" s="373">
        <f>sumifs('KIDS&amp;ADULTS'!$Z$3:$Z$1015,'KIDS&amp;ADULTS'!$V$3:$V$1015,A5,'KIDS&amp;ADULTS'!$M$3:$M$1015,"phương")</f>
        <v>0</v>
      </c>
      <c r="D5" s="373">
        <f>sumifs('KIDS&amp;ADULTS'!$Z$3:$Z$1015,'KIDS&amp;ADULTS'!$V$3:$V$1015,A5,'KIDS&amp;ADULTS'!$M$3:$M$1015,$D$3)</f>
        <v>0</v>
      </c>
      <c r="E5" s="373">
        <f>sumifs('KIDS&amp;ADULTS'!$Z$3:$Z$1015,'KIDS&amp;ADULTS'!$V$3:$V$1015,A5,'KIDS&amp;ADULTS'!$M$3:$M$1015,"Ánh")</f>
        <v>0</v>
      </c>
      <c r="F5" s="373">
        <f>sumifs('KIDS&amp;ADULTS'!$Z$3:$Z$1015,'KIDS&amp;ADULTS'!$V$3:$V$1015,A5,'KIDS&amp;ADULTS'!$M$3:$M$1015,"Loan")</f>
        <v>0</v>
      </c>
      <c r="G5" s="373">
        <f t="shared" si="1"/>
        <v>0</v>
      </c>
      <c r="J5" s="372">
        <f t="shared" ref="J5:J34" si="3">J4+1</f>
        <v>45140</v>
      </c>
      <c r="K5" s="374">
        <f>COUNTIFS('KIDS&amp;ADULTS'!$A$3:$A$12008,J5,'KIDS&amp;ADULTS'!$B$3:$B$12008,$K$3)</f>
        <v>0</v>
      </c>
      <c r="L5" s="374">
        <f>COUNTIFS('KIDS&amp;ADULTS'!$A$3:$A$12008,J5,'KIDS&amp;ADULTS'!$B$3:$B$12008,$L$3)</f>
        <v>0</v>
      </c>
      <c r="M5" s="374">
        <f>COUNTIFS('KIDS&amp;ADULTS'!$A$3:$A$12008,J5,'KIDS&amp;ADULTS'!$B$3:$B$12008,$M$3)</f>
        <v>1</v>
      </c>
      <c r="N5" s="375">
        <f>COUNTIFS('KIDS&amp;ADULTS'!$A$3:$A$12008,J5,'KIDS&amp;ADULTS'!$B$3:$B$12008,$N$3)</f>
        <v>0</v>
      </c>
      <c r="O5" s="375">
        <f>COUNTIFS('KIDS&amp;ADULTS'!$A$3:$A$12008,J5,'KIDS&amp;ADULTS'!$B$3:$B$12008,$O$3)</f>
        <v>0</v>
      </c>
      <c r="P5" s="375">
        <f>COUNTIFS('KIDS&amp;ADULTS'!$A$3:$A$12008,J5,'KIDS&amp;ADULTS'!$B$3:$B$12008,$P$3)</f>
        <v>0</v>
      </c>
      <c r="Q5" s="375">
        <f>COUNTIFS('KIDS&amp;ADULTS'!$A$3:$A$1008,J5,'KIDS&amp;ADULTS'!$B$3:$B$1008,$Q$3)</f>
        <v>0</v>
      </c>
      <c r="R5" s="374">
        <f>COUNTIFS('KIDS&amp;ADULTS'!$A$3:$A$12008,J5,'KIDS&amp;ADULTS'!$B$3:$B$12008,$R$3)</f>
        <v>0</v>
      </c>
      <c r="U5" s="372">
        <f t="shared" ref="U5:U34" si="4">U4+1</f>
        <v>45140</v>
      </c>
      <c r="V5" s="376">
        <f>COUNTIFS('KIDS&amp;ADULTS'!$V$3:$V$12006,U5,'KIDS&amp;ADULTS'!$B$3:$B$12006,$K$3,'KIDS&amp;ADULTS'!$N$3:$N$12006,"Đã đóng học phí")</f>
        <v>0</v>
      </c>
      <c r="W5" s="376">
        <f>COUNTIFS('KIDS&amp;ADULTS'!$V$3:$V$12006,U5,'KIDS&amp;ADULTS'!$B$3:$B12007,$W$3,'KIDS&amp;ADULTS'!$N$3:$N$12006,"Đã đóng học phí")</f>
        <v>0</v>
      </c>
      <c r="X5" s="376">
        <f>COUNTIFS('KIDS&amp;ADULTS'!$V$3:$V$12006,U5,'KIDS&amp;ADULTS'!$B$3:$B$12006,$X$3,'KIDS&amp;ADULTS'!$N$3:$N$12006,"Đã đóng học phí")</f>
        <v>0</v>
      </c>
      <c r="Y5" s="376">
        <f>COUNTIFS('KIDS&amp;ADULTS'!$V$3:$V$12006,U5,'KIDS&amp;ADULTS'!$B$3:$B$12006,$Y$3,'KIDS&amp;ADULTS'!$N$3:$N$12006,"Đã đóng học phí")</f>
        <v>0</v>
      </c>
      <c r="Z5" s="376">
        <f>COUNTIFS('KIDS&amp;ADULTS'!$V$3:$V$12006,U5,'KIDS&amp;ADULTS'!$B$3:$B$12006,$Z$3,'KIDS&amp;ADULTS'!$N$3:$N$12006,"Đã đóng học phí")</f>
        <v>0</v>
      </c>
      <c r="AA5" s="376">
        <f>COUNTIFS('KIDS&amp;ADULTS'!$V$3:$V$12006,U5,'KIDS&amp;ADULTS'!$B$3:$B$12006,$AA$3,'KIDS&amp;ADULTS'!$N$3:$N$12006,"Đã đóng học phí")</f>
        <v>0</v>
      </c>
      <c r="AB5" s="376">
        <f>COUNTIFS('KIDS&amp;ADULTS'!$V$3:$V$12006,U5,'KIDS&amp;ADULTS'!$B$3:$B$12006,$AB$3,'KIDS&amp;ADULTS'!$N$3:$N$12006,"Đã đóng học phí")</f>
        <v>0</v>
      </c>
      <c r="AC5" s="376">
        <f>COUNTIFS('KIDS&amp;ADULTS'!$V$3:$V$12006,U5,'KIDS&amp;ADULTS'!$B$3:$B$12006,$AC$3,'KIDS&amp;ADULTS'!$N$3:$N$12006,"Đã đóng học phí")</f>
        <v>0</v>
      </c>
      <c r="AF5" s="381" t="s">
        <v>4622</v>
      </c>
      <c r="AG5" s="381">
        <f t="shared" ref="AG5:AN5" si="2">V35</f>
        <v>0</v>
      </c>
      <c r="AH5" s="381">
        <f t="shared" si="2"/>
        <v>0</v>
      </c>
      <c r="AI5" s="381">
        <f t="shared" si="2"/>
        <v>1</v>
      </c>
      <c r="AJ5" s="381">
        <f t="shared" si="2"/>
        <v>7</v>
      </c>
      <c r="AK5" s="381">
        <f t="shared" si="2"/>
        <v>2</v>
      </c>
      <c r="AL5" s="381">
        <f t="shared" si="2"/>
        <v>0</v>
      </c>
      <c r="AM5" s="381">
        <f t="shared" si="2"/>
        <v>0</v>
      </c>
      <c r="AN5" s="381">
        <f t="shared" si="2"/>
        <v>0</v>
      </c>
    </row>
    <row r="6" ht="15.75" customHeight="1">
      <c r="A6" s="372">
        <v>45141.0</v>
      </c>
      <c r="B6" s="373">
        <f>sumifs('KIDS&amp;ADULTS'!$Z$3:$Z$1015,'KIDS&amp;ADULTS'!$V$3:$V$1015,A6,'KIDS&amp;ADULTS'!$M$3:$M$1015,$B$3)</f>
        <v>0</v>
      </c>
      <c r="C6" s="373">
        <f>sumifs('KIDS&amp;ADULTS'!$Z$3:$Z$1015,'KIDS&amp;ADULTS'!$V$3:$V$1015,A6,'KIDS&amp;ADULTS'!$M$3:$M$1015,"phương")</f>
        <v>0</v>
      </c>
      <c r="D6" s="373">
        <f>sumifs('KIDS&amp;ADULTS'!$Z$3:$Z$1015,'KIDS&amp;ADULTS'!$V$3:$V$1015,A6,'KIDS&amp;ADULTS'!$M$3:$M$1015,$D$3)</f>
        <v>0</v>
      </c>
      <c r="E6" s="373">
        <f>sumifs('KIDS&amp;ADULTS'!$Z$3:$Z$1015,'KIDS&amp;ADULTS'!$V$3:$V$1015,A6,'KIDS&amp;ADULTS'!$M$3:$M$1015,"Ánh")</f>
        <v>9215000</v>
      </c>
      <c r="F6" s="373">
        <f>sumifs('KIDS&amp;ADULTS'!$Z$3:$Z$1015,'KIDS&amp;ADULTS'!$V$3:$V$1015,A6,'KIDS&amp;ADULTS'!$M$3:$M$1015,"Loan")</f>
        <v>0</v>
      </c>
      <c r="G6" s="373">
        <f t="shared" si="1"/>
        <v>9215000</v>
      </c>
      <c r="J6" s="372">
        <f t="shared" si="3"/>
        <v>45141</v>
      </c>
      <c r="K6" s="374">
        <f>COUNTIFS('KIDS&amp;ADULTS'!$A$3:$A$12008,J6,'KIDS&amp;ADULTS'!$B$3:$B$12008,$K$3)</f>
        <v>0</v>
      </c>
      <c r="L6" s="374">
        <f>COUNTIFS('KIDS&amp;ADULTS'!$A$3:$A$12008,J6,'KIDS&amp;ADULTS'!$B$3:$B$12008,$L$3)</f>
        <v>0</v>
      </c>
      <c r="M6" s="374">
        <f>COUNTIFS('KIDS&amp;ADULTS'!$A$3:$A$12008,J6,'KIDS&amp;ADULTS'!$B$3:$B$12008,$M$3)</f>
        <v>0</v>
      </c>
      <c r="N6" s="375">
        <f>COUNTIFS('KIDS&amp;ADULTS'!$A$3:$A$12008,J6,'KIDS&amp;ADULTS'!$B$3:$B$12008,$N$3)</f>
        <v>0</v>
      </c>
      <c r="O6" s="375">
        <f>COUNTIFS('KIDS&amp;ADULTS'!$A$3:$A$12008,J6,'KIDS&amp;ADULTS'!$B$3:$B$12008,$O$3)</f>
        <v>0</v>
      </c>
      <c r="P6" s="375">
        <f>COUNTIFS('KIDS&amp;ADULTS'!$A$3:$A$12008,J6,'KIDS&amp;ADULTS'!$B$3:$B$12008,$P$3)</f>
        <v>0</v>
      </c>
      <c r="Q6" s="375">
        <f>COUNTIFS('KIDS&amp;ADULTS'!$A$3:$A$1008,J6,'KIDS&amp;ADULTS'!$B$3:$B$1008,$Q$3)</f>
        <v>0</v>
      </c>
      <c r="R6" s="374">
        <f>COUNTIFS('KIDS&amp;ADULTS'!$A$3:$A$12008,J6,'KIDS&amp;ADULTS'!$B$3:$B$12008,$R$3)</f>
        <v>0</v>
      </c>
      <c r="U6" s="372">
        <f t="shared" si="4"/>
        <v>45141</v>
      </c>
      <c r="V6" s="376">
        <f>COUNTIFS('KIDS&amp;ADULTS'!$V$3:$V$12006,U6,'KIDS&amp;ADULTS'!$B$3:$B$12006,$K$3,'KIDS&amp;ADULTS'!$N$3:$N$12006,"Đã đóng học phí")</f>
        <v>0</v>
      </c>
      <c r="W6" s="376">
        <f>COUNTIFS('KIDS&amp;ADULTS'!$V$3:$V$12006,U6,'KIDS&amp;ADULTS'!$B$3:$B12008,$W$3,'KIDS&amp;ADULTS'!$N$3:$N$12006,"Đã đóng học phí")</f>
        <v>0</v>
      </c>
      <c r="X6" s="376">
        <f>COUNTIFS('KIDS&amp;ADULTS'!$V$3:$V$12006,U6,'KIDS&amp;ADULTS'!$B$3:$B$12006,$X$3,'KIDS&amp;ADULTS'!$N$3:$N$12006,"Đã đóng học phí")</f>
        <v>0</v>
      </c>
      <c r="Y6" s="376">
        <f>COUNTIFS('KIDS&amp;ADULTS'!$V$3:$V$12006,U6,'KIDS&amp;ADULTS'!$B$3:$B$12006,$Y$3,'KIDS&amp;ADULTS'!$N$3:$N$12006,"Đã đóng học phí")</f>
        <v>0</v>
      </c>
      <c r="Z6" s="376">
        <f>COUNTIFS('KIDS&amp;ADULTS'!$V$3:$V$12006,U6,'KIDS&amp;ADULTS'!$B$3:$B$12006,$Z$3,'KIDS&amp;ADULTS'!$N$3:$N$12006,"Đã đóng học phí")</f>
        <v>0</v>
      </c>
      <c r="AA6" s="376">
        <f>COUNTIFS('KIDS&amp;ADULTS'!$V$3:$V$12006,U6,'KIDS&amp;ADULTS'!$B$3:$B$12006,$AA$3,'KIDS&amp;ADULTS'!$N$3:$N$12006,"Đã đóng học phí")</f>
        <v>0</v>
      </c>
      <c r="AB6" s="376">
        <f>COUNTIFS('KIDS&amp;ADULTS'!$V$3:$V$12006,U6,'KIDS&amp;ADULTS'!$B$3:$B$12006,$AB$3,'KIDS&amp;ADULTS'!$N$3:$N$12006,"Đã đóng học phí")</f>
        <v>0</v>
      </c>
      <c r="AC6" s="376">
        <f>COUNTIFS('KIDS&amp;ADULTS'!$V$3:$V$12006,U6,'KIDS&amp;ADULTS'!$B$3:$B$12006,$AC$3,'KIDS&amp;ADULTS'!$N$3:$N$12006,"Đã đóng học phí")</f>
        <v>0</v>
      </c>
    </row>
    <row r="7" ht="15.75" customHeight="1">
      <c r="A7" s="372">
        <v>45142.0</v>
      </c>
      <c r="B7" s="373">
        <f>sumifs('KIDS&amp;ADULTS'!$Z$3:$Z$1015,'KIDS&amp;ADULTS'!$V$3:$V$1015,A7,'KIDS&amp;ADULTS'!$M$3:$M$1015,$B$3)</f>
        <v>0</v>
      </c>
      <c r="C7" s="373">
        <f>sumifs('KIDS&amp;ADULTS'!$Z$3:$Z$1015,'KIDS&amp;ADULTS'!$V$3:$V$1015,A7,'KIDS&amp;ADULTS'!$M$3:$M$1015,"phương")</f>
        <v>0</v>
      </c>
      <c r="D7" s="373">
        <f>sumifs('KIDS&amp;ADULTS'!$Z$3:$Z$1015,'KIDS&amp;ADULTS'!$V$3:$V$1015,A7,'KIDS&amp;ADULTS'!$M$3:$M$1015,$D$3)</f>
        <v>0</v>
      </c>
      <c r="E7" s="373">
        <f>sumifs('KIDS&amp;ADULTS'!$Z$3:$Z$1015,'KIDS&amp;ADULTS'!$V$3:$V$1015,A7,'KIDS&amp;ADULTS'!$M$3:$M$1015,"Ánh")</f>
        <v>5358280</v>
      </c>
      <c r="F7" s="373">
        <f>sumifs('KIDS&amp;ADULTS'!$Z$3:$Z$1015,'KIDS&amp;ADULTS'!$V$3:$V$1015,A7,'KIDS&amp;ADULTS'!$M$3:$M$1015,"Loan")</f>
        <v>0</v>
      </c>
      <c r="G7" s="373">
        <f t="shared" si="1"/>
        <v>5358280</v>
      </c>
      <c r="J7" s="372">
        <f t="shared" si="3"/>
        <v>45142</v>
      </c>
      <c r="K7" s="374">
        <f>COUNTIFS('KIDS&amp;ADULTS'!$A$3:$A$12008,J7,'KIDS&amp;ADULTS'!$B$3:$B$12008,$K$3)</f>
        <v>0</v>
      </c>
      <c r="L7" s="374">
        <f>COUNTIFS('KIDS&amp;ADULTS'!$A$3:$A$12008,J7,'KIDS&amp;ADULTS'!$B$3:$B$12008,$L$3)</f>
        <v>0</v>
      </c>
      <c r="M7" s="374">
        <f>COUNTIFS('KIDS&amp;ADULTS'!$A$3:$A$12008,J7,'KIDS&amp;ADULTS'!$B$3:$B$12008,$M$3)</f>
        <v>0</v>
      </c>
      <c r="N7" s="375">
        <f>COUNTIFS('KIDS&amp;ADULTS'!$A$3:$A$12008,J7,'KIDS&amp;ADULTS'!$B$3:$B$12008,$N$3)</f>
        <v>1</v>
      </c>
      <c r="O7" s="375">
        <f>COUNTIFS('KIDS&amp;ADULTS'!$A$3:$A$12008,J7,'KIDS&amp;ADULTS'!$B$3:$B$12008,$O$3)</f>
        <v>0</v>
      </c>
      <c r="P7" s="375">
        <f>COUNTIFS('KIDS&amp;ADULTS'!$A$3:$A$12008,J7,'KIDS&amp;ADULTS'!$B$3:$B$12008,$P$3)</f>
        <v>0</v>
      </c>
      <c r="Q7" s="375">
        <f>COUNTIFS('KIDS&amp;ADULTS'!$A$3:$A$1008,J7,'KIDS&amp;ADULTS'!$B$3:$B$1008,$Q$3)</f>
        <v>0</v>
      </c>
      <c r="R7" s="374">
        <f>COUNTIFS('KIDS&amp;ADULTS'!$A$3:$A$12008,J7,'KIDS&amp;ADULTS'!$B$3:$B$12008,$R$3)</f>
        <v>0</v>
      </c>
      <c r="U7" s="372">
        <f t="shared" si="4"/>
        <v>45142</v>
      </c>
      <c r="V7" s="376">
        <f>COUNTIFS('KIDS&amp;ADULTS'!$V$3:$V$12006,U7,'KIDS&amp;ADULTS'!$B$3:$B$12006,$K$3,'KIDS&amp;ADULTS'!$N$3:$N$12006,"Đã đóng học phí")</f>
        <v>0</v>
      </c>
      <c r="W7" s="376">
        <f>COUNTIFS('KIDS&amp;ADULTS'!$V$3:$V$12006,U7,'KIDS&amp;ADULTS'!$B$3:$B12009,$W$3,'KIDS&amp;ADULTS'!$N$3:$N$12006,"Đã đóng học phí")</f>
        <v>0</v>
      </c>
      <c r="X7" s="376">
        <f>COUNTIFS('KIDS&amp;ADULTS'!$V$3:$V$12006,U7,'KIDS&amp;ADULTS'!$B$3:$B$12006,$X$3,'KIDS&amp;ADULTS'!$N$3:$N$12006,"Đã đóng học phí")</f>
        <v>1</v>
      </c>
      <c r="Y7" s="376">
        <f>COUNTIFS('KIDS&amp;ADULTS'!$V$3:$V$12006,U7,'KIDS&amp;ADULTS'!$B$3:$B$12006,$Y$3,'KIDS&amp;ADULTS'!$N$3:$N$12006,"Đã đóng học phí")</f>
        <v>0</v>
      </c>
      <c r="Z7" s="376">
        <f>COUNTIFS('KIDS&amp;ADULTS'!$V$3:$V$12006,U7,'KIDS&amp;ADULTS'!$B$3:$B$12006,$Z$3,'KIDS&amp;ADULTS'!$N$3:$N$12006,"Đã đóng học phí")</f>
        <v>0</v>
      </c>
      <c r="AA7" s="376">
        <f>COUNTIFS('KIDS&amp;ADULTS'!$V$3:$V$12006,U7,'KIDS&amp;ADULTS'!$B$3:$B$12006,$AA$3,'KIDS&amp;ADULTS'!$N$3:$N$12006,"Đã đóng học phí")</f>
        <v>0</v>
      </c>
      <c r="AB7" s="376">
        <f>COUNTIFS('KIDS&amp;ADULTS'!$V$3:$V$12006,U7,'KIDS&amp;ADULTS'!$B$3:$B$12006,$AB$3,'KIDS&amp;ADULTS'!$N$3:$N$12006,"Đã đóng học phí")</f>
        <v>0</v>
      </c>
      <c r="AC7" s="376">
        <f>COUNTIFS('KIDS&amp;ADULTS'!$V$3:$V$12006,U7,'KIDS&amp;ADULTS'!$B$3:$B$12006,$AC$3,'KIDS&amp;ADULTS'!$N$3:$N$12006,"Đã đóng học phí")</f>
        <v>0</v>
      </c>
      <c r="AF7" s="358" t="s">
        <v>4623</v>
      </c>
    </row>
    <row r="8" ht="15.75" customHeight="1">
      <c r="A8" s="372">
        <v>45143.0</v>
      </c>
      <c r="B8" s="373">
        <f>sumifs('KIDS&amp;ADULTS'!$Z$3:$Z$1015,'KIDS&amp;ADULTS'!$V$3:$V$1015,A8,'KIDS&amp;ADULTS'!$M$3:$M$1015,$B$3)</f>
        <v>0</v>
      </c>
      <c r="C8" s="373">
        <f>sumifs('KIDS&amp;ADULTS'!$Z$3:$Z$1015,'KIDS&amp;ADULTS'!$V$3:$V$1015,A8,'KIDS&amp;ADULTS'!$M$3:$M$1015,"phương")</f>
        <v>0</v>
      </c>
      <c r="D8" s="373">
        <f>sumifs('KIDS&amp;ADULTS'!$Z$3:$Z$1015,'KIDS&amp;ADULTS'!$V$3:$V$1015,A8,'KIDS&amp;ADULTS'!$M$3:$M$1015,$D$3)</f>
        <v>0</v>
      </c>
      <c r="E8" s="373">
        <f>sumifs('KIDS&amp;ADULTS'!$Z$3:$Z$1015,'KIDS&amp;ADULTS'!$V$3:$V$1015,A8,'KIDS&amp;ADULTS'!$M$3:$M$1015,"Ánh")</f>
        <v>0</v>
      </c>
      <c r="F8" s="373">
        <f>sumifs('KIDS&amp;ADULTS'!$Z$3:$Z$1015,'KIDS&amp;ADULTS'!$V$3:$V$1015,A8,'KIDS&amp;ADULTS'!$M$3:$M$1015,"Loan")</f>
        <v>0</v>
      </c>
      <c r="G8" s="373">
        <f t="shared" si="1"/>
        <v>0</v>
      </c>
      <c r="J8" s="372">
        <f t="shared" si="3"/>
        <v>45143</v>
      </c>
      <c r="K8" s="374">
        <f>COUNTIFS('KIDS&amp;ADULTS'!$A$3:$A$12008,J8,'KIDS&amp;ADULTS'!$B$3:$B$12008,$K$3)</f>
        <v>0</v>
      </c>
      <c r="L8" s="374">
        <f>COUNTIFS('KIDS&amp;ADULTS'!$A$3:$A$12008,J8,'KIDS&amp;ADULTS'!$B$3:$B$12008,$L$3)</f>
        <v>0</v>
      </c>
      <c r="M8" s="374">
        <f>COUNTIFS('KIDS&amp;ADULTS'!$A$3:$A$12008,J8,'KIDS&amp;ADULTS'!$B$3:$B$12008,$M$3)</f>
        <v>0</v>
      </c>
      <c r="N8" s="375">
        <f>COUNTIFS('KIDS&amp;ADULTS'!$A$3:$A$12008,J8,'KIDS&amp;ADULTS'!$B$3:$B$12008,$N$3)</f>
        <v>0</v>
      </c>
      <c r="O8" s="375">
        <f>COUNTIFS('KIDS&amp;ADULTS'!$A$3:$A$12008,J8,'KIDS&amp;ADULTS'!$B$3:$B$12008,$O$3)</f>
        <v>0</v>
      </c>
      <c r="P8" s="375">
        <f>COUNTIFS('KIDS&amp;ADULTS'!$A$3:$A$12008,J8,'KIDS&amp;ADULTS'!$B$3:$B$12008,$P$3)</f>
        <v>0</v>
      </c>
      <c r="Q8" s="375">
        <f>COUNTIFS('KIDS&amp;ADULTS'!$A$3:$A$1008,J8,'KIDS&amp;ADULTS'!$B$3:$B$1008,$Q$3)</f>
        <v>8</v>
      </c>
      <c r="R8" s="374">
        <f>COUNTIFS('KIDS&amp;ADULTS'!$A$3:$A$12008,J8,'KIDS&amp;ADULTS'!$B$3:$B$12008,$R$3)</f>
        <v>0</v>
      </c>
      <c r="U8" s="372">
        <f t="shared" si="4"/>
        <v>45143</v>
      </c>
      <c r="V8" s="376">
        <f>COUNTIFS('KIDS&amp;ADULTS'!$V$3:$V$12006,U8,'KIDS&amp;ADULTS'!$B$3:$B$12006,$K$3,'KIDS&amp;ADULTS'!$N$3:$N$12006,"Đã đóng học phí")</f>
        <v>0</v>
      </c>
      <c r="W8" s="376">
        <f>COUNTIFS('KIDS&amp;ADULTS'!$V$3:$V$12006,U8,'KIDS&amp;ADULTS'!$B$3:$B12010,$W$3,'KIDS&amp;ADULTS'!$N$3:$N$12006,"Đã đóng học phí")</f>
        <v>0</v>
      </c>
      <c r="X8" s="376">
        <f>COUNTIFS('KIDS&amp;ADULTS'!$V$3:$V$12006,U8,'KIDS&amp;ADULTS'!$B$3:$B$12006,$X$3,'KIDS&amp;ADULTS'!$N$3:$N$12006,"Đã đóng học phí")</f>
        <v>0</v>
      </c>
      <c r="Y8" s="376">
        <f>COUNTIFS('KIDS&amp;ADULTS'!$V$3:$V$12006,U8,'KIDS&amp;ADULTS'!$B$3:$B$12006,$Y$3,'KIDS&amp;ADULTS'!$N$3:$N$12006,"Đã đóng học phí")</f>
        <v>0</v>
      </c>
      <c r="Z8" s="376">
        <f>COUNTIFS('KIDS&amp;ADULTS'!$V$3:$V$12006,U8,'KIDS&amp;ADULTS'!$B$3:$B$12006,$Z$3,'KIDS&amp;ADULTS'!$N$3:$N$12006,"Đã đóng học phí")</f>
        <v>0</v>
      </c>
      <c r="AA8" s="376">
        <f>COUNTIFS('KIDS&amp;ADULTS'!$V$3:$V$12006,U8,'KIDS&amp;ADULTS'!$B$3:$B$12006,$AA$3,'KIDS&amp;ADULTS'!$N$3:$N$12006,"Đã đóng học phí")</f>
        <v>0</v>
      </c>
      <c r="AB8" s="376">
        <f>COUNTIFS('KIDS&amp;ADULTS'!$V$3:$V$12006,U8,'KIDS&amp;ADULTS'!$B$3:$B$12006,$AB$3,'KIDS&amp;ADULTS'!$N$3:$N$12006,"Đã đóng học phí")</f>
        <v>0</v>
      </c>
      <c r="AC8" s="376">
        <f>COUNTIFS('KIDS&amp;ADULTS'!$V$3:$V$12006,U8,'KIDS&amp;ADULTS'!$B$3:$B$12006,$AC$3,'KIDS&amp;ADULTS'!$N$3:$N$12006,"Đã đóng học phí")</f>
        <v>0</v>
      </c>
      <c r="AF8" s="361" t="s">
        <v>4613</v>
      </c>
      <c r="AG8" s="363" t="s">
        <v>4616</v>
      </c>
      <c r="AH8" s="235"/>
      <c r="AI8" s="235"/>
      <c r="AJ8" s="235"/>
      <c r="AK8" s="235"/>
      <c r="AL8" s="235"/>
      <c r="AM8" s="235"/>
      <c r="AN8" s="236"/>
    </row>
    <row r="9" ht="15.75" customHeight="1">
      <c r="A9" s="372">
        <v>45144.0</v>
      </c>
      <c r="B9" s="373">
        <f>sumifs('KIDS&amp;ADULTS'!$Z$3:$Z$1015,'KIDS&amp;ADULTS'!$V$3:$V$1015,A9,'KIDS&amp;ADULTS'!$M$3:$M$1015,$B$3)</f>
        <v>0</v>
      </c>
      <c r="C9" s="373">
        <f>sumifs('KIDS&amp;ADULTS'!$Z$3:$Z$1015,'KIDS&amp;ADULTS'!$V$3:$V$1015,A9,'KIDS&amp;ADULTS'!$M$3:$M$1015,"phương")</f>
        <v>0</v>
      </c>
      <c r="D9" s="373">
        <f>sumifs('KIDS&amp;ADULTS'!$Z$3:$Z$1015,'KIDS&amp;ADULTS'!$V$3:$V$1015,A9,'KIDS&amp;ADULTS'!$M$3:$M$1015,$D$3)</f>
        <v>0</v>
      </c>
      <c r="E9" s="373">
        <f>sumifs('KIDS&amp;ADULTS'!$Z$3:$Z$1015,'KIDS&amp;ADULTS'!$V$3:$V$1015,A9,'KIDS&amp;ADULTS'!$M$3:$M$1015,"Ánh")</f>
        <v>0</v>
      </c>
      <c r="F9" s="373">
        <f>sumifs('KIDS&amp;ADULTS'!$Z$3:$Z$1015,'KIDS&amp;ADULTS'!$V$3:$V$1015,A9,'KIDS&amp;ADULTS'!$M$3:$M$1015,"Loan")</f>
        <v>0</v>
      </c>
      <c r="G9" s="373">
        <f t="shared" si="1"/>
        <v>0</v>
      </c>
      <c r="J9" s="372">
        <f t="shared" si="3"/>
        <v>45144</v>
      </c>
      <c r="K9" s="374">
        <f>COUNTIFS('KIDS&amp;ADULTS'!$A$3:$A$12008,J9,'KIDS&amp;ADULTS'!$B$3:$B$12008,$K$3)</f>
        <v>0</v>
      </c>
      <c r="L9" s="374">
        <f>COUNTIFS('KIDS&amp;ADULTS'!$A$3:$A$12008,J9,'KIDS&amp;ADULTS'!$B$3:$B$12008,$L$3)</f>
        <v>0</v>
      </c>
      <c r="M9" s="374">
        <f>COUNTIFS('KIDS&amp;ADULTS'!$A$3:$A$12008,J9,'KIDS&amp;ADULTS'!$B$3:$B$12008,$M$3)</f>
        <v>0</v>
      </c>
      <c r="N9" s="375">
        <f>COUNTIFS('KIDS&amp;ADULTS'!$A$3:$A$12008,J9,'KIDS&amp;ADULTS'!$B$3:$B$12008,$N$3)</f>
        <v>0</v>
      </c>
      <c r="O9" s="375">
        <f>COUNTIFS('KIDS&amp;ADULTS'!$A$3:$A$12008,J9,'KIDS&amp;ADULTS'!$B$3:$B$12008,$O$3)</f>
        <v>0</v>
      </c>
      <c r="P9" s="375">
        <f>COUNTIFS('KIDS&amp;ADULTS'!$A$3:$A$12008,J9,'KIDS&amp;ADULTS'!$B$3:$B$12008,$P$3)</f>
        <v>0</v>
      </c>
      <c r="Q9" s="375">
        <f>COUNTIFS('KIDS&amp;ADULTS'!$A$3:$A$1008,J9,'KIDS&amp;ADULTS'!$B$3:$B$1008,$Q$3)</f>
        <v>0</v>
      </c>
      <c r="R9" s="374">
        <f>COUNTIFS('KIDS&amp;ADULTS'!$A$3:$A$12008,J9,'KIDS&amp;ADULTS'!$B$3:$B$12008,$R$3)</f>
        <v>0</v>
      </c>
      <c r="U9" s="372">
        <f t="shared" si="4"/>
        <v>45144</v>
      </c>
      <c r="V9" s="376">
        <f>COUNTIFS('KIDS&amp;ADULTS'!$V$3:$V$12006,U9,'KIDS&amp;ADULTS'!$B$3:$B$12006,$K$3,'KIDS&amp;ADULTS'!$N$3:$N$12006,"Đã đóng học phí")</f>
        <v>0</v>
      </c>
      <c r="W9" s="376">
        <f>COUNTIFS('KIDS&amp;ADULTS'!$V$3:$V$12006,U9,'KIDS&amp;ADULTS'!$B$3:$B12011,$W$3,'KIDS&amp;ADULTS'!$N$3:$N$12006,"Đã đóng học phí")</f>
        <v>0</v>
      </c>
      <c r="X9" s="376">
        <f>COUNTIFS('KIDS&amp;ADULTS'!$V$3:$V$12006,U9,'KIDS&amp;ADULTS'!$B$3:$B$12006,$X$3,'KIDS&amp;ADULTS'!$N$3:$N$12006,"Đã đóng học phí")</f>
        <v>0</v>
      </c>
      <c r="Y9" s="376">
        <f>COUNTIFS('KIDS&amp;ADULTS'!$V$3:$V$12006,U9,'KIDS&amp;ADULTS'!$B$3:$B$12006,$Y$3,'KIDS&amp;ADULTS'!$N$3:$N$12006,"Đã đóng học phí")</f>
        <v>0</v>
      </c>
      <c r="Z9" s="376">
        <f>COUNTIFS('KIDS&amp;ADULTS'!$V$3:$V$12006,U9,'KIDS&amp;ADULTS'!$B$3:$B$12006,$Z$3,'KIDS&amp;ADULTS'!$N$3:$N$12006,"Đã đóng học phí")</f>
        <v>0</v>
      </c>
      <c r="AA9" s="376">
        <f>COUNTIFS('KIDS&amp;ADULTS'!$V$3:$V$12006,U9,'KIDS&amp;ADULTS'!$B$3:$B$12006,$AA$3,'KIDS&amp;ADULTS'!$N$3:$N$12006,"Đã đóng học phí")</f>
        <v>0</v>
      </c>
      <c r="AB9" s="376">
        <f>COUNTIFS('KIDS&amp;ADULTS'!$V$3:$V$12006,U9,'KIDS&amp;ADULTS'!$B$3:$B$12006,$AB$3,'KIDS&amp;ADULTS'!$N$3:$N$12006,"Đã đóng học phí")</f>
        <v>0</v>
      </c>
      <c r="AC9" s="376">
        <f>COUNTIFS('KIDS&amp;ADULTS'!$V$3:$V$12006,U9,'KIDS&amp;ADULTS'!$B$3:$B$12006,$AC$3,'KIDS&amp;ADULTS'!$N$3:$N$12006,"Đã đóng học phí")</f>
        <v>0</v>
      </c>
      <c r="AF9" s="11"/>
      <c r="AG9" s="366" t="s">
        <v>4620</v>
      </c>
      <c r="AH9" s="367" t="s">
        <v>4621</v>
      </c>
      <c r="AI9" s="368" t="s">
        <v>73</v>
      </c>
      <c r="AJ9" s="369" t="s">
        <v>201</v>
      </c>
      <c r="AK9" s="370" t="s">
        <v>84</v>
      </c>
      <c r="AL9" s="371" t="s">
        <v>60</v>
      </c>
      <c r="AM9" s="371" t="s">
        <v>539</v>
      </c>
      <c r="AN9" s="371" t="s">
        <v>703</v>
      </c>
    </row>
    <row r="10" ht="15.75" customHeight="1">
      <c r="A10" s="372">
        <v>45145.0</v>
      </c>
      <c r="B10" s="373">
        <f>sumifs('KIDS&amp;ADULTS'!$Z$3:$Z$1015,'KIDS&amp;ADULTS'!$V$3:$V$1015,A10,'KIDS&amp;ADULTS'!$M$3:$M$1015,$B$3)</f>
        <v>0</v>
      </c>
      <c r="C10" s="373">
        <f>sumifs('KIDS&amp;ADULTS'!$Z$3:$Z$1015,'KIDS&amp;ADULTS'!$V$3:$V$1015,A10,'KIDS&amp;ADULTS'!$M$3:$M$1015,"phương")</f>
        <v>0</v>
      </c>
      <c r="D10" s="373">
        <f>sumifs('KIDS&amp;ADULTS'!$Z$3:$Z$1015,'KIDS&amp;ADULTS'!$V$3:$V$1015,A10,'KIDS&amp;ADULTS'!$M$3:$M$1015,$D$3)</f>
        <v>0</v>
      </c>
      <c r="E10" s="373">
        <f>sumifs('KIDS&amp;ADULTS'!$Z$3:$Z$1015,'KIDS&amp;ADULTS'!$V$3:$V$1015,A10,'KIDS&amp;ADULTS'!$M$3:$M$1015,"Ánh")</f>
        <v>0</v>
      </c>
      <c r="F10" s="373">
        <f>sumifs('KIDS&amp;ADULTS'!$Z$3:$Z$1015,'KIDS&amp;ADULTS'!$V$3:$V$1015,A10,'KIDS&amp;ADULTS'!$M$3:$M$1015,"Loan")</f>
        <v>0</v>
      </c>
      <c r="G10" s="373">
        <f t="shared" si="1"/>
        <v>0</v>
      </c>
      <c r="J10" s="372">
        <f t="shared" si="3"/>
        <v>45145</v>
      </c>
      <c r="K10" s="374">
        <f>COUNTIFS('KIDS&amp;ADULTS'!$A$3:$A$12008,J10,'KIDS&amp;ADULTS'!$B$3:$B$12008,$K$3)</f>
        <v>0</v>
      </c>
      <c r="L10" s="374">
        <f>COUNTIFS('KIDS&amp;ADULTS'!$A$3:$A$12008,J10,'KIDS&amp;ADULTS'!$B$3:$B$12008,$L$3)</f>
        <v>0</v>
      </c>
      <c r="M10" s="374">
        <f>COUNTIFS('KIDS&amp;ADULTS'!$A$3:$A$12008,J10,'KIDS&amp;ADULTS'!$B$3:$B$12008,$M$3)</f>
        <v>0</v>
      </c>
      <c r="N10" s="375">
        <f>COUNTIFS('KIDS&amp;ADULTS'!$A$3:$A$12008,J10,'KIDS&amp;ADULTS'!$B$3:$B$12008,$N$3)</f>
        <v>0</v>
      </c>
      <c r="O10" s="375">
        <f>COUNTIFS('KIDS&amp;ADULTS'!$A$3:$A$12008,J10,'KIDS&amp;ADULTS'!$B$3:$B$12008,$O$3)</f>
        <v>1</v>
      </c>
      <c r="P10" s="375">
        <f>COUNTIFS('KIDS&amp;ADULTS'!$A$3:$A$12008,J10,'KIDS&amp;ADULTS'!$B$3:$B$12008,$P$3)</f>
        <v>0</v>
      </c>
      <c r="Q10" s="375">
        <f>COUNTIFS('KIDS&amp;ADULTS'!$A$3:$A$1008,J10,'KIDS&amp;ADULTS'!$B$3:$B$1008,$Q$3)</f>
        <v>0</v>
      </c>
      <c r="R10" s="374">
        <f>COUNTIFS('KIDS&amp;ADULTS'!$A$3:$A$12008,J10,'KIDS&amp;ADULTS'!$B$3:$B$12008,$R$3)</f>
        <v>0</v>
      </c>
      <c r="U10" s="372">
        <f t="shared" si="4"/>
        <v>45145</v>
      </c>
      <c r="V10" s="376">
        <f>COUNTIFS('KIDS&amp;ADULTS'!$V$3:$V$12006,U10,'KIDS&amp;ADULTS'!$B$3:$B$12006,$K$3,'KIDS&amp;ADULTS'!$N$3:$N$12006,"Đã đóng học phí")</f>
        <v>0</v>
      </c>
      <c r="W10" s="376">
        <f>COUNTIFS('KIDS&amp;ADULTS'!$V$3:$V$12006,U10,'KIDS&amp;ADULTS'!$B$3:$B12012,$W$3,'KIDS&amp;ADULTS'!$N$3:$N$12006,"Đã đóng học phí")</f>
        <v>0</v>
      </c>
      <c r="X10" s="376">
        <f>COUNTIFS('KIDS&amp;ADULTS'!$V$3:$V$12006,U10,'KIDS&amp;ADULTS'!$B$3:$B$12006,$X$3,'KIDS&amp;ADULTS'!$N$3:$N$12006,"Đã đóng học phí")</f>
        <v>0</v>
      </c>
      <c r="Y10" s="376">
        <f>COUNTIFS('KIDS&amp;ADULTS'!$V$3:$V$12006,U10,'KIDS&amp;ADULTS'!$B$3:$B$12006,$Y$3,'KIDS&amp;ADULTS'!$N$3:$N$12006,"Đã đóng học phí")</f>
        <v>0</v>
      </c>
      <c r="Z10" s="376">
        <f>COUNTIFS('KIDS&amp;ADULTS'!$V$3:$V$12006,U10,'KIDS&amp;ADULTS'!$B$3:$B$12006,$Z$3,'KIDS&amp;ADULTS'!$N$3:$N$12006,"Đã đóng học phí")</f>
        <v>0</v>
      </c>
      <c r="AA10" s="376">
        <f>COUNTIFS('KIDS&amp;ADULTS'!$V$3:$V$12006,U10,'KIDS&amp;ADULTS'!$B$3:$B$12006,$AA$3,'KIDS&amp;ADULTS'!$N$3:$N$12006,"Đã đóng học phí")</f>
        <v>0</v>
      </c>
      <c r="AB10" s="376">
        <f>COUNTIFS('KIDS&amp;ADULTS'!$V$3:$V$12006,U10,'KIDS&amp;ADULTS'!$B$3:$B$12006,$AB$3,'KIDS&amp;ADULTS'!$N$3:$N$12006,"Đã đóng học phí")</f>
        <v>0</v>
      </c>
      <c r="AC10" s="376">
        <f>COUNTIFS('KIDS&amp;ADULTS'!$V$3:$V$12006,U10,'KIDS&amp;ADULTS'!$B$3:$B$12006,$AC$3,'KIDS&amp;ADULTS'!$N$3:$N$12006,"Đã đóng học phí")</f>
        <v>0</v>
      </c>
      <c r="AF10" s="381" t="s">
        <v>4622</v>
      </c>
      <c r="AG10" s="382">
        <f t="shared" ref="AG10:AN10" si="5">V72</f>
        <v>0</v>
      </c>
      <c r="AH10" s="382">
        <f t="shared" si="5"/>
        <v>0</v>
      </c>
      <c r="AI10" s="382">
        <f t="shared" si="5"/>
        <v>5358280</v>
      </c>
      <c r="AJ10" s="382">
        <f t="shared" si="5"/>
        <v>29339450</v>
      </c>
      <c r="AK10" s="382">
        <f t="shared" si="5"/>
        <v>11023200</v>
      </c>
      <c r="AL10" s="382">
        <f t="shared" si="5"/>
        <v>0</v>
      </c>
      <c r="AM10" s="382">
        <f t="shared" si="5"/>
        <v>0</v>
      </c>
      <c r="AN10" s="382">
        <f t="shared" si="5"/>
        <v>0</v>
      </c>
    </row>
    <row r="11" ht="15.75" customHeight="1">
      <c r="A11" s="372">
        <v>45146.0</v>
      </c>
      <c r="B11" s="373">
        <f>sumifs('KIDS&amp;ADULTS'!$Z$3:$Z$1015,'KIDS&amp;ADULTS'!$V$3:$V$1015,A11,'KIDS&amp;ADULTS'!$M$3:$M$1015,$B$3)</f>
        <v>0</v>
      </c>
      <c r="C11" s="373">
        <f>sumifs('KIDS&amp;ADULTS'!$Z$3:$Z$1015,'KIDS&amp;ADULTS'!$V$3:$V$1015,A11,'KIDS&amp;ADULTS'!$M$3:$M$1015,"phương")</f>
        <v>0</v>
      </c>
      <c r="D11" s="373">
        <f>sumifs('KIDS&amp;ADULTS'!$Z$3:$Z$1015,'KIDS&amp;ADULTS'!$V$3:$V$1015,A11,'KIDS&amp;ADULTS'!$M$3:$M$1015,$D$3)</f>
        <v>0</v>
      </c>
      <c r="E11" s="373">
        <f>sumifs('KIDS&amp;ADULTS'!$Z$3:$Z$1015,'KIDS&amp;ADULTS'!$V$3:$V$1015,A11,'KIDS&amp;ADULTS'!$M$3:$M$1015,"Ánh")</f>
        <v>0</v>
      </c>
      <c r="F11" s="373">
        <f>sumifs('KIDS&amp;ADULTS'!$Z$3:$Z$1015,'KIDS&amp;ADULTS'!$V$3:$V$1015,A11,'KIDS&amp;ADULTS'!$M$3:$M$1015,"Loan")</f>
        <v>0</v>
      </c>
      <c r="G11" s="373">
        <f t="shared" si="1"/>
        <v>0</v>
      </c>
      <c r="J11" s="372">
        <f t="shared" si="3"/>
        <v>45146</v>
      </c>
      <c r="K11" s="374">
        <f>COUNTIFS('KIDS&amp;ADULTS'!$A$3:$A$12008,J11,'KIDS&amp;ADULTS'!$B$3:$B$12008,$K$3)</f>
        <v>0</v>
      </c>
      <c r="L11" s="374">
        <f>COUNTIFS('KIDS&amp;ADULTS'!$A$3:$A$12008,J11,'KIDS&amp;ADULTS'!$B$3:$B$12008,$L$3)</f>
        <v>0</v>
      </c>
      <c r="M11" s="374">
        <f>COUNTIFS('KIDS&amp;ADULTS'!$A$3:$A$12008,J11,'KIDS&amp;ADULTS'!$B$3:$B$12008,$M$3)</f>
        <v>0</v>
      </c>
      <c r="N11" s="375">
        <f>COUNTIFS('KIDS&amp;ADULTS'!$A$3:$A$12008,J11,'KIDS&amp;ADULTS'!$B$3:$B$12008,$N$3)</f>
        <v>2</v>
      </c>
      <c r="O11" s="375">
        <f>COUNTIFS('KIDS&amp;ADULTS'!$A$3:$A$12008,J11,'KIDS&amp;ADULTS'!$B$3:$B$12008,$O$3)</f>
        <v>0</v>
      </c>
      <c r="P11" s="375">
        <f>COUNTIFS('KIDS&amp;ADULTS'!$A$3:$A$12008,J11,'KIDS&amp;ADULTS'!$B$3:$B$12008,$P$3)</f>
        <v>0</v>
      </c>
      <c r="Q11" s="375">
        <f>COUNTIFS('KIDS&amp;ADULTS'!$A$3:$A$1008,J11,'KIDS&amp;ADULTS'!$B$3:$B$1008,$Q$3)</f>
        <v>0</v>
      </c>
      <c r="R11" s="374">
        <f>COUNTIFS('KIDS&amp;ADULTS'!$A$3:$A$12008,J11,'KIDS&amp;ADULTS'!$B$3:$B$12008,$R$3)</f>
        <v>0</v>
      </c>
      <c r="U11" s="372">
        <f t="shared" si="4"/>
        <v>45146</v>
      </c>
      <c r="V11" s="376">
        <f>COUNTIFS('KIDS&amp;ADULTS'!$V$3:$V$12006,U11,'KIDS&amp;ADULTS'!$B$3:$B$12006,$K$3,'KIDS&amp;ADULTS'!$N$3:$N$12006,"Đã đóng học phí")</f>
        <v>0</v>
      </c>
      <c r="W11" s="376">
        <f>COUNTIFS('KIDS&amp;ADULTS'!$V$3:$V$12006,U11,'KIDS&amp;ADULTS'!$B$3:$B12013,$W$3,'KIDS&amp;ADULTS'!$N$3:$N$12006,"Đã đóng học phí")</f>
        <v>0</v>
      </c>
      <c r="X11" s="376">
        <f>COUNTIFS('KIDS&amp;ADULTS'!$V$3:$V$12006,U11,'KIDS&amp;ADULTS'!$B$3:$B$12006,$X$3,'KIDS&amp;ADULTS'!$N$3:$N$12006,"Đã đóng học phí")</f>
        <v>0</v>
      </c>
      <c r="Y11" s="376">
        <f>COUNTIFS('KIDS&amp;ADULTS'!$V$3:$V$12006,U11,'KIDS&amp;ADULTS'!$B$3:$B$12006,$Y$3,'KIDS&amp;ADULTS'!$N$3:$N$12006,"Đã đóng học phí")</f>
        <v>0</v>
      </c>
      <c r="Z11" s="376">
        <f>COUNTIFS('KIDS&amp;ADULTS'!$V$3:$V$12006,U11,'KIDS&amp;ADULTS'!$B$3:$B$12006,$Z$3,'KIDS&amp;ADULTS'!$N$3:$N$12006,"Đã đóng học phí")</f>
        <v>0</v>
      </c>
      <c r="AA11" s="376">
        <f>COUNTIFS('KIDS&amp;ADULTS'!$V$3:$V$12006,U11,'KIDS&amp;ADULTS'!$B$3:$B$12006,$AA$3,'KIDS&amp;ADULTS'!$N$3:$N$12006,"Đã đóng học phí")</f>
        <v>0</v>
      </c>
      <c r="AB11" s="376">
        <f>COUNTIFS('KIDS&amp;ADULTS'!$V$3:$V$12006,U11,'KIDS&amp;ADULTS'!$B$3:$B$12006,$AB$3,'KIDS&amp;ADULTS'!$N$3:$N$12006,"Đã đóng học phí")</f>
        <v>0</v>
      </c>
      <c r="AC11" s="376">
        <f>COUNTIFS('KIDS&amp;ADULTS'!$V$3:$V$12006,U11,'KIDS&amp;ADULTS'!$B$3:$B$12006,$AC$3,'KIDS&amp;ADULTS'!$N$3:$N$12006,"Đã đóng học phí")</f>
        <v>0</v>
      </c>
    </row>
    <row r="12" ht="15.75" customHeight="1">
      <c r="A12" s="372">
        <v>45147.0</v>
      </c>
      <c r="B12" s="373">
        <f>sumifs('KIDS&amp;ADULTS'!$Z$3:$Z$1015,'KIDS&amp;ADULTS'!$V$3:$V$1015,A12,'KIDS&amp;ADULTS'!$M$3:$M$1015,$B$3)</f>
        <v>0</v>
      </c>
      <c r="C12" s="373">
        <f>sumifs('KIDS&amp;ADULTS'!$Z$3:$Z$1015,'KIDS&amp;ADULTS'!$V$3:$V$1015,A12,'KIDS&amp;ADULTS'!$M$3:$M$1015,"phương")</f>
        <v>0</v>
      </c>
      <c r="D12" s="373">
        <f>sumifs('KIDS&amp;ADULTS'!$Z$3:$Z$1015,'KIDS&amp;ADULTS'!$V$3:$V$1015,A12,'KIDS&amp;ADULTS'!$M$3:$M$1015,$D$3)</f>
        <v>0</v>
      </c>
      <c r="E12" s="373">
        <f>sumifs('KIDS&amp;ADULTS'!$Z$3:$Z$1015,'KIDS&amp;ADULTS'!$V$3:$V$1015,A12,'KIDS&amp;ADULTS'!$M$3:$M$1015,"Ánh")</f>
        <v>0</v>
      </c>
      <c r="F12" s="373">
        <f>sumifs('KIDS&amp;ADULTS'!$Z$3:$Z$1015,'KIDS&amp;ADULTS'!$V$3:$V$1015,A12,'KIDS&amp;ADULTS'!$M$3:$M$1015,"Loan")</f>
        <v>0</v>
      </c>
      <c r="G12" s="373">
        <f t="shared" si="1"/>
        <v>0</v>
      </c>
      <c r="J12" s="372">
        <f t="shared" si="3"/>
        <v>45147</v>
      </c>
      <c r="K12" s="374">
        <f>COUNTIFS('KIDS&amp;ADULTS'!$A$3:$A$12008,J12,'KIDS&amp;ADULTS'!$B$3:$B$12008,$K$3)</f>
        <v>0</v>
      </c>
      <c r="L12" s="374">
        <f>COUNTIFS('KIDS&amp;ADULTS'!$A$3:$A$12008,J12,'KIDS&amp;ADULTS'!$B$3:$B$12008,$L$3)</f>
        <v>0</v>
      </c>
      <c r="M12" s="374">
        <f>COUNTIFS('KIDS&amp;ADULTS'!$A$3:$A$12008,J12,'KIDS&amp;ADULTS'!$B$3:$B$12008,$M$3)</f>
        <v>0</v>
      </c>
      <c r="N12" s="375">
        <f>COUNTIFS('KIDS&amp;ADULTS'!$A$3:$A$12008,J12,'KIDS&amp;ADULTS'!$B$3:$B$12008,$N$3)</f>
        <v>1</v>
      </c>
      <c r="O12" s="375">
        <f>COUNTIFS('KIDS&amp;ADULTS'!$A$3:$A$12008,J12,'KIDS&amp;ADULTS'!$B$3:$B$12008,$O$3)</f>
        <v>0</v>
      </c>
      <c r="P12" s="375">
        <f>COUNTIFS('KIDS&amp;ADULTS'!$A$3:$A$12008,J12,'KIDS&amp;ADULTS'!$B$3:$B$12008,$P$3)</f>
        <v>0</v>
      </c>
      <c r="Q12" s="375">
        <f>COUNTIFS('KIDS&amp;ADULTS'!$A$3:$A$1008,J12,'KIDS&amp;ADULTS'!$B$3:$B$1008,$Q$3)</f>
        <v>0</v>
      </c>
      <c r="R12" s="374">
        <f>COUNTIFS('KIDS&amp;ADULTS'!$A$3:$A$12008,J12,'KIDS&amp;ADULTS'!$B$3:$B$12008,$R$3)</f>
        <v>0</v>
      </c>
      <c r="U12" s="372">
        <f t="shared" si="4"/>
        <v>45147</v>
      </c>
      <c r="V12" s="376">
        <f>COUNTIFS('KIDS&amp;ADULTS'!$V$3:$V$12006,U12,'KIDS&amp;ADULTS'!$B$3:$B$12006,$K$3,'KIDS&amp;ADULTS'!$N$3:$N$12006,"Đã đóng học phí")</f>
        <v>0</v>
      </c>
      <c r="W12" s="376">
        <f>COUNTIFS('KIDS&amp;ADULTS'!$V$3:$V$12006,U12,'KIDS&amp;ADULTS'!$B$3:$B12014,$W$3,'KIDS&amp;ADULTS'!$N$3:$N$12006,"Đã đóng học phí")</f>
        <v>0</v>
      </c>
      <c r="X12" s="376">
        <f>COUNTIFS('KIDS&amp;ADULTS'!$V$3:$V$12006,U12,'KIDS&amp;ADULTS'!$B$3:$B$12006,$X$3,'KIDS&amp;ADULTS'!$N$3:$N$12006,"Đã đóng học phí")</f>
        <v>0</v>
      </c>
      <c r="Y12" s="376">
        <f>COUNTIFS('KIDS&amp;ADULTS'!$V$3:$V$12006,U12,'KIDS&amp;ADULTS'!$B$3:$B$12006,$Y$3,'KIDS&amp;ADULTS'!$N$3:$N$12006,"Đã đóng học phí")</f>
        <v>0</v>
      </c>
      <c r="Z12" s="376">
        <f>COUNTIFS('KIDS&amp;ADULTS'!$V$3:$V$12006,U12,'KIDS&amp;ADULTS'!$B$3:$B$12006,$Z$3,'KIDS&amp;ADULTS'!$N$3:$N$12006,"Đã đóng học phí")</f>
        <v>0</v>
      </c>
      <c r="AA12" s="376">
        <f>COUNTIFS('KIDS&amp;ADULTS'!$V$3:$V$12006,U12,'KIDS&amp;ADULTS'!$B$3:$B$12006,$AA$3,'KIDS&amp;ADULTS'!$N$3:$N$12006,"Đã đóng học phí")</f>
        <v>0</v>
      </c>
      <c r="AB12" s="376">
        <f>COUNTIFS('KIDS&amp;ADULTS'!$V$3:$V$12006,U12,'KIDS&amp;ADULTS'!$B$3:$B$12006,$AB$3,'KIDS&amp;ADULTS'!$N$3:$N$12006,"Đã đóng học phí")</f>
        <v>0</v>
      </c>
      <c r="AC12" s="376">
        <f>COUNTIFS('KIDS&amp;ADULTS'!$V$3:$V$12006,U12,'KIDS&amp;ADULTS'!$B$3:$B$12006,$AC$3,'KIDS&amp;ADULTS'!$N$3:$N$12006,"Đã đóng học phí")</f>
        <v>0</v>
      </c>
    </row>
    <row r="13" ht="15.75" customHeight="1">
      <c r="A13" s="372">
        <v>45148.0</v>
      </c>
      <c r="B13" s="373">
        <f>sumifs('KIDS&amp;ADULTS'!$Z$3:$Z$1015,'KIDS&amp;ADULTS'!$V$3:$V$1015,A13,'KIDS&amp;ADULTS'!$M$3:$M$1015,$B$3)</f>
        <v>0</v>
      </c>
      <c r="C13" s="373">
        <f>sumifs('KIDS&amp;ADULTS'!$Z$3:$Z$1015,'KIDS&amp;ADULTS'!$V$3:$V$1015,A13,'KIDS&amp;ADULTS'!$M$3:$M$1015,"phương")</f>
        <v>0</v>
      </c>
      <c r="D13" s="373">
        <f>sumifs('KIDS&amp;ADULTS'!$Z$3:$Z$1015,'KIDS&amp;ADULTS'!$V$3:$V$1015,A13,'KIDS&amp;ADULTS'!$M$3:$M$1015,$D$3)</f>
        <v>0</v>
      </c>
      <c r="E13" s="373">
        <f>sumifs('KIDS&amp;ADULTS'!$Z$3:$Z$1015,'KIDS&amp;ADULTS'!$V$3:$V$1015,A13,'KIDS&amp;ADULTS'!$M$3:$M$1015,"Ánh")</f>
        <v>0</v>
      </c>
      <c r="F13" s="373">
        <f>sumifs('KIDS&amp;ADULTS'!$Z$3:$Z$1015,'KIDS&amp;ADULTS'!$V$3:$V$1015,A13,'KIDS&amp;ADULTS'!$M$3:$M$1015,"Loan")</f>
        <v>0</v>
      </c>
      <c r="G13" s="373">
        <f t="shared" si="1"/>
        <v>0</v>
      </c>
      <c r="J13" s="372">
        <f t="shared" si="3"/>
        <v>45148</v>
      </c>
      <c r="K13" s="374">
        <f>COUNTIFS('KIDS&amp;ADULTS'!$A$3:$A$12008,J13,'KIDS&amp;ADULTS'!$B$3:$B$12008,$K$3)</f>
        <v>0</v>
      </c>
      <c r="L13" s="374">
        <f>COUNTIFS('KIDS&amp;ADULTS'!$A$3:$A$12008,J13,'KIDS&amp;ADULTS'!$B$3:$B$12008,$L$3)</f>
        <v>0</v>
      </c>
      <c r="M13" s="374">
        <f>COUNTIFS('KIDS&amp;ADULTS'!$A$3:$A$12008,J13,'KIDS&amp;ADULTS'!$B$3:$B$12008,$M$3)</f>
        <v>0</v>
      </c>
      <c r="N13" s="375">
        <f>COUNTIFS('KIDS&amp;ADULTS'!$A$3:$A$12008,J13,'KIDS&amp;ADULTS'!$B$3:$B$12008,$N$3)</f>
        <v>1</v>
      </c>
      <c r="O13" s="375">
        <f>COUNTIFS('KIDS&amp;ADULTS'!$A$3:$A$12008,J13,'KIDS&amp;ADULTS'!$B$3:$B$12008,$O$3)</f>
        <v>0</v>
      </c>
      <c r="P13" s="375">
        <f>COUNTIFS('KIDS&amp;ADULTS'!$A$3:$A$12008,J13,'KIDS&amp;ADULTS'!$B$3:$B$12008,$P$3)</f>
        <v>0</v>
      </c>
      <c r="Q13" s="375">
        <f>COUNTIFS('KIDS&amp;ADULTS'!$A$3:$A$1008,J13,'KIDS&amp;ADULTS'!$B$3:$B$1008,$Q$3)</f>
        <v>0</v>
      </c>
      <c r="R13" s="374">
        <f>COUNTIFS('KIDS&amp;ADULTS'!$A$3:$A$12008,J13,'KIDS&amp;ADULTS'!$B$3:$B$12008,$R$3)</f>
        <v>0</v>
      </c>
      <c r="U13" s="372">
        <f t="shared" si="4"/>
        <v>45148</v>
      </c>
      <c r="V13" s="376">
        <f>COUNTIFS('KIDS&amp;ADULTS'!$V$3:$V$12006,U13,'KIDS&amp;ADULTS'!$B$3:$B$12006,$K$3,'KIDS&amp;ADULTS'!$N$3:$N$12006,"Đã đóng học phí")</f>
        <v>0</v>
      </c>
      <c r="W13" s="376">
        <f>COUNTIFS('KIDS&amp;ADULTS'!$V$3:$V$12006,U13,'KIDS&amp;ADULTS'!$B$3:$B12015,$W$3,'KIDS&amp;ADULTS'!$N$3:$N$12006,"Đã đóng học phí")</f>
        <v>0</v>
      </c>
      <c r="X13" s="376">
        <f>COUNTIFS('KIDS&amp;ADULTS'!$V$3:$V$12006,U13,'KIDS&amp;ADULTS'!$B$3:$B$12006,$X$3,'KIDS&amp;ADULTS'!$N$3:$N$12006,"Đã đóng học phí")</f>
        <v>0</v>
      </c>
      <c r="Y13" s="376">
        <f>COUNTIFS('KIDS&amp;ADULTS'!$V$3:$V$12006,U13,'KIDS&amp;ADULTS'!$B$3:$B$12006,$Y$3,'KIDS&amp;ADULTS'!$N$3:$N$12006,"Đã đóng học phí")</f>
        <v>0</v>
      </c>
      <c r="Z13" s="376">
        <f>COUNTIFS('KIDS&amp;ADULTS'!$V$3:$V$12006,U13,'KIDS&amp;ADULTS'!$B$3:$B$12006,$Z$3,'KIDS&amp;ADULTS'!$N$3:$N$12006,"Đã đóng học phí")</f>
        <v>0</v>
      </c>
      <c r="AA13" s="376">
        <f>COUNTIFS('KIDS&amp;ADULTS'!$V$3:$V$12006,U13,'KIDS&amp;ADULTS'!$B$3:$B$12006,$AA$3,'KIDS&amp;ADULTS'!$N$3:$N$12006,"Đã đóng học phí")</f>
        <v>0</v>
      </c>
      <c r="AB13" s="376">
        <f>COUNTIFS('KIDS&amp;ADULTS'!$V$3:$V$12006,U13,'KIDS&amp;ADULTS'!$B$3:$B$12006,$AB$3,'KIDS&amp;ADULTS'!$N$3:$N$12006,"Đã đóng học phí")</f>
        <v>0</v>
      </c>
      <c r="AC13" s="376">
        <f>COUNTIFS('KIDS&amp;ADULTS'!$V$3:$V$12006,U13,'KIDS&amp;ADULTS'!$B$3:$B$12006,$AC$3,'KIDS&amp;ADULTS'!$N$3:$N$12006,"Đã đóng học phí")</f>
        <v>0</v>
      </c>
    </row>
    <row r="14" ht="15.75" customHeight="1">
      <c r="A14" s="372">
        <v>45149.0</v>
      </c>
      <c r="B14" s="373">
        <f>sumifs('KIDS&amp;ADULTS'!$Z$3:$Z$1015,'KIDS&amp;ADULTS'!$V$3:$V$1015,A14,'KIDS&amp;ADULTS'!$M$3:$M$1015,$B$3)</f>
        <v>0</v>
      </c>
      <c r="C14" s="373">
        <f>sumifs('KIDS&amp;ADULTS'!$Z$3:$Z$1015,'KIDS&amp;ADULTS'!$V$3:$V$1015,A14,'KIDS&amp;ADULTS'!$M$3:$M$1015,"phương")</f>
        <v>0</v>
      </c>
      <c r="D14" s="373">
        <f>sumifs('KIDS&amp;ADULTS'!$Z$3:$Z$1015,'KIDS&amp;ADULTS'!$V$3:$V$1015,A14,'KIDS&amp;ADULTS'!$M$3:$M$1015,$D$3)</f>
        <v>8400000</v>
      </c>
      <c r="E14" s="373">
        <f>sumifs('KIDS&amp;ADULTS'!$Z$3:$Z$1015,'KIDS&amp;ADULTS'!$V$3:$V$1015,A14,'KIDS&amp;ADULTS'!$M$3:$M$1015,"Ánh")</f>
        <v>2970140</v>
      </c>
      <c r="F14" s="373">
        <f>sumifs('KIDS&amp;ADULTS'!$Z$3:$Z$1015,'KIDS&amp;ADULTS'!$V$3:$V$1015,A14,'KIDS&amp;ADULTS'!$M$3:$M$1015,"Loan")</f>
        <v>0</v>
      </c>
      <c r="G14" s="373">
        <f t="shared" si="1"/>
        <v>11370140</v>
      </c>
      <c r="J14" s="372">
        <f t="shared" si="3"/>
        <v>45149</v>
      </c>
      <c r="K14" s="374">
        <f>COUNTIFS('KIDS&amp;ADULTS'!$A$3:$A$12008,J14,'KIDS&amp;ADULTS'!$B$3:$B$12008,$K$3)</f>
        <v>0</v>
      </c>
      <c r="L14" s="374">
        <f>COUNTIFS('KIDS&amp;ADULTS'!$A$3:$A$12008,J14,'KIDS&amp;ADULTS'!$B$3:$B$12008,$L$3)</f>
        <v>0</v>
      </c>
      <c r="M14" s="374">
        <f>COUNTIFS('KIDS&amp;ADULTS'!$A$3:$A$12008,J14,'KIDS&amp;ADULTS'!$B$3:$B$12008,$M$3)</f>
        <v>1</v>
      </c>
      <c r="N14" s="375">
        <f>COUNTIFS('KIDS&amp;ADULTS'!$A$3:$A$12008,J14,'KIDS&amp;ADULTS'!$B$3:$B$12008,$N$3)</f>
        <v>0</v>
      </c>
      <c r="O14" s="375">
        <f>COUNTIFS('KIDS&amp;ADULTS'!$A$3:$A$12008,J14,'KIDS&amp;ADULTS'!$B$3:$B$12008,$O$3)</f>
        <v>0</v>
      </c>
      <c r="P14" s="375">
        <f>COUNTIFS('KIDS&amp;ADULTS'!$A$3:$A$12008,J14,'KIDS&amp;ADULTS'!$B$3:$B$12008,$P$3)</f>
        <v>0</v>
      </c>
      <c r="Q14" s="375">
        <f>COUNTIFS('KIDS&amp;ADULTS'!$A$3:$A$1008,J14,'KIDS&amp;ADULTS'!$B$3:$B$1008,$Q$3)</f>
        <v>0</v>
      </c>
      <c r="R14" s="374">
        <f>COUNTIFS('KIDS&amp;ADULTS'!$A$3:$A$12008,J14,'KIDS&amp;ADULTS'!$B$3:$B$12008,$R$3)</f>
        <v>0</v>
      </c>
      <c r="U14" s="372">
        <f t="shared" si="4"/>
        <v>45149</v>
      </c>
      <c r="V14" s="376">
        <f>COUNTIFS('KIDS&amp;ADULTS'!$V$3:$V$12006,U14,'KIDS&amp;ADULTS'!$B$3:$B$12006,$K$3,'KIDS&amp;ADULTS'!$N$3:$N$12006,"Đã đóng học phí")</f>
        <v>0</v>
      </c>
      <c r="W14" s="376">
        <f>COUNTIFS('KIDS&amp;ADULTS'!$V$3:$V$12006,U14,'KIDS&amp;ADULTS'!$B$3:$B12016,$W$3,'KIDS&amp;ADULTS'!$N$3:$N$12006,"Đã đóng học phí")</f>
        <v>0</v>
      </c>
      <c r="X14" s="376">
        <f>COUNTIFS('KIDS&amp;ADULTS'!$V$3:$V$12006,U14,'KIDS&amp;ADULTS'!$B$3:$B$12006,$X$3,'KIDS&amp;ADULTS'!$N$3:$N$12006,"Đã đóng học phí")</f>
        <v>0</v>
      </c>
      <c r="Y14" s="376">
        <f>COUNTIFS('KIDS&amp;ADULTS'!$V$3:$V$12006,U14,'KIDS&amp;ADULTS'!$B$3:$B$12006,$Y$3,'KIDS&amp;ADULTS'!$N$3:$N$12006,"Đã đóng học phí")</f>
        <v>1</v>
      </c>
      <c r="Z14" s="376">
        <f>COUNTIFS('KIDS&amp;ADULTS'!$V$3:$V$12006,U14,'KIDS&amp;ADULTS'!$B$3:$B$12006,$Z$3,'KIDS&amp;ADULTS'!$N$3:$N$12006,"Đã đóng học phí")</f>
        <v>0</v>
      </c>
      <c r="AA14" s="376">
        <f>COUNTIFS('KIDS&amp;ADULTS'!$V$3:$V$12006,U14,'KIDS&amp;ADULTS'!$B$3:$B$12006,$AA$3,'KIDS&amp;ADULTS'!$N$3:$N$12006,"Đã đóng học phí")</f>
        <v>0</v>
      </c>
      <c r="AB14" s="376">
        <f>COUNTIFS('KIDS&amp;ADULTS'!$V$3:$V$12006,U14,'KIDS&amp;ADULTS'!$B$3:$B$12006,$AB$3,'KIDS&amp;ADULTS'!$N$3:$N$12006,"Đã đóng học phí")</f>
        <v>0</v>
      </c>
      <c r="AC14" s="376">
        <f>COUNTIFS('KIDS&amp;ADULTS'!$V$3:$V$12006,U14,'KIDS&amp;ADULTS'!$B$3:$B$12006,$AC$3,'KIDS&amp;ADULTS'!$N$3:$N$12006,"Đã đóng học phí")</f>
        <v>0</v>
      </c>
    </row>
    <row r="15" ht="15.75" customHeight="1">
      <c r="A15" s="372">
        <v>45150.0</v>
      </c>
      <c r="B15" s="373">
        <f>sumifs('KIDS&amp;ADULTS'!$Z$3:$Z$1015,'KIDS&amp;ADULTS'!$V$3:$V$1015,A15,'KIDS&amp;ADULTS'!$M$3:$M$1015,$B$3)</f>
        <v>0</v>
      </c>
      <c r="C15" s="373">
        <f>sumifs('KIDS&amp;ADULTS'!$Z$3:$Z$1015,'KIDS&amp;ADULTS'!$V$3:$V$1015,A15,'KIDS&amp;ADULTS'!$M$3:$M$1015,"phương")</f>
        <v>0</v>
      </c>
      <c r="D15" s="373">
        <f>sumifs('KIDS&amp;ADULTS'!$Z$3:$Z$1015,'KIDS&amp;ADULTS'!$V$3:$V$1015,A15,'KIDS&amp;ADULTS'!$M$3:$M$1015,$D$3)</f>
        <v>0</v>
      </c>
      <c r="E15" s="373">
        <f>sumifs('KIDS&amp;ADULTS'!$Z$3:$Z$1015,'KIDS&amp;ADULTS'!$V$3:$V$1015,A15,'KIDS&amp;ADULTS'!$M$3:$M$1015,"Ánh")</f>
        <v>0</v>
      </c>
      <c r="F15" s="373">
        <f>sumifs('KIDS&amp;ADULTS'!$Z$3:$Z$1015,'KIDS&amp;ADULTS'!$V$3:$V$1015,A15,'KIDS&amp;ADULTS'!$M$3:$M$1015,"Loan")</f>
        <v>0</v>
      </c>
      <c r="G15" s="373">
        <f t="shared" si="1"/>
        <v>0</v>
      </c>
      <c r="J15" s="372">
        <f t="shared" si="3"/>
        <v>45150</v>
      </c>
      <c r="K15" s="374">
        <f>COUNTIFS('KIDS&amp;ADULTS'!$A$3:$A$12008,J15,'KIDS&amp;ADULTS'!$B$3:$B$12008,$K$3)</f>
        <v>0</v>
      </c>
      <c r="L15" s="374">
        <f>COUNTIFS('KIDS&amp;ADULTS'!$A$3:$A$12008,J15,'KIDS&amp;ADULTS'!$B$3:$B$12008,$L$3)</f>
        <v>0</v>
      </c>
      <c r="M15" s="374">
        <f>COUNTIFS('KIDS&amp;ADULTS'!$A$3:$A$12008,J15,'KIDS&amp;ADULTS'!$B$3:$B$12008,$M$3)</f>
        <v>0</v>
      </c>
      <c r="N15" s="375">
        <f>COUNTIFS('KIDS&amp;ADULTS'!$A$3:$A$12008,J15,'KIDS&amp;ADULTS'!$B$3:$B$12008,$N$3)</f>
        <v>1</v>
      </c>
      <c r="O15" s="375">
        <f>COUNTIFS('KIDS&amp;ADULTS'!$A$3:$A$12008,J15,'KIDS&amp;ADULTS'!$B$3:$B$12008,$O$3)</f>
        <v>0</v>
      </c>
      <c r="P15" s="375">
        <f>COUNTIFS('KIDS&amp;ADULTS'!$A$3:$A$12008,J15,'KIDS&amp;ADULTS'!$B$3:$B$12008,$P$3)</f>
        <v>0</v>
      </c>
      <c r="Q15" s="375">
        <f>COUNTIFS('KIDS&amp;ADULTS'!$A$3:$A$1008,J15,'KIDS&amp;ADULTS'!$B$3:$B$1008,$Q$3)</f>
        <v>0</v>
      </c>
      <c r="R15" s="374">
        <f>COUNTIFS('KIDS&amp;ADULTS'!$A$3:$A$12008,J15,'KIDS&amp;ADULTS'!$B$3:$B$12008,$R$3)</f>
        <v>0</v>
      </c>
      <c r="U15" s="372">
        <f t="shared" si="4"/>
        <v>45150</v>
      </c>
      <c r="V15" s="376">
        <f>COUNTIFS('KIDS&amp;ADULTS'!$V$3:$V$12006,U15,'KIDS&amp;ADULTS'!$B$3:$B$12006,$K$3,'KIDS&amp;ADULTS'!$N$3:$N$12006,"Đã đóng học phí")</f>
        <v>0</v>
      </c>
      <c r="W15" s="376">
        <f>COUNTIFS('KIDS&amp;ADULTS'!$V$3:$V$12006,U15,'KIDS&amp;ADULTS'!$B$3:$B12017,$W$3,'KIDS&amp;ADULTS'!$N$3:$N$12006,"Đã đóng học phí")</f>
        <v>0</v>
      </c>
      <c r="X15" s="376">
        <f>COUNTIFS('KIDS&amp;ADULTS'!$V$3:$V$12006,U15,'KIDS&amp;ADULTS'!$B$3:$B$12006,$X$3,'KIDS&amp;ADULTS'!$N$3:$N$12006,"Đã đóng học phí")</f>
        <v>0</v>
      </c>
      <c r="Y15" s="376">
        <f>COUNTIFS('KIDS&amp;ADULTS'!$V$3:$V$12006,U15,'KIDS&amp;ADULTS'!$B$3:$B$12006,$Y$3,'KIDS&amp;ADULTS'!$N$3:$N$12006,"Đã đóng học phí")</f>
        <v>0</v>
      </c>
      <c r="Z15" s="376">
        <f>COUNTIFS('KIDS&amp;ADULTS'!$V$3:$V$12006,U15,'KIDS&amp;ADULTS'!$B$3:$B$12006,$Z$3,'KIDS&amp;ADULTS'!$N$3:$N$12006,"Đã đóng học phí")</f>
        <v>0</v>
      </c>
      <c r="AA15" s="376">
        <f>COUNTIFS('KIDS&amp;ADULTS'!$V$3:$V$12006,U15,'KIDS&amp;ADULTS'!$B$3:$B$12006,$AA$3,'KIDS&amp;ADULTS'!$N$3:$N$12006,"Đã đóng học phí")</f>
        <v>0</v>
      </c>
      <c r="AB15" s="376">
        <f>COUNTIFS('KIDS&amp;ADULTS'!$V$3:$V$12006,U15,'KIDS&amp;ADULTS'!$B$3:$B$12006,$AB$3,'KIDS&amp;ADULTS'!$N$3:$N$12006,"Đã đóng học phí")</f>
        <v>0</v>
      </c>
      <c r="AC15" s="376">
        <f>COUNTIFS('KIDS&amp;ADULTS'!$V$3:$V$12006,U15,'KIDS&amp;ADULTS'!$B$3:$B$12006,$AC$3,'KIDS&amp;ADULTS'!$N$3:$N$12006,"Đã đóng học phí")</f>
        <v>0</v>
      </c>
    </row>
    <row r="16" ht="15.75" customHeight="1">
      <c r="A16" s="372">
        <v>45151.0</v>
      </c>
      <c r="B16" s="373">
        <f>sumifs('KIDS&amp;ADULTS'!$Z$3:$Z$1015,'KIDS&amp;ADULTS'!$V$3:$V$1015,A16,'KIDS&amp;ADULTS'!$M$3:$M$1015,$B$3)</f>
        <v>0</v>
      </c>
      <c r="C16" s="373">
        <f>sumifs('KIDS&amp;ADULTS'!$Z$3:$Z$1015,'KIDS&amp;ADULTS'!$V$3:$V$1015,A16,'KIDS&amp;ADULTS'!$M$3:$M$1015,"phương")</f>
        <v>0</v>
      </c>
      <c r="D16" s="373">
        <f>sumifs('KIDS&amp;ADULTS'!$Z$3:$Z$1015,'KIDS&amp;ADULTS'!$V$3:$V$1015,A16,'KIDS&amp;ADULTS'!$M$3:$M$1015,$D$3)</f>
        <v>0</v>
      </c>
      <c r="E16" s="373">
        <f>sumifs('KIDS&amp;ADULTS'!$Z$3:$Z$1015,'KIDS&amp;ADULTS'!$V$3:$V$1015,A16,'KIDS&amp;ADULTS'!$M$3:$M$1015,"Ánh")</f>
        <v>0</v>
      </c>
      <c r="F16" s="373">
        <f>sumifs('KIDS&amp;ADULTS'!$Z$3:$Z$1015,'KIDS&amp;ADULTS'!$V$3:$V$1015,A16,'KIDS&amp;ADULTS'!$M$3:$M$1015,"Loan")</f>
        <v>0</v>
      </c>
      <c r="G16" s="373">
        <f t="shared" si="1"/>
        <v>0</v>
      </c>
      <c r="J16" s="372">
        <f t="shared" si="3"/>
        <v>45151</v>
      </c>
      <c r="K16" s="374">
        <f>COUNTIFS('KIDS&amp;ADULTS'!$A$3:$A$12008,J16,'KIDS&amp;ADULTS'!$B$3:$B$12008,$K$3)</f>
        <v>0</v>
      </c>
      <c r="L16" s="374">
        <f>COUNTIFS('KIDS&amp;ADULTS'!$A$3:$A$12008,J16,'KIDS&amp;ADULTS'!$B$3:$B$12008,$L$3)</f>
        <v>0</v>
      </c>
      <c r="M16" s="374">
        <f>COUNTIFS('KIDS&amp;ADULTS'!$A$3:$A$12008,J16,'KIDS&amp;ADULTS'!$B$3:$B$12008,$M$3)</f>
        <v>0</v>
      </c>
      <c r="N16" s="375">
        <f>COUNTIFS('KIDS&amp;ADULTS'!$A$3:$A$12008,J16,'KIDS&amp;ADULTS'!$B$3:$B$12008,$N$3)</f>
        <v>1</v>
      </c>
      <c r="O16" s="375">
        <f>COUNTIFS('KIDS&amp;ADULTS'!$A$3:$A$12008,J16,'KIDS&amp;ADULTS'!$B$3:$B$12008,$O$3)</f>
        <v>0</v>
      </c>
      <c r="P16" s="375">
        <f>COUNTIFS('KIDS&amp;ADULTS'!$A$3:$A$12008,J16,'KIDS&amp;ADULTS'!$B$3:$B$12008,$P$3)</f>
        <v>0</v>
      </c>
      <c r="Q16" s="375">
        <f>COUNTIFS('KIDS&amp;ADULTS'!$A$3:$A$1008,J16,'KIDS&amp;ADULTS'!$B$3:$B$1008,$Q$3)</f>
        <v>0</v>
      </c>
      <c r="R16" s="374">
        <f>COUNTIFS('KIDS&amp;ADULTS'!$A$3:$A$12008,J16,'KIDS&amp;ADULTS'!$B$3:$B$12008,$R$3)</f>
        <v>0</v>
      </c>
      <c r="U16" s="372">
        <f t="shared" si="4"/>
        <v>45151</v>
      </c>
      <c r="V16" s="376">
        <f>COUNTIFS('KIDS&amp;ADULTS'!$V$3:$V$12006,U16,'KIDS&amp;ADULTS'!$B$3:$B$12006,$K$3,'KIDS&amp;ADULTS'!$N$3:$N$12006,"Đã đóng học phí")</f>
        <v>0</v>
      </c>
      <c r="W16" s="376">
        <f>COUNTIFS('KIDS&amp;ADULTS'!$V$3:$V$12006,U16,'KIDS&amp;ADULTS'!$B$3:$B12018,$W$3,'KIDS&amp;ADULTS'!$N$3:$N$12006,"Đã đóng học phí")</f>
        <v>0</v>
      </c>
      <c r="X16" s="376">
        <f>COUNTIFS('KIDS&amp;ADULTS'!$V$3:$V$12006,U16,'KIDS&amp;ADULTS'!$B$3:$B$12006,$X$3,'KIDS&amp;ADULTS'!$N$3:$N$12006,"Đã đóng học phí")</f>
        <v>0</v>
      </c>
      <c r="Y16" s="376">
        <f>COUNTIFS('KIDS&amp;ADULTS'!$V$3:$V$12006,U16,'KIDS&amp;ADULTS'!$B$3:$B$12006,$Y$3,'KIDS&amp;ADULTS'!$N$3:$N$12006,"Đã đóng học phí")</f>
        <v>0</v>
      </c>
      <c r="Z16" s="376">
        <f>COUNTIFS('KIDS&amp;ADULTS'!$V$3:$V$12006,U16,'KIDS&amp;ADULTS'!$B$3:$B$12006,$Z$3,'KIDS&amp;ADULTS'!$N$3:$N$12006,"Đã đóng học phí")</f>
        <v>0</v>
      </c>
      <c r="AA16" s="376">
        <f>COUNTIFS('KIDS&amp;ADULTS'!$V$3:$V$12006,U16,'KIDS&amp;ADULTS'!$B$3:$B$12006,$AA$3,'KIDS&amp;ADULTS'!$N$3:$N$12006,"Đã đóng học phí")</f>
        <v>0</v>
      </c>
      <c r="AB16" s="376">
        <f>COUNTIFS('KIDS&amp;ADULTS'!$V$3:$V$12006,U16,'KIDS&amp;ADULTS'!$B$3:$B$12006,$AB$3,'KIDS&amp;ADULTS'!$N$3:$N$12006,"Đã đóng học phí")</f>
        <v>0</v>
      </c>
      <c r="AC16" s="376">
        <f>COUNTIFS('KIDS&amp;ADULTS'!$V$3:$V$12006,U16,'KIDS&amp;ADULTS'!$B$3:$B$12006,$AC$3,'KIDS&amp;ADULTS'!$N$3:$N$12006,"Đã đóng học phí")</f>
        <v>0</v>
      </c>
    </row>
    <row r="17" ht="15.75" customHeight="1">
      <c r="A17" s="372">
        <v>45152.0</v>
      </c>
      <c r="B17" s="373">
        <f>sumifs('KIDS&amp;ADULTS'!$Z$3:$Z$1015,'KIDS&amp;ADULTS'!$V$3:$V$1015,A17,'KIDS&amp;ADULTS'!$M$3:$M$1015,$B$3)</f>
        <v>0</v>
      </c>
      <c r="C17" s="373">
        <f>sumifs('KIDS&amp;ADULTS'!$Z$3:$Z$1015,'KIDS&amp;ADULTS'!$V$3:$V$1015,A17,'KIDS&amp;ADULTS'!$M$3:$M$1015,"phương")</f>
        <v>0</v>
      </c>
      <c r="D17" s="373">
        <f>sumifs('KIDS&amp;ADULTS'!$Z$3:$Z$1015,'KIDS&amp;ADULTS'!$V$3:$V$1015,A17,'KIDS&amp;ADULTS'!$M$3:$M$1015,$D$3)</f>
        <v>0</v>
      </c>
      <c r="E17" s="373">
        <f>sumifs('KIDS&amp;ADULTS'!$Z$3:$Z$1015,'KIDS&amp;ADULTS'!$V$3:$V$1015,A17,'KIDS&amp;ADULTS'!$M$3:$M$1015,"Ánh")</f>
        <v>4243750</v>
      </c>
      <c r="F17" s="373">
        <f>sumifs('KIDS&amp;ADULTS'!$Z$3:$Z$1015,'KIDS&amp;ADULTS'!$V$3:$V$1015,A17,'KIDS&amp;ADULTS'!$M$3:$M$1015,"Loan")</f>
        <v>0</v>
      </c>
      <c r="G17" s="373">
        <f t="shared" si="1"/>
        <v>4243750</v>
      </c>
      <c r="J17" s="372">
        <f t="shared" si="3"/>
        <v>45152</v>
      </c>
      <c r="K17" s="374">
        <f>COUNTIFS('KIDS&amp;ADULTS'!$A$3:$A$12008,J17,'KIDS&amp;ADULTS'!$B$3:$B$12008,$K$3)</f>
        <v>0</v>
      </c>
      <c r="L17" s="374">
        <f>COUNTIFS('KIDS&amp;ADULTS'!$A$3:$A$12008,J17,'KIDS&amp;ADULTS'!$B$3:$B$12008,$L$3)</f>
        <v>0</v>
      </c>
      <c r="M17" s="374">
        <f>COUNTIFS('KIDS&amp;ADULTS'!$A$3:$A$12008,J17,'KIDS&amp;ADULTS'!$B$3:$B$12008,$M$3)</f>
        <v>0</v>
      </c>
      <c r="N17" s="375">
        <f>COUNTIFS('KIDS&amp;ADULTS'!$A$3:$A$12008,J17,'KIDS&amp;ADULTS'!$B$3:$B$12008,$N$3)</f>
        <v>0</v>
      </c>
      <c r="O17" s="375">
        <f>COUNTIFS('KIDS&amp;ADULTS'!$A$3:$A$12008,J17,'KIDS&amp;ADULTS'!$B$3:$B$12008,$O$3)</f>
        <v>0</v>
      </c>
      <c r="P17" s="375">
        <f>COUNTIFS('KIDS&amp;ADULTS'!$A$3:$A$12008,J17,'KIDS&amp;ADULTS'!$B$3:$B$12008,$P$3)</f>
        <v>0</v>
      </c>
      <c r="Q17" s="375">
        <f>COUNTIFS('KIDS&amp;ADULTS'!$A$3:$A$1008,J17,'KIDS&amp;ADULTS'!$B$3:$B$1008,$Q$3)</f>
        <v>0</v>
      </c>
      <c r="R17" s="374">
        <f>COUNTIFS('KIDS&amp;ADULTS'!$A$3:$A$12008,J17,'KIDS&amp;ADULTS'!$B$3:$B$12008,$R$3)</f>
        <v>0</v>
      </c>
      <c r="U17" s="372">
        <f t="shared" si="4"/>
        <v>45152</v>
      </c>
      <c r="V17" s="376">
        <f>COUNTIFS('KIDS&amp;ADULTS'!$V$3:$V$12006,U17,'KIDS&amp;ADULTS'!$B$3:$B$12006,$K$3,'KIDS&amp;ADULTS'!$N$3:$N$12006,"Đã đóng học phí")</f>
        <v>0</v>
      </c>
      <c r="W17" s="376">
        <f>COUNTIFS('KIDS&amp;ADULTS'!$V$3:$V$12006,U17,'KIDS&amp;ADULTS'!$B$3:$B12019,$W$3,'KIDS&amp;ADULTS'!$N$3:$N$12006,"Đã đóng học phí")</f>
        <v>0</v>
      </c>
      <c r="X17" s="376">
        <f>COUNTIFS('KIDS&amp;ADULTS'!$V$3:$V$12006,U17,'KIDS&amp;ADULTS'!$B$3:$B$12006,$X$3,'KIDS&amp;ADULTS'!$N$3:$N$12006,"Đã đóng học phí")</f>
        <v>0</v>
      </c>
      <c r="Y17" s="376">
        <f>COUNTIFS('KIDS&amp;ADULTS'!$V$3:$V$12006,U17,'KIDS&amp;ADULTS'!$B$3:$B$12006,$Y$3,'KIDS&amp;ADULTS'!$N$3:$N$12006,"Đã đóng học phí")</f>
        <v>1</v>
      </c>
      <c r="Z17" s="376">
        <f>COUNTIFS('KIDS&amp;ADULTS'!$V$3:$V$12006,U17,'KIDS&amp;ADULTS'!$B$3:$B$12006,$Z$3,'KIDS&amp;ADULTS'!$N$3:$N$12006,"Đã đóng học phí")</f>
        <v>0</v>
      </c>
      <c r="AA17" s="376">
        <f>COUNTIFS('KIDS&amp;ADULTS'!$V$3:$V$12006,U17,'KIDS&amp;ADULTS'!$B$3:$B$12006,$AA$3,'KIDS&amp;ADULTS'!$N$3:$N$12006,"Đã đóng học phí")</f>
        <v>0</v>
      </c>
      <c r="AB17" s="376">
        <f>COUNTIFS('KIDS&amp;ADULTS'!$V$3:$V$12006,U17,'KIDS&amp;ADULTS'!$B$3:$B$12006,$AB$3,'KIDS&amp;ADULTS'!$N$3:$N$12006,"Đã đóng học phí")</f>
        <v>0</v>
      </c>
      <c r="AC17" s="376">
        <f>COUNTIFS('KIDS&amp;ADULTS'!$V$3:$V$12006,U17,'KIDS&amp;ADULTS'!$B$3:$B$12006,$AC$3,'KIDS&amp;ADULTS'!$N$3:$N$12006,"Đã đóng học phí")</f>
        <v>0</v>
      </c>
    </row>
    <row r="18" ht="15.75" customHeight="1">
      <c r="A18" s="372">
        <v>45153.0</v>
      </c>
      <c r="B18" s="373">
        <f>sumifs('KIDS&amp;ADULTS'!$Z$3:$Z$1015,'KIDS&amp;ADULTS'!$V$3:$V$1015,A18,'KIDS&amp;ADULTS'!$M$3:$M$1015,$B$3)</f>
        <v>0</v>
      </c>
      <c r="C18" s="373">
        <f>sumifs('KIDS&amp;ADULTS'!$Z$3:$Z$1015,'KIDS&amp;ADULTS'!$V$3:$V$1015,A18,'KIDS&amp;ADULTS'!$M$3:$M$1015,"phương")</f>
        <v>0</v>
      </c>
      <c r="D18" s="373">
        <f>sumifs('KIDS&amp;ADULTS'!$Z$3:$Z$1015,'KIDS&amp;ADULTS'!$V$3:$V$1015,A18,'KIDS&amp;ADULTS'!$M$3:$M$1015,$D$3)</f>
        <v>0</v>
      </c>
      <c r="E18" s="373">
        <f>sumifs('KIDS&amp;ADULTS'!$Z$3:$Z$1015,'KIDS&amp;ADULTS'!$V$3:$V$1015,A18,'KIDS&amp;ADULTS'!$M$3:$M$1015,"Ánh")</f>
        <v>0</v>
      </c>
      <c r="F18" s="373">
        <f>sumifs('KIDS&amp;ADULTS'!$Z$3:$Z$1015,'KIDS&amp;ADULTS'!$V$3:$V$1015,A18,'KIDS&amp;ADULTS'!$M$3:$M$1015,"Loan")</f>
        <v>0</v>
      </c>
      <c r="G18" s="373">
        <f t="shared" si="1"/>
        <v>0</v>
      </c>
      <c r="J18" s="372">
        <f t="shared" si="3"/>
        <v>45153</v>
      </c>
      <c r="K18" s="374">
        <f>COUNTIFS('KIDS&amp;ADULTS'!$A$3:$A$12008,J18,'KIDS&amp;ADULTS'!$B$3:$B$12008,$K$3)</f>
        <v>0</v>
      </c>
      <c r="L18" s="374">
        <f>COUNTIFS('KIDS&amp;ADULTS'!$A$3:$A$12008,J18,'KIDS&amp;ADULTS'!$B$3:$B$12008,$L$3)</f>
        <v>0</v>
      </c>
      <c r="M18" s="374">
        <f>COUNTIFS('KIDS&amp;ADULTS'!$A$3:$A$12008,J18,'KIDS&amp;ADULTS'!$B$3:$B$12008,$M$3)</f>
        <v>0</v>
      </c>
      <c r="N18" s="375">
        <f>COUNTIFS('KIDS&amp;ADULTS'!$A$3:$A$12008,J18,'KIDS&amp;ADULTS'!$B$3:$B$12008,$N$3)</f>
        <v>0</v>
      </c>
      <c r="O18" s="375">
        <f>COUNTIFS('KIDS&amp;ADULTS'!$A$3:$A$12008,J18,'KIDS&amp;ADULTS'!$B$3:$B$12008,$O$3)</f>
        <v>0</v>
      </c>
      <c r="P18" s="375">
        <f>COUNTIFS('KIDS&amp;ADULTS'!$A$3:$A$12008,J18,'KIDS&amp;ADULTS'!$B$3:$B$12008,$P$3)</f>
        <v>0</v>
      </c>
      <c r="Q18" s="375">
        <f>COUNTIFS('KIDS&amp;ADULTS'!$A$3:$A$1008,J18,'KIDS&amp;ADULTS'!$B$3:$B$1008,$Q$3)</f>
        <v>0</v>
      </c>
      <c r="R18" s="374">
        <f>COUNTIFS('KIDS&amp;ADULTS'!$A$3:$A$12008,J18,'KIDS&amp;ADULTS'!$B$3:$B$12008,$R$3)</f>
        <v>0</v>
      </c>
      <c r="U18" s="372">
        <f t="shared" si="4"/>
        <v>45153</v>
      </c>
      <c r="V18" s="376">
        <f>COUNTIFS('KIDS&amp;ADULTS'!$V$3:$V$12006,U18,'KIDS&amp;ADULTS'!$B$3:$B$12006,$K$3,'KIDS&amp;ADULTS'!$N$3:$N$12006,"Đã đóng học phí")</f>
        <v>0</v>
      </c>
      <c r="W18" s="376">
        <f>COUNTIFS('KIDS&amp;ADULTS'!$V$3:$V$12006,U18,'KIDS&amp;ADULTS'!$B$3:$B12020,$W$3,'KIDS&amp;ADULTS'!$N$3:$N$12006,"Đã đóng học phí")</f>
        <v>0</v>
      </c>
      <c r="X18" s="376">
        <f>COUNTIFS('KIDS&amp;ADULTS'!$V$3:$V$12006,U18,'KIDS&amp;ADULTS'!$B$3:$B$12006,$X$3,'KIDS&amp;ADULTS'!$N$3:$N$12006,"Đã đóng học phí")</f>
        <v>0</v>
      </c>
      <c r="Y18" s="376">
        <f>COUNTIFS('KIDS&amp;ADULTS'!$V$3:$V$12006,U18,'KIDS&amp;ADULTS'!$B$3:$B$12006,$Y$3,'KIDS&amp;ADULTS'!$N$3:$N$12006,"Đã đóng học phí")</f>
        <v>0</v>
      </c>
      <c r="Z18" s="376">
        <f>COUNTIFS('KIDS&amp;ADULTS'!$V$3:$V$12006,U18,'KIDS&amp;ADULTS'!$B$3:$B$12006,$Z$3,'KIDS&amp;ADULTS'!$N$3:$N$12006,"Đã đóng học phí")</f>
        <v>0</v>
      </c>
      <c r="AA18" s="376">
        <f>COUNTIFS('KIDS&amp;ADULTS'!$V$3:$V$12006,U18,'KIDS&amp;ADULTS'!$B$3:$B$12006,$AA$3,'KIDS&amp;ADULTS'!$N$3:$N$12006,"Đã đóng học phí")</f>
        <v>0</v>
      </c>
      <c r="AB18" s="376">
        <f>COUNTIFS('KIDS&amp;ADULTS'!$V$3:$V$12006,U18,'KIDS&amp;ADULTS'!$B$3:$B$12006,$AB$3,'KIDS&amp;ADULTS'!$N$3:$N$12006,"Đã đóng học phí")</f>
        <v>0</v>
      </c>
      <c r="AC18" s="376">
        <f>COUNTIFS('KIDS&amp;ADULTS'!$V$3:$V$12006,U18,'KIDS&amp;ADULTS'!$B$3:$B$12006,$AC$3,'KIDS&amp;ADULTS'!$N$3:$N$12006,"Đã đóng học phí")</f>
        <v>0</v>
      </c>
    </row>
    <row r="19" ht="15.75" customHeight="1">
      <c r="A19" s="372">
        <v>45154.0</v>
      </c>
      <c r="B19" s="373">
        <f>sumifs('KIDS&amp;ADULTS'!$Z$3:$Z$1015,'KIDS&amp;ADULTS'!$V$3:$V$1015,A19,'KIDS&amp;ADULTS'!$M$3:$M$1015,$B$3)</f>
        <v>3062000</v>
      </c>
      <c r="C19" s="373">
        <f>sumifs('KIDS&amp;ADULTS'!$Z$3:$Z$1015,'KIDS&amp;ADULTS'!$V$3:$V$1015,A19,'KIDS&amp;ADULTS'!$M$3:$M$1015,"phương")</f>
        <v>0</v>
      </c>
      <c r="D19" s="373">
        <f>sumifs('KIDS&amp;ADULTS'!$Z$3:$Z$1015,'KIDS&amp;ADULTS'!$V$3:$V$1015,A19,'KIDS&amp;ADULTS'!$M$3:$M$1015,$D$3)</f>
        <v>0</v>
      </c>
      <c r="E19" s="373">
        <f>sumifs('KIDS&amp;ADULTS'!$Z$3:$Z$1015,'KIDS&amp;ADULTS'!$V$3:$V$1015,A19,'KIDS&amp;ADULTS'!$M$3:$M$1015,"Ánh")</f>
        <v>0</v>
      </c>
      <c r="F19" s="373">
        <f>sumifs('KIDS&amp;ADULTS'!$Z$3:$Z$1015,'KIDS&amp;ADULTS'!$V$3:$V$1015,A19,'KIDS&amp;ADULTS'!$M$3:$M$1015,"Loan")</f>
        <v>0</v>
      </c>
      <c r="G19" s="373">
        <f t="shared" si="1"/>
        <v>3062000</v>
      </c>
      <c r="J19" s="372">
        <f t="shared" si="3"/>
        <v>45154</v>
      </c>
      <c r="K19" s="374">
        <f>COUNTIFS('KIDS&amp;ADULTS'!$A$3:$A$12008,J19,'KIDS&amp;ADULTS'!$B$3:$B$12008,$K$3)</f>
        <v>0</v>
      </c>
      <c r="L19" s="374">
        <f>COUNTIFS('KIDS&amp;ADULTS'!$A$3:$A$12008,J19,'KIDS&amp;ADULTS'!$B$3:$B$12008,$L$3)</f>
        <v>0</v>
      </c>
      <c r="M19" s="374">
        <f>COUNTIFS('KIDS&amp;ADULTS'!$A$3:$A$12008,J19,'KIDS&amp;ADULTS'!$B$3:$B$12008,$M$3)</f>
        <v>0</v>
      </c>
      <c r="N19" s="375">
        <f>COUNTIFS('KIDS&amp;ADULTS'!$A$3:$A$12008,J19,'KIDS&amp;ADULTS'!$B$3:$B$12008,$N$3)</f>
        <v>0</v>
      </c>
      <c r="O19" s="375">
        <f>COUNTIFS('KIDS&amp;ADULTS'!$A$3:$A$12008,J19,'KIDS&amp;ADULTS'!$B$3:$B$12008,$O$3)</f>
        <v>0</v>
      </c>
      <c r="P19" s="375">
        <f>COUNTIFS('KIDS&amp;ADULTS'!$A$3:$A$12008,J19,'KIDS&amp;ADULTS'!$B$3:$B$12008,$P$3)</f>
        <v>0</v>
      </c>
      <c r="Q19" s="375">
        <f>COUNTIFS('KIDS&amp;ADULTS'!$A$3:$A$1008,J19,'KIDS&amp;ADULTS'!$B$3:$B$1008,$Q$3)</f>
        <v>0</v>
      </c>
      <c r="R19" s="374">
        <f>COUNTIFS('KIDS&amp;ADULTS'!$A$3:$A$12008,J19,'KIDS&amp;ADULTS'!$B$3:$B$12008,$R$3)</f>
        <v>0</v>
      </c>
      <c r="U19" s="372">
        <f t="shared" si="4"/>
        <v>45154</v>
      </c>
      <c r="V19" s="376">
        <f>COUNTIFS('KIDS&amp;ADULTS'!$V$3:$V$12006,U19,'KIDS&amp;ADULTS'!$B$3:$B$12006,$K$3,'KIDS&amp;ADULTS'!$N$3:$N$12006,"Đã đóng học phí")</f>
        <v>0</v>
      </c>
      <c r="W19" s="376">
        <f>COUNTIFS('KIDS&amp;ADULTS'!$V$3:$V$12006,U19,'KIDS&amp;ADULTS'!$B$3:$B12021,$W$3,'KIDS&amp;ADULTS'!$N$3:$N$12006,"Đã đóng học phí")</f>
        <v>0</v>
      </c>
      <c r="X19" s="376">
        <f>COUNTIFS('KIDS&amp;ADULTS'!$V$3:$V$12006,U19,'KIDS&amp;ADULTS'!$B$3:$B$12006,$X$3,'KIDS&amp;ADULTS'!$N$3:$N$12006,"Đã đóng học phí")</f>
        <v>0</v>
      </c>
      <c r="Y19" s="376">
        <f>COUNTIFS('KIDS&amp;ADULTS'!$V$3:$V$12006,U19,'KIDS&amp;ADULTS'!$B$3:$B$12006,$Y$3,'KIDS&amp;ADULTS'!$N$3:$N$12006,"Đã đóng học phí")</f>
        <v>1</v>
      </c>
      <c r="Z19" s="376">
        <f>COUNTIFS('KIDS&amp;ADULTS'!$V$3:$V$12006,U19,'KIDS&amp;ADULTS'!$B$3:$B$12006,$Z$3,'KIDS&amp;ADULTS'!$N$3:$N$12006,"Đã đóng học phí")</f>
        <v>0</v>
      </c>
      <c r="AA19" s="376">
        <f>COUNTIFS('KIDS&amp;ADULTS'!$V$3:$V$12006,U19,'KIDS&amp;ADULTS'!$B$3:$B$12006,$AA$3,'KIDS&amp;ADULTS'!$N$3:$N$12006,"Đã đóng học phí")</f>
        <v>0</v>
      </c>
      <c r="AB19" s="376">
        <f>COUNTIFS('KIDS&amp;ADULTS'!$V$3:$V$12006,U19,'KIDS&amp;ADULTS'!$B$3:$B$12006,$AB$3,'KIDS&amp;ADULTS'!$N$3:$N$12006,"Đã đóng học phí")</f>
        <v>0</v>
      </c>
      <c r="AC19" s="376">
        <f>COUNTIFS('KIDS&amp;ADULTS'!$V$3:$V$12006,U19,'KIDS&amp;ADULTS'!$B$3:$B$12006,$AC$3,'KIDS&amp;ADULTS'!$N$3:$N$12006,"Đã đóng học phí")</f>
        <v>0</v>
      </c>
    </row>
    <row r="20" ht="15.75" customHeight="1">
      <c r="A20" s="372">
        <v>45155.0</v>
      </c>
      <c r="B20" s="373">
        <f>sumifs('KIDS&amp;ADULTS'!$Z$3:$Z$1015,'KIDS&amp;ADULTS'!$V$3:$V$1015,A20,'KIDS&amp;ADULTS'!$M$3:$M$1015,$B$3)</f>
        <v>0</v>
      </c>
      <c r="C20" s="373">
        <f>sumifs('KIDS&amp;ADULTS'!$Z$3:$Z$1015,'KIDS&amp;ADULTS'!$V$3:$V$1015,A20,'KIDS&amp;ADULTS'!$M$3:$M$1015,"phương")</f>
        <v>0</v>
      </c>
      <c r="D20" s="373">
        <f>sumifs('KIDS&amp;ADULTS'!$Z$3:$Z$1015,'KIDS&amp;ADULTS'!$V$3:$V$1015,A20,'KIDS&amp;ADULTS'!$M$3:$M$1015,$D$3)</f>
        <v>0</v>
      </c>
      <c r="E20" s="373">
        <f>sumifs('KIDS&amp;ADULTS'!$Z$3:$Z$1015,'KIDS&amp;ADULTS'!$V$3:$V$1015,A20,'KIDS&amp;ADULTS'!$M$3:$M$1015,"Ánh")</f>
        <v>0</v>
      </c>
      <c r="F20" s="373">
        <f>sumifs('KIDS&amp;ADULTS'!$Z$3:$Z$1015,'KIDS&amp;ADULTS'!$V$3:$V$1015,A20,'KIDS&amp;ADULTS'!$M$3:$M$1015,"Loan")</f>
        <v>0</v>
      </c>
      <c r="G20" s="373">
        <f t="shared" si="1"/>
        <v>0</v>
      </c>
      <c r="J20" s="372">
        <f t="shared" si="3"/>
        <v>45155</v>
      </c>
      <c r="K20" s="374">
        <f>COUNTIFS('KIDS&amp;ADULTS'!$A$3:$A$12008,J20,'KIDS&amp;ADULTS'!$B$3:$B$12008,$K$3)</f>
        <v>0</v>
      </c>
      <c r="L20" s="374">
        <f>COUNTIFS('KIDS&amp;ADULTS'!$A$3:$A$12008,J20,'KIDS&amp;ADULTS'!$B$3:$B$12008,$L$3)</f>
        <v>0</v>
      </c>
      <c r="M20" s="374">
        <f>COUNTIFS('KIDS&amp;ADULTS'!$A$3:$A$12008,J20,'KIDS&amp;ADULTS'!$B$3:$B$12008,$M$3)</f>
        <v>0</v>
      </c>
      <c r="N20" s="375">
        <f>COUNTIFS('KIDS&amp;ADULTS'!$A$3:$A$12008,J20,'KIDS&amp;ADULTS'!$B$3:$B$12008,$N$3)</f>
        <v>0</v>
      </c>
      <c r="O20" s="375">
        <f>COUNTIFS('KIDS&amp;ADULTS'!$A$3:$A$12008,J20,'KIDS&amp;ADULTS'!$B$3:$B$12008,$O$3)</f>
        <v>0</v>
      </c>
      <c r="P20" s="375">
        <f>COUNTIFS('KIDS&amp;ADULTS'!$A$3:$A$12008,J20,'KIDS&amp;ADULTS'!$B$3:$B$12008,$P$3)</f>
        <v>0</v>
      </c>
      <c r="Q20" s="375">
        <f>COUNTIFS('KIDS&amp;ADULTS'!$A$3:$A$1008,J20,'KIDS&amp;ADULTS'!$B$3:$B$1008,$Q$3)</f>
        <v>0</v>
      </c>
      <c r="R20" s="374">
        <f>COUNTIFS('KIDS&amp;ADULTS'!$A$3:$A$12008,J20,'KIDS&amp;ADULTS'!$B$3:$B$12008,$R$3)</f>
        <v>0</v>
      </c>
      <c r="U20" s="372">
        <f t="shared" si="4"/>
        <v>45155</v>
      </c>
      <c r="V20" s="376">
        <f>COUNTIFS('KIDS&amp;ADULTS'!$V$3:$V$12006,U20,'KIDS&amp;ADULTS'!$B$3:$B$12006,$K$3,'KIDS&amp;ADULTS'!$N$3:$N$12006,"Đã đóng học phí")</f>
        <v>0</v>
      </c>
      <c r="W20" s="376">
        <f>COUNTIFS('KIDS&amp;ADULTS'!$V$3:$V$12006,U20,'KIDS&amp;ADULTS'!$B$3:$B12022,$W$3,'KIDS&amp;ADULTS'!$N$3:$N$12006,"Đã đóng học phí")</f>
        <v>0</v>
      </c>
      <c r="X20" s="376">
        <f>COUNTIFS('KIDS&amp;ADULTS'!$V$3:$V$12006,U20,'KIDS&amp;ADULTS'!$B$3:$B$12006,$X$3,'KIDS&amp;ADULTS'!$N$3:$N$12006,"Đã đóng học phí")</f>
        <v>0</v>
      </c>
      <c r="Y20" s="376">
        <f>COUNTIFS('KIDS&amp;ADULTS'!$V$3:$V$12006,U20,'KIDS&amp;ADULTS'!$B$3:$B$12006,$Y$3,'KIDS&amp;ADULTS'!$N$3:$N$12006,"Đã đóng học phí")</f>
        <v>0</v>
      </c>
      <c r="Z20" s="376">
        <f>COUNTIFS('KIDS&amp;ADULTS'!$V$3:$V$12006,U20,'KIDS&amp;ADULTS'!$B$3:$B$12006,$Z$3,'KIDS&amp;ADULTS'!$N$3:$N$12006,"Đã đóng học phí")</f>
        <v>0</v>
      </c>
      <c r="AA20" s="376">
        <f>COUNTIFS('KIDS&amp;ADULTS'!$V$3:$V$12006,U20,'KIDS&amp;ADULTS'!$B$3:$B$12006,$AA$3,'KIDS&amp;ADULTS'!$N$3:$N$12006,"Đã đóng học phí")</f>
        <v>0</v>
      </c>
      <c r="AB20" s="376">
        <f>COUNTIFS('KIDS&amp;ADULTS'!$V$3:$V$12006,U20,'KIDS&amp;ADULTS'!$B$3:$B$12006,$AB$3,'KIDS&amp;ADULTS'!$N$3:$N$12006,"Đã đóng học phí")</f>
        <v>0</v>
      </c>
      <c r="AC20" s="376">
        <f>COUNTIFS('KIDS&amp;ADULTS'!$V$3:$V$12006,U20,'KIDS&amp;ADULTS'!$B$3:$B$12006,$AC$3,'KIDS&amp;ADULTS'!$N$3:$N$12006,"Đã đóng học phí")</f>
        <v>0</v>
      </c>
    </row>
    <row r="21" ht="15.75" customHeight="1">
      <c r="A21" s="372">
        <v>45156.0</v>
      </c>
      <c r="B21" s="373">
        <f>sumifs('KIDS&amp;ADULTS'!$Z$3:$Z$1015,'KIDS&amp;ADULTS'!$V$3:$V$1015,A21,'KIDS&amp;ADULTS'!$M$3:$M$1015,$B$3)</f>
        <v>0</v>
      </c>
      <c r="C21" s="373">
        <f>sumifs('KIDS&amp;ADULTS'!$Z$3:$Z$1015,'KIDS&amp;ADULTS'!$V$3:$V$1015,A21,'KIDS&amp;ADULTS'!$M$3:$M$1015,"phương")</f>
        <v>0</v>
      </c>
      <c r="D21" s="373">
        <f>sumifs('KIDS&amp;ADULTS'!$Z$3:$Z$1015,'KIDS&amp;ADULTS'!$V$3:$V$1015,A21,'KIDS&amp;ADULTS'!$M$3:$M$1015,$D$3)</f>
        <v>0</v>
      </c>
      <c r="E21" s="373">
        <f>sumifs('KIDS&amp;ADULTS'!$Z$3:$Z$1015,'KIDS&amp;ADULTS'!$V$3:$V$1015,A21,'KIDS&amp;ADULTS'!$M$3:$M$1015,"Ánh")</f>
        <v>0</v>
      </c>
      <c r="F21" s="373">
        <f>sumifs('KIDS&amp;ADULTS'!$Z$3:$Z$1015,'KIDS&amp;ADULTS'!$V$3:$V$1015,A21,'KIDS&amp;ADULTS'!$M$3:$M$1015,"Loan")</f>
        <v>0</v>
      </c>
      <c r="G21" s="373">
        <f t="shared" si="1"/>
        <v>0</v>
      </c>
      <c r="J21" s="372">
        <f t="shared" si="3"/>
        <v>45156</v>
      </c>
      <c r="K21" s="374">
        <f>COUNTIFS('KIDS&amp;ADULTS'!$A$3:$A$12008,J21,'KIDS&amp;ADULTS'!$B$3:$B$12008,$K$3)</f>
        <v>0</v>
      </c>
      <c r="L21" s="374">
        <f>COUNTIFS('KIDS&amp;ADULTS'!$A$3:$A$12008,J21,'KIDS&amp;ADULTS'!$B$3:$B$12008,$L$3)</f>
        <v>0</v>
      </c>
      <c r="M21" s="374">
        <f>COUNTIFS('KIDS&amp;ADULTS'!$A$3:$A$12008,J21,'KIDS&amp;ADULTS'!$B$3:$B$12008,$M$3)</f>
        <v>0</v>
      </c>
      <c r="N21" s="375">
        <f>COUNTIFS('KIDS&amp;ADULTS'!$A$3:$A$12008,J21,'KIDS&amp;ADULTS'!$B$3:$B$12008,$N$3)</f>
        <v>0</v>
      </c>
      <c r="O21" s="375">
        <f>COUNTIFS('KIDS&amp;ADULTS'!$A$3:$A$12008,J21,'KIDS&amp;ADULTS'!$B$3:$B$12008,$O$3)</f>
        <v>1</v>
      </c>
      <c r="P21" s="375">
        <f>COUNTIFS('KIDS&amp;ADULTS'!$A$3:$A$12008,J21,'KIDS&amp;ADULTS'!$B$3:$B$12008,$P$3)</f>
        <v>0</v>
      </c>
      <c r="Q21" s="375">
        <f>COUNTIFS('KIDS&amp;ADULTS'!$A$3:$A$1008,J21,'KIDS&amp;ADULTS'!$B$3:$B$1008,$Q$3)</f>
        <v>0</v>
      </c>
      <c r="R21" s="374">
        <f>COUNTIFS('KIDS&amp;ADULTS'!$A$3:$A$12008,J21,'KIDS&amp;ADULTS'!$B$3:$B$12008,$R$3)</f>
        <v>0</v>
      </c>
      <c r="U21" s="372">
        <f t="shared" si="4"/>
        <v>45156</v>
      </c>
      <c r="V21" s="376">
        <f>COUNTIFS('KIDS&amp;ADULTS'!$V$3:$V$12006,U21,'KIDS&amp;ADULTS'!$B$3:$B$12006,$K$3,'KIDS&amp;ADULTS'!$N$3:$N$12006,"Đã đóng học phí")</f>
        <v>0</v>
      </c>
      <c r="W21" s="376">
        <f>COUNTIFS('KIDS&amp;ADULTS'!$V$3:$V$12006,U21,'KIDS&amp;ADULTS'!$B$3:$B12023,$W$3,'KIDS&amp;ADULTS'!$N$3:$N$12006,"Đã đóng học phí")</f>
        <v>0</v>
      </c>
      <c r="X21" s="376">
        <f>COUNTIFS('KIDS&amp;ADULTS'!$V$3:$V$12006,U21,'KIDS&amp;ADULTS'!$B$3:$B$12006,$X$3,'KIDS&amp;ADULTS'!$N$3:$N$12006,"Đã đóng học phí")</f>
        <v>0</v>
      </c>
      <c r="Y21" s="376">
        <f>COUNTIFS('KIDS&amp;ADULTS'!$V$3:$V$12006,U21,'KIDS&amp;ADULTS'!$B$3:$B$12006,$Y$3,'KIDS&amp;ADULTS'!$N$3:$N$12006,"Đã đóng học phí")</f>
        <v>0</v>
      </c>
      <c r="Z21" s="376">
        <f>COUNTIFS('KIDS&amp;ADULTS'!$V$3:$V$12006,U21,'KIDS&amp;ADULTS'!$B$3:$B$12006,$Z$3,'KIDS&amp;ADULTS'!$N$3:$N$12006,"Đã đóng học phí")</f>
        <v>0</v>
      </c>
      <c r="AA21" s="376">
        <f>COUNTIFS('KIDS&amp;ADULTS'!$V$3:$V$12006,U21,'KIDS&amp;ADULTS'!$B$3:$B$12006,$AA$3,'KIDS&amp;ADULTS'!$N$3:$N$12006,"Đã đóng học phí")</f>
        <v>0</v>
      </c>
      <c r="AB21" s="376">
        <f>COUNTIFS('KIDS&amp;ADULTS'!$V$3:$V$12006,U21,'KIDS&amp;ADULTS'!$B$3:$B$12006,$AB$3,'KIDS&amp;ADULTS'!$N$3:$N$12006,"Đã đóng học phí")</f>
        <v>0</v>
      </c>
      <c r="AC21" s="376">
        <f>COUNTIFS('KIDS&amp;ADULTS'!$V$3:$V$12006,U21,'KIDS&amp;ADULTS'!$B$3:$B$12006,$AC$3,'KIDS&amp;ADULTS'!$N$3:$N$12006,"Đã đóng học phí")</f>
        <v>0</v>
      </c>
    </row>
    <row r="22" ht="15.75" customHeight="1">
      <c r="A22" s="372">
        <v>45157.0</v>
      </c>
      <c r="B22" s="373">
        <f>sumifs('KIDS&amp;ADULTS'!$Z$3:$Z$1015,'KIDS&amp;ADULTS'!$V$3:$V$1015,A22,'KIDS&amp;ADULTS'!$M$3:$M$1015,$B$3)</f>
        <v>0</v>
      </c>
      <c r="C22" s="373">
        <f>sumifs('KIDS&amp;ADULTS'!$Z$3:$Z$1015,'KIDS&amp;ADULTS'!$V$3:$V$1015,A22,'KIDS&amp;ADULTS'!$M$3:$M$1015,"phương")</f>
        <v>0</v>
      </c>
      <c r="D22" s="373">
        <f>sumifs('KIDS&amp;ADULTS'!$Z$3:$Z$1015,'KIDS&amp;ADULTS'!$V$3:$V$1015,A22,'KIDS&amp;ADULTS'!$M$3:$M$1015,$D$3)</f>
        <v>0</v>
      </c>
      <c r="E22" s="373">
        <f>sumifs('KIDS&amp;ADULTS'!$Z$3:$Z$1015,'KIDS&amp;ADULTS'!$V$3:$V$1015,A22,'KIDS&amp;ADULTS'!$M$3:$M$1015,"Ánh")</f>
        <v>0</v>
      </c>
      <c r="F22" s="373">
        <f>sumifs('KIDS&amp;ADULTS'!$Z$3:$Z$1015,'KIDS&amp;ADULTS'!$V$3:$V$1015,A22,'KIDS&amp;ADULTS'!$M$3:$M$1015,"Loan")</f>
        <v>0</v>
      </c>
      <c r="G22" s="373">
        <f t="shared" si="1"/>
        <v>0</v>
      </c>
      <c r="J22" s="372">
        <f t="shared" si="3"/>
        <v>45157</v>
      </c>
      <c r="K22" s="374">
        <f>COUNTIFS('KIDS&amp;ADULTS'!$A$3:$A$12008,J22,'KIDS&amp;ADULTS'!$B$3:$B$12008,$K$3)</f>
        <v>0</v>
      </c>
      <c r="L22" s="374">
        <f>COUNTIFS('KIDS&amp;ADULTS'!$A$3:$A$12008,J22,'KIDS&amp;ADULTS'!$B$3:$B$12008,$L$3)</f>
        <v>0</v>
      </c>
      <c r="M22" s="374">
        <f>COUNTIFS('KIDS&amp;ADULTS'!$A$3:$A$12008,J22,'KIDS&amp;ADULTS'!$B$3:$B$12008,$M$3)</f>
        <v>0</v>
      </c>
      <c r="N22" s="375">
        <f>COUNTIFS('KIDS&amp;ADULTS'!$A$3:$A$12008,J22,'KIDS&amp;ADULTS'!$B$3:$B$12008,$N$3)</f>
        <v>0</v>
      </c>
      <c r="O22" s="375">
        <f>COUNTIFS('KIDS&amp;ADULTS'!$A$3:$A$12008,J22,'KIDS&amp;ADULTS'!$B$3:$B$12008,$O$3)</f>
        <v>1</v>
      </c>
      <c r="P22" s="375">
        <f>COUNTIFS('KIDS&amp;ADULTS'!$A$3:$A$12008,J22,'KIDS&amp;ADULTS'!$B$3:$B$12008,$P$3)</f>
        <v>0</v>
      </c>
      <c r="Q22" s="375">
        <f>COUNTIFS('KIDS&amp;ADULTS'!$A$3:$A$1008,J22,'KIDS&amp;ADULTS'!$B$3:$B$1008,$Q$3)</f>
        <v>2</v>
      </c>
      <c r="R22" s="374">
        <f>COUNTIFS('KIDS&amp;ADULTS'!$A$3:$A$12008,J22,'KIDS&amp;ADULTS'!$B$3:$B$12008,$R$3)</f>
        <v>0</v>
      </c>
      <c r="U22" s="372">
        <f t="shared" si="4"/>
        <v>45157</v>
      </c>
      <c r="V22" s="376">
        <f>COUNTIFS('KIDS&amp;ADULTS'!$V$3:$V$12006,U22,'KIDS&amp;ADULTS'!$B$3:$B$12006,$K$3,'KIDS&amp;ADULTS'!$N$3:$N$12006,"Đã đóng học phí")</f>
        <v>0</v>
      </c>
      <c r="W22" s="376">
        <f>COUNTIFS('KIDS&amp;ADULTS'!$V$3:$V$12006,U22,'KIDS&amp;ADULTS'!$B$3:$B12024,$W$3,'KIDS&amp;ADULTS'!$N$3:$N$12006,"Đã đóng học phí")</f>
        <v>0</v>
      </c>
      <c r="X22" s="376">
        <f>COUNTIFS('KIDS&amp;ADULTS'!$V$3:$V$12006,U22,'KIDS&amp;ADULTS'!$B$3:$B$12006,$X$3,'KIDS&amp;ADULTS'!$N$3:$N$12006,"Đã đóng học phí")</f>
        <v>0</v>
      </c>
      <c r="Y22" s="376">
        <f>COUNTIFS('KIDS&amp;ADULTS'!$V$3:$V$12006,U22,'KIDS&amp;ADULTS'!$B$3:$B$12006,$Y$3,'KIDS&amp;ADULTS'!$N$3:$N$12006,"Đã đóng học phí")</f>
        <v>0</v>
      </c>
      <c r="Z22" s="376">
        <f>COUNTIFS('KIDS&amp;ADULTS'!$V$3:$V$12006,U22,'KIDS&amp;ADULTS'!$B$3:$B$12006,$Z$3,'KIDS&amp;ADULTS'!$N$3:$N$12006,"Đã đóng học phí")</f>
        <v>0</v>
      </c>
      <c r="AA22" s="376">
        <f>COUNTIFS('KIDS&amp;ADULTS'!$V$3:$V$12006,U22,'KIDS&amp;ADULTS'!$B$3:$B$12006,$AA$3,'KIDS&amp;ADULTS'!$N$3:$N$12006,"Đã đóng học phí")</f>
        <v>0</v>
      </c>
      <c r="AB22" s="376">
        <f>COUNTIFS('KIDS&amp;ADULTS'!$V$3:$V$12006,U22,'KIDS&amp;ADULTS'!$B$3:$B$12006,$AB$3,'KIDS&amp;ADULTS'!$N$3:$N$12006,"Đã đóng học phí")</f>
        <v>0</v>
      </c>
      <c r="AC22" s="376">
        <f>COUNTIFS('KIDS&amp;ADULTS'!$V$3:$V$12006,U22,'KIDS&amp;ADULTS'!$B$3:$B$12006,$AC$3,'KIDS&amp;ADULTS'!$N$3:$N$12006,"Đã đóng học phí")</f>
        <v>0</v>
      </c>
    </row>
    <row r="23" ht="15.75" customHeight="1">
      <c r="A23" s="372">
        <v>45158.0</v>
      </c>
      <c r="B23" s="373">
        <f>sumifs('KIDS&amp;ADULTS'!$Z$3:$Z$1015,'KIDS&amp;ADULTS'!$V$3:$V$1015,A23,'KIDS&amp;ADULTS'!$M$3:$M$1015,$B$3)</f>
        <v>0</v>
      </c>
      <c r="C23" s="373">
        <f>sumifs('KIDS&amp;ADULTS'!$Z$3:$Z$1015,'KIDS&amp;ADULTS'!$V$3:$V$1015,A23,'KIDS&amp;ADULTS'!$M$3:$M$1015,"phương")</f>
        <v>0</v>
      </c>
      <c r="D23" s="373">
        <f>sumifs('KIDS&amp;ADULTS'!$Z$3:$Z$1015,'KIDS&amp;ADULTS'!$V$3:$V$1015,A23,'KIDS&amp;ADULTS'!$M$3:$M$1015,$D$3)</f>
        <v>0</v>
      </c>
      <c r="E23" s="373">
        <f>sumifs('KIDS&amp;ADULTS'!$Z$3:$Z$1015,'KIDS&amp;ADULTS'!$V$3:$V$1015,A23,'KIDS&amp;ADULTS'!$M$3:$M$1015,"Ánh")</f>
        <v>0</v>
      </c>
      <c r="F23" s="373">
        <f>sumifs('KIDS&amp;ADULTS'!$Z$3:$Z$1015,'KIDS&amp;ADULTS'!$V$3:$V$1015,A23,'KIDS&amp;ADULTS'!$M$3:$M$1015,"Loan")</f>
        <v>0</v>
      </c>
      <c r="G23" s="373">
        <f t="shared" si="1"/>
        <v>0</v>
      </c>
      <c r="J23" s="372">
        <f t="shared" si="3"/>
        <v>45158</v>
      </c>
      <c r="K23" s="374">
        <f>COUNTIFS('KIDS&amp;ADULTS'!$A$3:$A$12008,J23,'KIDS&amp;ADULTS'!$B$3:$B$12008,$K$3)</f>
        <v>0</v>
      </c>
      <c r="L23" s="374">
        <f>COUNTIFS('KIDS&amp;ADULTS'!$A$3:$A$12008,J23,'KIDS&amp;ADULTS'!$B$3:$B$12008,$L$3)</f>
        <v>0</v>
      </c>
      <c r="M23" s="374">
        <f>COUNTIFS('KIDS&amp;ADULTS'!$A$3:$A$12008,J23,'KIDS&amp;ADULTS'!$B$3:$B$12008,$M$3)</f>
        <v>0</v>
      </c>
      <c r="N23" s="375">
        <f>COUNTIFS('KIDS&amp;ADULTS'!$A$3:$A$12008,J23,'KIDS&amp;ADULTS'!$B$3:$B$12008,$N$3)</f>
        <v>0</v>
      </c>
      <c r="O23" s="375">
        <f>COUNTIFS('KIDS&amp;ADULTS'!$A$3:$A$12008,J23,'KIDS&amp;ADULTS'!$B$3:$B$12008,$O$3)</f>
        <v>0</v>
      </c>
      <c r="P23" s="375">
        <f>COUNTIFS('KIDS&amp;ADULTS'!$A$3:$A$12008,J23,'KIDS&amp;ADULTS'!$B$3:$B$12008,$P$3)</f>
        <v>0</v>
      </c>
      <c r="Q23" s="375">
        <f>COUNTIFS('KIDS&amp;ADULTS'!$A$3:$A$1008,J23,'KIDS&amp;ADULTS'!$B$3:$B$1008,$Q$3)</f>
        <v>0</v>
      </c>
      <c r="R23" s="374">
        <f>COUNTIFS('KIDS&amp;ADULTS'!$A$3:$A$12008,J23,'KIDS&amp;ADULTS'!$B$3:$B$12008,$R$3)</f>
        <v>0</v>
      </c>
      <c r="U23" s="372">
        <f t="shared" si="4"/>
        <v>45158</v>
      </c>
      <c r="V23" s="376">
        <f>COUNTIFS('KIDS&amp;ADULTS'!$V$3:$V$12006,U23,'KIDS&amp;ADULTS'!$B$3:$B$12006,$K$3,'KIDS&amp;ADULTS'!$N$3:$N$12006,"Đã đóng học phí")</f>
        <v>0</v>
      </c>
      <c r="W23" s="376">
        <f>COUNTIFS('KIDS&amp;ADULTS'!$V$3:$V$12006,U23,'KIDS&amp;ADULTS'!$B$3:$B12025,$W$3,'KIDS&amp;ADULTS'!$N$3:$N$12006,"Đã đóng học phí")</f>
        <v>0</v>
      </c>
      <c r="X23" s="376">
        <f>COUNTIFS('KIDS&amp;ADULTS'!$V$3:$V$12006,U23,'KIDS&amp;ADULTS'!$B$3:$B$12006,$X$3,'KIDS&amp;ADULTS'!$N$3:$N$12006,"Đã đóng học phí")</f>
        <v>0</v>
      </c>
      <c r="Y23" s="376">
        <f>COUNTIFS('KIDS&amp;ADULTS'!$V$3:$V$12006,U23,'KIDS&amp;ADULTS'!$B$3:$B$12006,$Y$3,'KIDS&amp;ADULTS'!$N$3:$N$12006,"Đã đóng học phí")</f>
        <v>0</v>
      </c>
      <c r="Z23" s="376">
        <f>COUNTIFS('KIDS&amp;ADULTS'!$V$3:$V$12006,U23,'KIDS&amp;ADULTS'!$B$3:$B$12006,$Z$3,'KIDS&amp;ADULTS'!$N$3:$N$12006,"Đã đóng học phí")</f>
        <v>0</v>
      </c>
      <c r="AA23" s="376">
        <f>COUNTIFS('KIDS&amp;ADULTS'!$V$3:$V$12006,U23,'KIDS&amp;ADULTS'!$B$3:$B$12006,$AA$3,'KIDS&amp;ADULTS'!$N$3:$N$12006,"Đã đóng học phí")</f>
        <v>0</v>
      </c>
      <c r="AB23" s="376">
        <f>COUNTIFS('KIDS&amp;ADULTS'!$V$3:$V$12006,U23,'KIDS&amp;ADULTS'!$B$3:$B$12006,$AB$3,'KIDS&amp;ADULTS'!$N$3:$N$12006,"Đã đóng học phí")</f>
        <v>0</v>
      </c>
      <c r="AC23" s="376">
        <f>COUNTIFS('KIDS&amp;ADULTS'!$V$3:$V$12006,U23,'KIDS&amp;ADULTS'!$B$3:$B$12006,$AC$3,'KIDS&amp;ADULTS'!$N$3:$N$12006,"Đã đóng học phí")</f>
        <v>0</v>
      </c>
    </row>
    <row r="24" ht="15.75" customHeight="1">
      <c r="A24" s="372">
        <v>45159.0</v>
      </c>
      <c r="B24" s="373">
        <f>sumifs('KIDS&amp;ADULTS'!$Z$3:$Z$1015,'KIDS&amp;ADULTS'!$V$3:$V$1015,A24,'KIDS&amp;ADULTS'!$M$3:$M$1015,$B$3)</f>
        <v>0</v>
      </c>
      <c r="C24" s="373">
        <f>sumifs('KIDS&amp;ADULTS'!$Z$3:$Z$1015,'KIDS&amp;ADULTS'!$V$3:$V$1015,A24,'KIDS&amp;ADULTS'!$M$3:$M$1015,"phương")</f>
        <v>0</v>
      </c>
      <c r="D24" s="373">
        <f>sumifs('KIDS&amp;ADULTS'!$Z$3:$Z$1015,'KIDS&amp;ADULTS'!$V$3:$V$1015,A24,'KIDS&amp;ADULTS'!$M$3:$M$1015,$D$3)</f>
        <v>0</v>
      </c>
      <c r="E24" s="373">
        <f>sumifs('KIDS&amp;ADULTS'!$Z$3:$Z$1015,'KIDS&amp;ADULTS'!$V$3:$V$1015,A24,'KIDS&amp;ADULTS'!$M$3:$M$1015,"Ánh")</f>
        <v>0</v>
      </c>
      <c r="F24" s="373">
        <f>sumifs('KIDS&amp;ADULTS'!$Z$3:$Z$1015,'KIDS&amp;ADULTS'!$V$3:$V$1015,A24,'KIDS&amp;ADULTS'!$M$3:$M$1015,"Loan")</f>
        <v>0</v>
      </c>
      <c r="G24" s="373">
        <f t="shared" si="1"/>
        <v>0</v>
      </c>
      <c r="J24" s="372">
        <f t="shared" si="3"/>
        <v>45159</v>
      </c>
      <c r="K24" s="374">
        <f>COUNTIFS('KIDS&amp;ADULTS'!$A$3:$A$12008,J24,'KIDS&amp;ADULTS'!$B$3:$B$12008,$K$3)</f>
        <v>0</v>
      </c>
      <c r="L24" s="374">
        <f>COUNTIFS('KIDS&amp;ADULTS'!$A$3:$A$12008,J24,'KIDS&amp;ADULTS'!$B$3:$B$12008,$L$3)</f>
        <v>0</v>
      </c>
      <c r="M24" s="374">
        <f>COUNTIFS('KIDS&amp;ADULTS'!$A$3:$A$12008,J24,'KIDS&amp;ADULTS'!$B$3:$B$12008,$M$3)</f>
        <v>0</v>
      </c>
      <c r="N24" s="375">
        <f>COUNTIFS('KIDS&amp;ADULTS'!$A$3:$A$12008,J24,'KIDS&amp;ADULTS'!$B$3:$B$12008,$N$3)</f>
        <v>0</v>
      </c>
      <c r="O24" s="375">
        <f>COUNTIFS('KIDS&amp;ADULTS'!$A$3:$A$12008,J24,'KIDS&amp;ADULTS'!$B$3:$B$12008,$O$3)</f>
        <v>0</v>
      </c>
      <c r="P24" s="375">
        <f>COUNTIFS('KIDS&amp;ADULTS'!$A$3:$A$12008,J24,'KIDS&amp;ADULTS'!$B$3:$B$12008,$P$3)</f>
        <v>0</v>
      </c>
      <c r="Q24" s="375">
        <f>COUNTIFS('KIDS&amp;ADULTS'!$A$3:$A$1008,J24,'KIDS&amp;ADULTS'!$B$3:$B$1008,$Q$3)</f>
        <v>0</v>
      </c>
      <c r="R24" s="374">
        <f>COUNTIFS('KIDS&amp;ADULTS'!$A$3:$A$12008,J24,'KIDS&amp;ADULTS'!$B$3:$B$12008,$R$3)</f>
        <v>0</v>
      </c>
      <c r="U24" s="372">
        <f t="shared" si="4"/>
        <v>45159</v>
      </c>
      <c r="V24" s="376">
        <f>COUNTIFS('KIDS&amp;ADULTS'!$V$3:$V$12006,U24,'KIDS&amp;ADULTS'!$B$3:$B$12006,$K$3,'KIDS&amp;ADULTS'!$N$3:$N$12006,"Đã đóng học phí")</f>
        <v>0</v>
      </c>
      <c r="W24" s="376">
        <f>COUNTIFS('KIDS&amp;ADULTS'!$V$3:$V$12006,U24,'KIDS&amp;ADULTS'!$B$3:$B12026,$W$3,'KIDS&amp;ADULTS'!$N$3:$N$12006,"Đã đóng học phí")</f>
        <v>0</v>
      </c>
      <c r="X24" s="376">
        <f>COUNTIFS('KIDS&amp;ADULTS'!$V$3:$V$12006,U24,'KIDS&amp;ADULTS'!$B$3:$B$12006,$X$3,'KIDS&amp;ADULTS'!$N$3:$N$12006,"Đã đóng học phí")</f>
        <v>0</v>
      </c>
      <c r="Y24" s="376">
        <f>COUNTIFS('KIDS&amp;ADULTS'!$V$3:$V$12006,U24,'KIDS&amp;ADULTS'!$B$3:$B$12006,$Y$3,'KIDS&amp;ADULTS'!$N$3:$N$12006,"Đã đóng học phí")</f>
        <v>0</v>
      </c>
      <c r="Z24" s="376">
        <f>COUNTIFS('KIDS&amp;ADULTS'!$V$3:$V$12006,U24,'KIDS&amp;ADULTS'!$B$3:$B$12006,$Z$3,'KIDS&amp;ADULTS'!$N$3:$N$12006,"Đã đóng học phí")</f>
        <v>0</v>
      </c>
      <c r="AA24" s="376">
        <f>COUNTIFS('KIDS&amp;ADULTS'!$V$3:$V$12006,U24,'KIDS&amp;ADULTS'!$B$3:$B$12006,$AA$3,'KIDS&amp;ADULTS'!$N$3:$N$12006,"Đã đóng học phí")</f>
        <v>0</v>
      </c>
      <c r="AB24" s="376">
        <f>COUNTIFS('KIDS&amp;ADULTS'!$V$3:$V$12006,U24,'KIDS&amp;ADULTS'!$B$3:$B$12006,$AB$3,'KIDS&amp;ADULTS'!$N$3:$N$12006,"Đã đóng học phí")</f>
        <v>0</v>
      </c>
      <c r="AC24" s="376">
        <f>COUNTIFS('KIDS&amp;ADULTS'!$V$3:$V$12006,U24,'KIDS&amp;ADULTS'!$B$3:$B$12006,$AC$3,'KIDS&amp;ADULTS'!$N$3:$N$12006,"Đã đóng học phí")</f>
        <v>0</v>
      </c>
    </row>
    <row r="25" ht="15.75" customHeight="1">
      <c r="A25" s="372">
        <v>45160.0</v>
      </c>
      <c r="B25" s="373">
        <f>sumifs('KIDS&amp;ADULTS'!$Z$3:$Z$1015,'KIDS&amp;ADULTS'!$V$3:$V$1015,A25,'KIDS&amp;ADULTS'!$M$3:$M$1015,$B$3)</f>
        <v>0</v>
      </c>
      <c r="C25" s="373">
        <f>sumifs('KIDS&amp;ADULTS'!$Z$3:$Z$1015,'KIDS&amp;ADULTS'!$V$3:$V$1015,A25,'KIDS&amp;ADULTS'!$M$3:$M$1015,"phương")</f>
        <v>0</v>
      </c>
      <c r="D25" s="373">
        <f>sumifs('KIDS&amp;ADULTS'!$Z$3:$Z$1015,'KIDS&amp;ADULTS'!$V$3:$V$1015,A25,'KIDS&amp;ADULTS'!$M$3:$M$1015,$D$3)</f>
        <v>0</v>
      </c>
      <c r="E25" s="373">
        <f>sumifs('KIDS&amp;ADULTS'!$Z$3:$Z$1015,'KIDS&amp;ADULTS'!$V$3:$V$1015,A25,'KIDS&amp;ADULTS'!$M$3:$M$1015,"Ánh")</f>
        <v>10455760</v>
      </c>
      <c r="F25" s="373">
        <f>sumifs('KIDS&amp;ADULTS'!$Z$3:$Z$1015,'KIDS&amp;ADULTS'!$V$3:$V$1015,A25,'KIDS&amp;ADULTS'!$M$3:$M$1015,"Loan")</f>
        <v>0</v>
      </c>
      <c r="G25" s="373">
        <f t="shared" si="1"/>
        <v>10455760</v>
      </c>
      <c r="J25" s="372">
        <f t="shared" si="3"/>
        <v>45160</v>
      </c>
      <c r="K25" s="374">
        <f>COUNTIFS('KIDS&amp;ADULTS'!$A$3:$A$12008,J25,'KIDS&amp;ADULTS'!$B$3:$B$12008,$K$3)</f>
        <v>0</v>
      </c>
      <c r="L25" s="374">
        <f>COUNTIFS('KIDS&amp;ADULTS'!$A$3:$A$12008,J25,'KIDS&amp;ADULTS'!$B$3:$B$12008,$L$3)</f>
        <v>0</v>
      </c>
      <c r="M25" s="374">
        <f>COUNTIFS('KIDS&amp;ADULTS'!$A$3:$A$12008,J25,'KIDS&amp;ADULTS'!$B$3:$B$12008,$M$3)</f>
        <v>1</v>
      </c>
      <c r="N25" s="375">
        <f>COUNTIFS('KIDS&amp;ADULTS'!$A$3:$A$12008,J25,'KIDS&amp;ADULTS'!$B$3:$B$12008,$N$3)</f>
        <v>0</v>
      </c>
      <c r="O25" s="375">
        <f>COUNTIFS('KIDS&amp;ADULTS'!$A$3:$A$12008,J25,'KIDS&amp;ADULTS'!$B$3:$B$12008,$O$3)</f>
        <v>0</v>
      </c>
      <c r="P25" s="375">
        <f>COUNTIFS('KIDS&amp;ADULTS'!$A$3:$A$12008,J25,'KIDS&amp;ADULTS'!$B$3:$B$12008,$P$3)</f>
        <v>0</v>
      </c>
      <c r="Q25" s="375">
        <f>COUNTIFS('KIDS&amp;ADULTS'!$A$3:$A$1008,J25,'KIDS&amp;ADULTS'!$B$3:$B$1008,$Q$3)</f>
        <v>0</v>
      </c>
      <c r="R25" s="374">
        <f>COUNTIFS('KIDS&amp;ADULTS'!$A$3:$A$12008,J25,'KIDS&amp;ADULTS'!$B$3:$B$12008,$R$3)</f>
        <v>0</v>
      </c>
      <c r="U25" s="372">
        <f t="shared" si="4"/>
        <v>45160</v>
      </c>
      <c r="V25" s="376">
        <f>COUNTIFS('KIDS&amp;ADULTS'!$V$3:$V$12006,U25,'KIDS&amp;ADULTS'!$B$3:$B$12006,$K$3,'KIDS&amp;ADULTS'!$N$3:$N$12006,"Đã đóng học phí")</f>
        <v>0</v>
      </c>
      <c r="W25" s="376">
        <f>COUNTIFS('KIDS&amp;ADULTS'!$V$3:$V$12006,U25,'KIDS&amp;ADULTS'!$B$3:$B12027,$W$3,'KIDS&amp;ADULTS'!$N$3:$N$12006,"Đã đóng học phí")</f>
        <v>0</v>
      </c>
      <c r="X25" s="376">
        <f>COUNTIFS('KIDS&amp;ADULTS'!$V$3:$V$12006,U25,'KIDS&amp;ADULTS'!$B$3:$B$12006,$X$3,'KIDS&amp;ADULTS'!$N$3:$N$12006,"Đã đóng học phí")</f>
        <v>0</v>
      </c>
      <c r="Y25" s="376">
        <f>COUNTIFS('KIDS&amp;ADULTS'!$V$3:$V$12006,U25,'KIDS&amp;ADULTS'!$B$3:$B$12006,$Y$3,'KIDS&amp;ADULTS'!$N$3:$N$12006,"Đã đóng học phí")</f>
        <v>2</v>
      </c>
      <c r="Z25" s="376">
        <f>COUNTIFS('KIDS&amp;ADULTS'!$V$3:$V$12006,U25,'KIDS&amp;ADULTS'!$B$3:$B$12006,$Z$3,'KIDS&amp;ADULTS'!$N$3:$N$12006,"Đã đóng học phí")</f>
        <v>0</v>
      </c>
      <c r="AA25" s="376">
        <f>COUNTIFS('KIDS&amp;ADULTS'!$V$3:$V$12006,U25,'KIDS&amp;ADULTS'!$B$3:$B$12006,$AA$3,'KIDS&amp;ADULTS'!$N$3:$N$12006,"Đã đóng học phí")</f>
        <v>0</v>
      </c>
      <c r="AB25" s="376">
        <f>COUNTIFS('KIDS&amp;ADULTS'!$V$3:$V$12006,U25,'KIDS&amp;ADULTS'!$B$3:$B$12006,$AB$3,'KIDS&amp;ADULTS'!$N$3:$N$12006,"Đã đóng học phí")</f>
        <v>0</v>
      </c>
      <c r="AC25" s="376">
        <f>COUNTIFS('KIDS&amp;ADULTS'!$V$3:$V$12006,U25,'KIDS&amp;ADULTS'!$B$3:$B$12006,$AC$3,'KIDS&amp;ADULTS'!$N$3:$N$12006,"Đã đóng học phí")</f>
        <v>0</v>
      </c>
    </row>
    <row r="26" ht="15.75" customHeight="1">
      <c r="A26" s="372">
        <v>45161.0</v>
      </c>
      <c r="B26" s="373">
        <f>sumifs('KIDS&amp;ADULTS'!$Z$3:$Z$1015,'KIDS&amp;ADULTS'!$V$3:$V$1015,A26,'KIDS&amp;ADULTS'!$M$3:$M$1015,$B$3)</f>
        <v>0</v>
      </c>
      <c r="C26" s="373">
        <f>sumifs('KIDS&amp;ADULTS'!$Z$3:$Z$1015,'KIDS&amp;ADULTS'!$V$3:$V$1015,A26,'KIDS&amp;ADULTS'!$M$3:$M$1015,"phương")</f>
        <v>0</v>
      </c>
      <c r="D26" s="373">
        <f>sumifs('KIDS&amp;ADULTS'!$Z$3:$Z$1015,'KIDS&amp;ADULTS'!$V$3:$V$1015,A26,'KIDS&amp;ADULTS'!$M$3:$M$1015,$D$3)</f>
        <v>0</v>
      </c>
      <c r="E26" s="373">
        <f>sumifs('KIDS&amp;ADULTS'!$Z$3:$Z$1015,'KIDS&amp;ADULTS'!$V$3:$V$1015,A26,'KIDS&amp;ADULTS'!$M$3:$M$1015,"Ánh")</f>
        <v>10839480</v>
      </c>
      <c r="F26" s="373">
        <f>sumifs('KIDS&amp;ADULTS'!$Z$3:$Z$1015,'KIDS&amp;ADULTS'!$V$3:$V$1015,A26,'KIDS&amp;ADULTS'!$M$3:$M$1015,"Loan")</f>
        <v>0</v>
      </c>
      <c r="G26" s="373">
        <f t="shared" si="1"/>
        <v>10839480</v>
      </c>
      <c r="J26" s="372">
        <f t="shared" si="3"/>
        <v>45161</v>
      </c>
      <c r="K26" s="374">
        <f>COUNTIFS('KIDS&amp;ADULTS'!$A$3:$A$12008,J26,'KIDS&amp;ADULTS'!$B$3:$B$12008,$K$3)</f>
        <v>0</v>
      </c>
      <c r="L26" s="374">
        <f>COUNTIFS('KIDS&amp;ADULTS'!$A$3:$A$12008,J26,'KIDS&amp;ADULTS'!$B$3:$B$12008,$L$3)</f>
        <v>0</v>
      </c>
      <c r="M26" s="374">
        <f>COUNTIFS('KIDS&amp;ADULTS'!$A$3:$A$12008,J26,'KIDS&amp;ADULTS'!$B$3:$B$12008,$M$3)</f>
        <v>0</v>
      </c>
      <c r="N26" s="375">
        <f>COUNTIFS('KIDS&amp;ADULTS'!$A$3:$A$12008,J26,'KIDS&amp;ADULTS'!$B$3:$B$12008,$N$3)</f>
        <v>0</v>
      </c>
      <c r="O26" s="375">
        <f>COUNTIFS('KIDS&amp;ADULTS'!$A$3:$A$12008,J26,'KIDS&amp;ADULTS'!$B$3:$B$12008,$O$3)</f>
        <v>0</v>
      </c>
      <c r="P26" s="375">
        <f>COUNTIFS('KIDS&amp;ADULTS'!$A$3:$A$12008,J26,'KIDS&amp;ADULTS'!$B$3:$B$12008,$P$3)</f>
        <v>0</v>
      </c>
      <c r="Q26" s="375">
        <f>COUNTIFS('KIDS&amp;ADULTS'!$A$3:$A$1008,J26,'KIDS&amp;ADULTS'!$B$3:$B$1008,$Q$3)</f>
        <v>2</v>
      </c>
      <c r="R26" s="374">
        <f>COUNTIFS('KIDS&amp;ADULTS'!$A$3:$A$12008,J26,'KIDS&amp;ADULTS'!$B$3:$B$12008,$R$3)</f>
        <v>0</v>
      </c>
      <c r="U26" s="372">
        <f t="shared" si="4"/>
        <v>45161</v>
      </c>
      <c r="V26" s="376">
        <f>COUNTIFS('KIDS&amp;ADULTS'!$V$3:$V$12006,U26,'KIDS&amp;ADULTS'!$B$3:$B$12006,$K$3,'KIDS&amp;ADULTS'!$N$3:$N$12006,"Đã đóng học phí")</f>
        <v>0</v>
      </c>
      <c r="W26" s="376">
        <f>COUNTIFS('KIDS&amp;ADULTS'!$V$3:$V$12006,U26,'KIDS&amp;ADULTS'!$B$3:$B12028,$W$3,'KIDS&amp;ADULTS'!$N$3:$N$12006,"Đã đóng học phí")</f>
        <v>0</v>
      </c>
      <c r="X26" s="376">
        <f>COUNTIFS('KIDS&amp;ADULTS'!$V$3:$V$12006,U26,'KIDS&amp;ADULTS'!$B$3:$B$12006,$X$3,'KIDS&amp;ADULTS'!$N$3:$N$12006,"Đã đóng học phí")</f>
        <v>0</v>
      </c>
      <c r="Y26" s="376">
        <f>COUNTIFS('KIDS&amp;ADULTS'!$V$3:$V$12006,U26,'KIDS&amp;ADULTS'!$B$3:$B$12006,$Y$3,'KIDS&amp;ADULTS'!$N$3:$N$12006,"Đã đóng học phí")</f>
        <v>0</v>
      </c>
      <c r="Z26" s="376">
        <f>COUNTIFS('KIDS&amp;ADULTS'!$V$3:$V$12006,U26,'KIDS&amp;ADULTS'!$B$3:$B$12006,$Z$3,'KIDS&amp;ADULTS'!$N$3:$N$12006,"Đã đóng học phí")</f>
        <v>1</v>
      </c>
      <c r="AA26" s="376">
        <f>COUNTIFS('KIDS&amp;ADULTS'!$V$3:$V$12006,U26,'KIDS&amp;ADULTS'!$B$3:$B$12006,$AA$3,'KIDS&amp;ADULTS'!$N$3:$N$12006,"Đã đóng học phí")</f>
        <v>0</v>
      </c>
      <c r="AB26" s="376">
        <f>COUNTIFS('KIDS&amp;ADULTS'!$V$3:$V$12006,U26,'KIDS&amp;ADULTS'!$B$3:$B$12006,$AB$3,'KIDS&amp;ADULTS'!$N$3:$N$12006,"Đã đóng học phí")</f>
        <v>0</v>
      </c>
      <c r="AC26" s="376">
        <f>COUNTIFS('KIDS&amp;ADULTS'!$V$3:$V$12006,U26,'KIDS&amp;ADULTS'!$B$3:$B$12006,$AC$3,'KIDS&amp;ADULTS'!$N$3:$N$12006,"Đã đóng học phí")</f>
        <v>0</v>
      </c>
    </row>
    <row r="27" ht="15.75" customHeight="1">
      <c r="A27" s="372">
        <v>45162.0</v>
      </c>
      <c r="B27" s="373">
        <f>sumifs('KIDS&amp;ADULTS'!$Z$3:$Z$1015,'KIDS&amp;ADULTS'!$V$3:$V$1015,A27,'KIDS&amp;ADULTS'!$M$3:$M$1015,$B$3)</f>
        <v>0</v>
      </c>
      <c r="C27" s="373">
        <f>sumifs('KIDS&amp;ADULTS'!$Z$3:$Z$1015,'KIDS&amp;ADULTS'!$V$3:$V$1015,A27,'KIDS&amp;ADULTS'!$M$3:$M$1015,"phương")</f>
        <v>0</v>
      </c>
      <c r="D27" s="373">
        <f>sumifs('KIDS&amp;ADULTS'!$Z$3:$Z$1015,'KIDS&amp;ADULTS'!$V$3:$V$1015,A27,'KIDS&amp;ADULTS'!$M$3:$M$1015,$D$3)</f>
        <v>0</v>
      </c>
      <c r="E27" s="373">
        <f>sumifs('KIDS&amp;ADULTS'!$Z$3:$Z$1015,'KIDS&amp;ADULTS'!$V$3:$V$1015,A27,'KIDS&amp;ADULTS'!$M$3:$M$1015,"Ánh")</f>
        <v>5327880</v>
      </c>
      <c r="F27" s="373">
        <f>sumifs('KIDS&amp;ADULTS'!$Z$3:$Z$1015,'KIDS&amp;ADULTS'!$V$3:$V$1015,A27,'KIDS&amp;ADULTS'!$M$3:$M$1015,"Loan")</f>
        <v>0</v>
      </c>
      <c r="G27" s="373">
        <f t="shared" si="1"/>
        <v>5327880</v>
      </c>
      <c r="J27" s="372">
        <f t="shared" si="3"/>
        <v>45162</v>
      </c>
      <c r="K27" s="374">
        <f>COUNTIFS('KIDS&amp;ADULTS'!$A$3:$A$12008,J27,'KIDS&amp;ADULTS'!$B$3:$B$12008,$K$3)</f>
        <v>0</v>
      </c>
      <c r="L27" s="374">
        <f>COUNTIFS('KIDS&amp;ADULTS'!$A$3:$A$12008,J27,'KIDS&amp;ADULTS'!$B$3:$B$12008,$L$3)</f>
        <v>0</v>
      </c>
      <c r="M27" s="374">
        <f>COUNTIFS('KIDS&amp;ADULTS'!$A$3:$A$12008,J27,'KIDS&amp;ADULTS'!$B$3:$B$12008,$M$3)</f>
        <v>0</v>
      </c>
      <c r="N27" s="375">
        <f>COUNTIFS('KIDS&amp;ADULTS'!$A$3:$A$12008,J27,'KIDS&amp;ADULTS'!$B$3:$B$12008,$N$3)</f>
        <v>1</v>
      </c>
      <c r="O27" s="375">
        <f>COUNTIFS('KIDS&amp;ADULTS'!$A$3:$A$12008,J27,'KIDS&amp;ADULTS'!$B$3:$B$12008,$O$3)</f>
        <v>0</v>
      </c>
      <c r="P27" s="375">
        <f>COUNTIFS('KIDS&amp;ADULTS'!$A$3:$A$12008,J27,'KIDS&amp;ADULTS'!$B$3:$B$12008,$P$3)</f>
        <v>0</v>
      </c>
      <c r="Q27" s="375">
        <f>COUNTIFS('KIDS&amp;ADULTS'!$A$3:$A$1008,J27,'KIDS&amp;ADULTS'!$B$3:$B$1008,$Q$3)</f>
        <v>0</v>
      </c>
      <c r="R27" s="374">
        <f>COUNTIFS('KIDS&amp;ADULTS'!$A$3:$A$12008,J27,'KIDS&amp;ADULTS'!$B$3:$B$12008,$R$3)</f>
        <v>0</v>
      </c>
      <c r="U27" s="372">
        <f t="shared" si="4"/>
        <v>45162</v>
      </c>
      <c r="V27" s="376">
        <f>COUNTIFS('KIDS&amp;ADULTS'!$V$3:$V$12006,U27,'KIDS&amp;ADULTS'!$B$3:$B$12006,$K$3,'KIDS&amp;ADULTS'!$N$3:$N$12006,"Đã đóng học phí")</f>
        <v>0</v>
      </c>
      <c r="W27" s="376">
        <f>COUNTIFS('KIDS&amp;ADULTS'!$V$3:$V$12006,U27,'KIDS&amp;ADULTS'!$B$3:$B12029,$W$3,'KIDS&amp;ADULTS'!$N$3:$N$12006,"Đã đóng học phí")</f>
        <v>0</v>
      </c>
      <c r="X27" s="376">
        <f>COUNTIFS('KIDS&amp;ADULTS'!$V$3:$V$12006,U27,'KIDS&amp;ADULTS'!$B$3:$B$12006,$X$3,'KIDS&amp;ADULTS'!$N$3:$N$12006,"Đã đóng học phí")</f>
        <v>0</v>
      </c>
      <c r="Y27" s="376">
        <f>COUNTIFS('KIDS&amp;ADULTS'!$V$3:$V$12006,U27,'KIDS&amp;ADULTS'!$B$3:$B$12006,$Y$3,'KIDS&amp;ADULTS'!$N$3:$N$12006,"Đã đóng học phí")</f>
        <v>0</v>
      </c>
      <c r="Z27" s="376">
        <f>COUNTIFS('KIDS&amp;ADULTS'!$V$3:$V$12006,U27,'KIDS&amp;ADULTS'!$B$3:$B$12006,$Z$3,'KIDS&amp;ADULTS'!$N$3:$N$12006,"Đã đóng học phí")</f>
        <v>0</v>
      </c>
      <c r="AA27" s="376">
        <f>COUNTIFS('KIDS&amp;ADULTS'!$V$3:$V$12006,U27,'KIDS&amp;ADULTS'!$B$3:$B$12006,$AA$3,'KIDS&amp;ADULTS'!$N$3:$N$12006,"Đã đóng học phí")</f>
        <v>0</v>
      </c>
      <c r="AB27" s="376">
        <f>COUNTIFS('KIDS&amp;ADULTS'!$V$3:$V$12006,U27,'KIDS&amp;ADULTS'!$B$3:$B$12006,$AB$3,'KIDS&amp;ADULTS'!$N$3:$N$12006,"Đã đóng học phí")</f>
        <v>0</v>
      </c>
      <c r="AC27" s="376">
        <f>COUNTIFS('KIDS&amp;ADULTS'!$V$3:$V$12006,U27,'KIDS&amp;ADULTS'!$B$3:$B$12006,$AC$3,'KIDS&amp;ADULTS'!$N$3:$N$12006,"Đã đóng học phí")</f>
        <v>0</v>
      </c>
    </row>
    <row r="28" ht="15.75" customHeight="1">
      <c r="A28" s="372">
        <v>45163.0</v>
      </c>
      <c r="B28" s="373">
        <f>sumifs('KIDS&amp;ADULTS'!$Z$3:$Z$1015,'KIDS&amp;ADULTS'!$V$3:$V$1015,A28,'KIDS&amp;ADULTS'!$M$3:$M$1015,$B$3)</f>
        <v>0</v>
      </c>
      <c r="C28" s="373">
        <f>sumifs('KIDS&amp;ADULTS'!$Z$3:$Z$1015,'KIDS&amp;ADULTS'!$V$3:$V$1015,A28,'KIDS&amp;ADULTS'!$M$3:$M$1015,"phương")</f>
        <v>0</v>
      </c>
      <c r="D28" s="373">
        <f>sumifs('KIDS&amp;ADULTS'!$Z$3:$Z$1015,'KIDS&amp;ADULTS'!$V$3:$V$1015,A28,'KIDS&amp;ADULTS'!$M$3:$M$1015,$D$3)</f>
        <v>0</v>
      </c>
      <c r="E28" s="373">
        <f>sumifs('KIDS&amp;ADULTS'!$Z$3:$Z$1015,'KIDS&amp;ADULTS'!$V$3:$V$1015,A28,'KIDS&amp;ADULTS'!$M$3:$M$1015,"Ánh")</f>
        <v>0</v>
      </c>
      <c r="F28" s="373">
        <f>sumifs('KIDS&amp;ADULTS'!$Z$3:$Z$1015,'KIDS&amp;ADULTS'!$V$3:$V$1015,A28,'KIDS&amp;ADULTS'!$M$3:$M$1015,"Loan")</f>
        <v>0</v>
      </c>
      <c r="G28" s="373">
        <f t="shared" si="1"/>
        <v>0</v>
      </c>
      <c r="J28" s="372">
        <f t="shared" si="3"/>
        <v>45163</v>
      </c>
      <c r="K28" s="374">
        <f>COUNTIFS('KIDS&amp;ADULTS'!$A$3:$A$12008,J28,'KIDS&amp;ADULTS'!$B$3:$B$12008,$K$3)</f>
        <v>0</v>
      </c>
      <c r="L28" s="374">
        <f>COUNTIFS('KIDS&amp;ADULTS'!$A$3:$A$12008,J28,'KIDS&amp;ADULTS'!$B$3:$B$12008,$L$3)</f>
        <v>0</v>
      </c>
      <c r="M28" s="374">
        <f>COUNTIFS('KIDS&amp;ADULTS'!$A$3:$A$12008,J28,'KIDS&amp;ADULTS'!$B$3:$B$12008,$M$3)</f>
        <v>1</v>
      </c>
      <c r="N28" s="375">
        <f>COUNTIFS('KIDS&amp;ADULTS'!$A$3:$A$12008,J28,'KIDS&amp;ADULTS'!$B$3:$B$12008,$N$3)</f>
        <v>1</v>
      </c>
      <c r="O28" s="375">
        <f>COUNTIFS('KIDS&amp;ADULTS'!$A$3:$A$12008,J28,'KIDS&amp;ADULTS'!$B$3:$B$12008,$O$3)</f>
        <v>0</v>
      </c>
      <c r="P28" s="375">
        <f>COUNTIFS('KIDS&amp;ADULTS'!$A$3:$A$12008,J28,'KIDS&amp;ADULTS'!$B$3:$B$12008,$P$3)</f>
        <v>0</v>
      </c>
      <c r="Q28" s="375">
        <f>COUNTIFS('KIDS&amp;ADULTS'!$A$3:$A$1008,J28,'KIDS&amp;ADULTS'!$B$3:$B$1008,$Q$3)</f>
        <v>0</v>
      </c>
      <c r="R28" s="374">
        <f>COUNTIFS('KIDS&amp;ADULTS'!$A$3:$A$12008,J28,'KIDS&amp;ADULTS'!$B$3:$B$12008,$R$3)</f>
        <v>0</v>
      </c>
      <c r="U28" s="372">
        <f t="shared" si="4"/>
        <v>45163</v>
      </c>
      <c r="V28" s="376">
        <f>COUNTIFS('KIDS&amp;ADULTS'!$V$3:$V$12006,U28,'KIDS&amp;ADULTS'!$B$3:$B$12006,$K$3,'KIDS&amp;ADULTS'!$N$3:$N$12006,"Đã đóng học phí")</f>
        <v>0</v>
      </c>
      <c r="W28" s="376">
        <f>COUNTIFS('KIDS&amp;ADULTS'!$V$3:$V$12006,U28,'KIDS&amp;ADULTS'!$B$3:$B12030,$W$3,'KIDS&amp;ADULTS'!$N$3:$N$12006,"Đã đóng học phí")</f>
        <v>0</v>
      </c>
      <c r="X28" s="376">
        <f>COUNTIFS('KIDS&amp;ADULTS'!$V$3:$V$12006,U28,'KIDS&amp;ADULTS'!$B$3:$B$12006,$X$3,'KIDS&amp;ADULTS'!$N$3:$N$12006,"Đã đóng học phí")</f>
        <v>0</v>
      </c>
      <c r="Y28" s="376">
        <f>COUNTIFS('KIDS&amp;ADULTS'!$V$3:$V$12006,U28,'KIDS&amp;ADULTS'!$B$3:$B$12006,$Y$3,'KIDS&amp;ADULTS'!$N$3:$N$12006,"Đã đóng học phí")</f>
        <v>0</v>
      </c>
      <c r="Z28" s="376">
        <f>COUNTIFS('KIDS&amp;ADULTS'!$V$3:$V$12006,U28,'KIDS&amp;ADULTS'!$B$3:$B$12006,$Z$3,'KIDS&amp;ADULTS'!$N$3:$N$12006,"Đã đóng học phí")</f>
        <v>0</v>
      </c>
      <c r="AA28" s="376">
        <f>COUNTIFS('KIDS&amp;ADULTS'!$V$3:$V$12006,U28,'KIDS&amp;ADULTS'!$B$3:$B$12006,$AA$3,'KIDS&amp;ADULTS'!$N$3:$N$12006,"Đã đóng học phí")</f>
        <v>0</v>
      </c>
      <c r="AB28" s="376">
        <f>COUNTIFS('KIDS&amp;ADULTS'!$V$3:$V$12006,U28,'KIDS&amp;ADULTS'!$B$3:$B$12006,$AB$3,'KIDS&amp;ADULTS'!$N$3:$N$12006,"Đã đóng học phí")</f>
        <v>0</v>
      </c>
      <c r="AC28" s="376">
        <f>COUNTIFS('KIDS&amp;ADULTS'!$V$3:$V$12006,U28,'KIDS&amp;ADULTS'!$B$3:$B$12006,$AC$3,'KIDS&amp;ADULTS'!$N$3:$N$12006,"Đã đóng học phí")</f>
        <v>0</v>
      </c>
    </row>
    <row r="29" ht="15.75" customHeight="1">
      <c r="A29" s="372">
        <v>45164.0</v>
      </c>
      <c r="B29" s="373">
        <f>sumifs('KIDS&amp;ADULTS'!$Z$3:$Z$1015,'KIDS&amp;ADULTS'!$V$3:$V$1015,A29,'KIDS&amp;ADULTS'!$M$3:$M$1015,$B$3)</f>
        <v>0</v>
      </c>
      <c r="C29" s="373">
        <f>sumifs('KIDS&amp;ADULTS'!$Z$3:$Z$1015,'KIDS&amp;ADULTS'!$V$3:$V$1015,A29,'KIDS&amp;ADULTS'!$M$3:$M$1015,"phương")</f>
        <v>0</v>
      </c>
      <c r="D29" s="373">
        <f>sumifs('KIDS&amp;ADULTS'!$Z$3:$Z$1015,'KIDS&amp;ADULTS'!$V$3:$V$1015,A29,'KIDS&amp;ADULTS'!$M$3:$M$1015,$D$3)</f>
        <v>0</v>
      </c>
      <c r="E29" s="373">
        <f>sumifs('KIDS&amp;ADULTS'!$Z$3:$Z$1015,'KIDS&amp;ADULTS'!$V$3:$V$1015,A29,'KIDS&amp;ADULTS'!$M$3:$M$1015,"Ánh")</f>
        <v>3188000</v>
      </c>
      <c r="F29" s="373">
        <f>sumifs('KIDS&amp;ADULTS'!$Z$3:$Z$1015,'KIDS&amp;ADULTS'!$V$3:$V$1015,A29,'KIDS&amp;ADULTS'!$M$3:$M$1015,"Loan")</f>
        <v>0</v>
      </c>
      <c r="G29" s="373">
        <f t="shared" si="1"/>
        <v>3188000</v>
      </c>
      <c r="J29" s="372">
        <f t="shared" si="3"/>
        <v>45164</v>
      </c>
      <c r="K29" s="374">
        <f>COUNTIFS('KIDS&amp;ADULTS'!$A$3:$A$12008,J29,'KIDS&amp;ADULTS'!$B$3:$B$12008,$K$3)</f>
        <v>0</v>
      </c>
      <c r="L29" s="374">
        <f>COUNTIFS('KIDS&amp;ADULTS'!$A$3:$A$12008,J29,'KIDS&amp;ADULTS'!$B$3:$B$12008,$L$3)</f>
        <v>0</v>
      </c>
      <c r="M29" s="374">
        <f>COUNTIFS('KIDS&amp;ADULTS'!$A$3:$A$12008,J29,'KIDS&amp;ADULTS'!$B$3:$B$12008,$M$3)</f>
        <v>0</v>
      </c>
      <c r="N29" s="375">
        <f>COUNTIFS('KIDS&amp;ADULTS'!$A$3:$A$12008,J29,'KIDS&amp;ADULTS'!$B$3:$B$12008,$N$3)</f>
        <v>0</v>
      </c>
      <c r="O29" s="375">
        <f>COUNTIFS('KIDS&amp;ADULTS'!$A$3:$A$12008,J29,'KIDS&amp;ADULTS'!$B$3:$B$12008,$O$3)</f>
        <v>0</v>
      </c>
      <c r="P29" s="375">
        <f>COUNTIFS('KIDS&amp;ADULTS'!$A$3:$A$12008,J29,'KIDS&amp;ADULTS'!$B$3:$B$12008,$P$3)</f>
        <v>0</v>
      </c>
      <c r="Q29" s="375">
        <f>COUNTIFS('KIDS&amp;ADULTS'!$A$3:$A$1008,J29,'KIDS&amp;ADULTS'!$B$3:$B$1008,$Q$3)</f>
        <v>0</v>
      </c>
      <c r="R29" s="374">
        <f>COUNTIFS('KIDS&amp;ADULTS'!$A$3:$A$12008,J29,'KIDS&amp;ADULTS'!$B$3:$B$12008,$R$3)</f>
        <v>0</v>
      </c>
      <c r="U29" s="372">
        <f t="shared" si="4"/>
        <v>45164</v>
      </c>
      <c r="V29" s="376">
        <f>COUNTIFS('KIDS&amp;ADULTS'!$V$3:$V$12006,U29,'KIDS&amp;ADULTS'!$B$3:$B$12006,$K$3,'KIDS&amp;ADULTS'!$N$3:$N$12006,"Đã đóng học phí")</f>
        <v>0</v>
      </c>
      <c r="W29" s="376">
        <f>COUNTIFS('KIDS&amp;ADULTS'!$V$3:$V$12006,U29,'KIDS&amp;ADULTS'!$B$3:$B12031,$W$3,'KIDS&amp;ADULTS'!$N$3:$N$12006,"Đã đóng học phí")</f>
        <v>0</v>
      </c>
      <c r="X29" s="376">
        <f>COUNTIFS('KIDS&amp;ADULTS'!$V$3:$V$12006,U29,'KIDS&amp;ADULTS'!$B$3:$B$12006,$X$3,'KIDS&amp;ADULTS'!$N$3:$N$12006,"Đã đóng học phí")</f>
        <v>0</v>
      </c>
      <c r="Y29" s="376">
        <f>COUNTIFS('KIDS&amp;ADULTS'!$V$3:$V$12006,U29,'KIDS&amp;ADULTS'!$B$3:$B$12006,$Y$3,'KIDS&amp;ADULTS'!$N$3:$N$12006,"Đã đóng học phí")</f>
        <v>1</v>
      </c>
      <c r="Z29" s="376">
        <f>COUNTIFS('KIDS&amp;ADULTS'!$V$3:$V$12006,U29,'KIDS&amp;ADULTS'!$B$3:$B$12006,$Z$3,'KIDS&amp;ADULTS'!$N$3:$N$12006,"Đã đóng học phí")</f>
        <v>0</v>
      </c>
      <c r="AA29" s="376">
        <f>COUNTIFS('KIDS&amp;ADULTS'!$V$3:$V$12006,U29,'KIDS&amp;ADULTS'!$B$3:$B$12006,$AA$3,'KIDS&amp;ADULTS'!$N$3:$N$12006,"Đã đóng học phí")</f>
        <v>0</v>
      </c>
      <c r="AB29" s="376">
        <f>COUNTIFS('KIDS&amp;ADULTS'!$V$3:$V$12006,U29,'KIDS&amp;ADULTS'!$B$3:$B$12006,$AB$3,'KIDS&amp;ADULTS'!$N$3:$N$12006,"Đã đóng học phí")</f>
        <v>0</v>
      </c>
      <c r="AC29" s="376">
        <f>COUNTIFS('KIDS&amp;ADULTS'!$V$3:$V$12006,U29,'KIDS&amp;ADULTS'!$B$3:$B$12006,$AC$3,'KIDS&amp;ADULTS'!$N$3:$N$12006,"Đã đóng học phí")</f>
        <v>0</v>
      </c>
    </row>
    <row r="30" ht="15.75" customHeight="1">
      <c r="A30" s="372">
        <v>45165.0</v>
      </c>
      <c r="B30" s="373">
        <f>sumifs('KIDS&amp;ADULTS'!$Z$3:$Z$1015,'KIDS&amp;ADULTS'!$V$3:$V$1015,A30,'KIDS&amp;ADULTS'!$M$3:$M$1015,$B$3)</f>
        <v>2755800</v>
      </c>
      <c r="C30" s="373">
        <f>sumifs('KIDS&amp;ADULTS'!$Z$3:$Z$1015,'KIDS&amp;ADULTS'!$V$3:$V$1015,A30,'KIDS&amp;ADULTS'!$M$3:$M$1015,"phương")</f>
        <v>0</v>
      </c>
      <c r="D30" s="373">
        <f>sumifs('KIDS&amp;ADULTS'!$Z$3:$Z$1015,'KIDS&amp;ADULTS'!$V$3:$V$1015,A30,'KIDS&amp;ADULTS'!$M$3:$M$1015,$D$3)</f>
        <v>0</v>
      </c>
      <c r="E30" s="373">
        <f>sumifs('KIDS&amp;ADULTS'!$Z$3:$Z$1015,'KIDS&amp;ADULTS'!$V$3:$V$1015,A30,'KIDS&amp;ADULTS'!$M$3:$M$1015,"Ánh")</f>
        <v>5511600</v>
      </c>
      <c r="F30" s="373">
        <f>sumifs('KIDS&amp;ADULTS'!$Z$3:$Z$1015,'KIDS&amp;ADULTS'!$V$3:$V$1015,A30,'KIDS&amp;ADULTS'!$M$3:$M$1015,"Loan")</f>
        <v>0</v>
      </c>
      <c r="G30" s="373">
        <f t="shared" si="1"/>
        <v>8267400</v>
      </c>
      <c r="J30" s="372">
        <f t="shared" si="3"/>
        <v>45165</v>
      </c>
      <c r="K30" s="374">
        <f>COUNTIFS('KIDS&amp;ADULTS'!$A$3:$A$12008,J30,'KIDS&amp;ADULTS'!$B$3:$B$12008,$K$3)</f>
        <v>0</v>
      </c>
      <c r="L30" s="374">
        <f>COUNTIFS('KIDS&amp;ADULTS'!$A$3:$A$12008,J30,'KIDS&amp;ADULTS'!$B$3:$B$12008,$L$3)</f>
        <v>0</v>
      </c>
      <c r="M30" s="374">
        <f>COUNTIFS('KIDS&amp;ADULTS'!$A$3:$A$12008,J30,'KIDS&amp;ADULTS'!$B$3:$B$12008,$M$3)</f>
        <v>0</v>
      </c>
      <c r="N30" s="375">
        <f>COUNTIFS('KIDS&amp;ADULTS'!$A$3:$A$12008,J30,'KIDS&amp;ADULTS'!$B$3:$B$12008,$N$3)</f>
        <v>0</v>
      </c>
      <c r="O30" s="375">
        <f>COUNTIFS('KIDS&amp;ADULTS'!$A$3:$A$12008,J30,'KIDS&amp;ADULTS'!$B$3:$B$12008,$O$3)</f>
        <v>0</v>
      </c>
      <c r="P30" s="375">
        <f>COUNTIFS('KIDS&amp;ADULTS'!$A$3:$A$12008,J30,'KIDS&amp;ADULTS'!$B$3:$B$12008,$P$3)</f>
        <v>0</v>
      </c>
      <c r="Q30" s="375">
        <f>COUNTIFS('KIDS&amp;ADULTS'!$A$3:$A$1008,J30,'KIDS&amp;ADULTS'!$B$3:$B$1008,$Q$3)</f>
        <v>0</v>
      </c>
      <c r="R30" s="374">
        <f>COUNTIFS('KIDS&amp;ADULTS'!$A$3:$A$12008,J30,'KIDS&amp;ADULTS'!$B$3:$B$12008,$R$3)</f>
        <v>0</v>
      </c>
      <c r="U30" s="372">
        <f t="shared" si="4"/>
        <v>45165</v>
      </c>
      <c r="V30" s="376">
        <f>COUNTIFS('KIDS&amp;ADULTS'!$V$3:$V$12006,U30,'KIDS&amp;ADULTS'!$B$3:$B$12006,$K$3,'KIDS&amp;ADULTS'!$N$3:$N$12006,"Đã đóng học phí")</f>
        <v>0</v>
      </c>
      <c r="W30" s="376">
        <f>COUNTIFS('KIDS&amp;ADULTS'!$V$3:$V$12006,U30,'KIDS&amp;ADULTS'!$B$3:$B12032,$W$3,'KIDS&amp;ADULTS'!$N$3:$N$12006,"Đã đóng học phí")</f>
        <v>0</v>
      </c>
      <c r="X30" s="376">
        <f>COUNTIFS('KIDS&amp;ADULTS'!$V$3:$V$12006,U30,'KIDS&amp;ADULTS'!$B$3:$B$12006,$X$3,'KIDS&amp;ADULTS'!$N$3:$N$12006,"Đã đóng học phí")</f>
        <v>0</v>
      </c>
      <c r="Y30" s="376">
        <f>COUNTIFS('KIDS&amp;ADULTS'!$V$3:$V$12006,U30,'KIDS&amp;ADULTS'!$B$3:$B$12006,$Y$3,'KIDS&amp;ADULTS'!$N$3:$N$12006,"Đã đóng học phí")</f>
        <v>1</v>
      </c>
      <c r="Z30" s="376">
        <f>COUNTIFS('KIDS&amp;ADULTS'!$V$3:$V$12006,U30,'KIDS&amp;ADULTS'!$B$3:$B$12006,$Z$3,'KIDS&amp;ADULTS'!$N$3:$N$12006,"Đã đóng học phí")</f>
        <v>1</v>
      </c>
      <c r="AA30" s="376">
        <f>COUNTIFS('KIDS&amp;ADULTS'!$V$3:$V$12006,U30,'KIDS&amp;ADULTS'!$B$3:$B$12006,$AA$3,'KIDS&amp;ADULTS'!$N$3:$N$12006,"Đã đóng học phí")</f>
        <v>0</v>
      </c>
      <c r="AB30" s="376">
        <f>COUNTIFS('KIDS&amp;ADULTS'!$V$3:$V$12006,U30,'KIDS&amp;ADULTS'!$B$3:$B$12006,$AB$3,'KIDS&amp;ADULTS'!$N$3:$N$12006,"Đã đóng học phí")</f>
        <v>0</v>
      </c>
      <c r="AC30" s="376">
        <f>COUNTIFS('KIDS&amp;ADULTS'!$V$3:$V$12006,U30,'KIDS&amp;ADULTS'!$B$3:$B$12006,$AC$3,'KIDS&amp;ADULTS'!$N$3:$N$12006,"Đã đóng học phí")</f>
        <v>0</v>
      </c>
    </row>
    <row r="31" ht="15.75" customHeight="1">
      <c r="A31" s="372">
        <v>45166.0</v>
      </c>
      <c r="B31" s="373">
        <f>sumifs('KIDS&amp;ADULTS'!$Z$3:$Z$1015,'KIDS&amp;ADULTS'!$V$3:$V$1015,A31,'KIDS&amp;ADULTS'!$M$3:$M$1015,$B$3)</f>
        <v>0</v>
      </c>
      <c r="C31" s="373">
        <f>sumifs('KIDS&amp;ADULTS'!$Z$3:$Z$1015,'KIDS&amp;ADULTS'!$V$3:$V$1015,A31,'KIDS&amp;ADULTS'!$M$3:$M$1015,"phương")</f>
        <v>0</v>
      </c>
      <c r="D31" s="373">
        <f>sumifs('KIDS&amp;ADULTS'!$Z$3:$Z$1015,'KIDS&amp;ADULTS'!$V$3:$V$1015,A31,'KIDS&amp;ADULTS'!$M$3:$M$1015,$D$3)</f>
        <v>0</v>
      </c>
      <c r="E31" s="373">
        <f>sumifs('KIDS&amp;ADULTS'!$Z$3:$Z$1015,'KIDS&amp;ADULTS'!$V$3:$V$1015,A31,'KIDS&amp;ADULTS'!$M$3:$M$1015,"Ánh")</f>
        <v>0</v>
      </c>
      <c r="F31" s="373">
        <f>sumifs('KIDS&amp;ADULTS'!$Z$3:$Z$1015,'KIDS&amp;ADULTS'!$V$3:$V$1015,A31,'KIDS&amp;ADULTS'!$M$3:$M$1015,"Loan")</f>
        <v>0</v>
      </c>
      <c r="G31" s="373">
        <f t="shared" si="1"/>
        <v>0</v>
      </c>
      <c r="J31" s="372">
        <f t="shared" si="3"/>
        <v>45166</v>
      </c>
      <c r="K31" s="374">
        <f>COUNTIFS('KIDS&amp;ADULTS'!$A$3:$A$12008,J31,'KIDS&amp;ADULTS'!$B$3:$B$12008,$K$3)</f>
        <v>0</v>
      </c>
      <c r="L31" s="374">
        <f>COUNTIFS('KIDS&amp;ADULTS'!$A$3:$A$12008,J31,'KIDS&amp;ADULTS'!$B$3:$B$12008,$L$3)</f>
        <v>0</v>
      </c>
      <c r="M31" s="374">
        <f>COUNTIFS('KIDS&amp;ADULTS'!$A$3:$A$12008,J31,'KIDS&amp;ADULTS'!$B$3:$B$12008,$M$3)</f>
        <v>0</v>
      </c>
      <c r="N31" s="375">
        <f>COUNTIFS('KIDS&amp;ADULTS'!$A$3:$A$12008,J31,'KIDS&amp;ADULTS'!$B$3:$B$12008,$N$3)</f>
        <v>0</v>
      </c>
      <c r="O31" s="375">
        <f>COUNTIFS('KIDS&amp;ADULTS'!$A$3:$A$12008,J31,'KIDS&amp;ADULTS'!$B$3:$B$12008,$O$3)</f>
        <v>0</v>
      </c>
      <c r="P31" s="375">
        <f>COUNTIFS('KIDS&amp;ADULTS'!$A$3:$A$12008,J31,'KIDS&amp;ADULTS'!$B$3:$B$12008,$P$3)</f>
        <v>0</v>
      </c>
      <c r="Q31" s="375">
        <f>COUNTIFS('KIDS&amp;ADULTS'!$A$3:$A$1008,J31,'KIDS&amp;ADULTS'!$B$3:$B$1008,$Q$3)</f>
        <v>0</v>
      </c>
      <c r="R31" s="374">
        <f>COUNTIFS('KIDS&amp;ADULTS'!$A$3:$A$12008,J31,'KIDS&amp;ADULTS'!$B$3:$B$12008,$R$3)</f>
        <v>0</v>
      </c>
      <c r="U31" s="372">
        <f t="shared" si="4"/>
        <v>45166</v>
      </c>
      <c r="V31" s="376">
        <f>COUNTIFS('KIDS&amp;ADULTS'!$V$3:$V$12006,U31,'KIDS&amp;ADULTS'!$B$3:$B$12006,$K$3,'KIDS&amp;ADULTS'!$N$3:$N$12006,"Đã đóng học phí")</f>
        <v>0</v>
      </c>
      <c r="W31" s="376">
        <f>COUNTIFS('KIDS&amp;ADULTS'!$V$3:$V$12006,U31,'KIDS&amp;ADULTS'!$B$3:$B12033,$W$3,'KIDS&amp;ADULTS'!$N$3:$N$12006,"Đã đóng học phí")</f>
        <v>0</v>
      </c>
      <c r="X31" s="376">
        <f>COUNTIFS('KIDS&amp;ADULTS'!$V$3:$V$12006,U31,'KIDS&amp;ADULTS'!$B$3:$B$12006,$X$3,'KIDS&amp;ADULTS'!$N$3:$N$12006,"Đã đóng học phí")</f>
        <v>0</v>
      </c>
      <c r="Y31" s="376">
        <f>COUNTIFS('KIDS&amp;ADULTS'!$V$3:$V$12006,U31,'KIDS&amp;ADULTS'!$B$3:$B$12006,$Y$3,'KIDS&amp;ADULTS'!$N$3:$N$12006,"Đã đóng học phí")</f>
        <v>0</v>
      </c>
      <c r="Z31" s="376">
        <f>COUNTIFS('KIDS&amp;ADULTS'!$V$3:$V$12006,U31,'KIDS&amp;ADULTS'!$B$3:$B$12006,$Z$3,'KIDS&amp;ADULTS'!$N$3:$N$12006,"Đã đóng học phí")</f>
        <v>0</v>
      </c>
      <c r="AA31" s="376">
        <f>COUNTIFS('KIDS&amp;ADULTS'!$V$3:$V$12006,U31,'KIDS&amp;ADULTS'!$B$3:$B$12006,$AA$3,'KIDS&amp;ADULTS'!$N$3:$N$12006,"Đã đóng học phí")</f>
        <v>0</v>
      </c>
      <c r="AB31" s="376">
        <f>COUNTIFS('KIDS&amp;ADULTS'!$V$3:$V$12006,U31,'KIDS&amp;ADULTS'!$B$3:$B$12006,$AB$3,'KIDS&amp;ADULTS'!$N$3:$N$12006,"Đã đóng học phí")</f>
        <v>0</v>
      </c>
      <c r="AC31" s="376">
        <f>COUNTIFS('KIDS&amp;ADULTS'!$V$3:$V$12006,U31,'KIDS&amp;ADULTS'!$B$3:$B$12006,$AC$3,'KIDS&amp;ADULTS'!$N$3:$N$12006,"Đã đóng học phí")</f>
        <v>0</v>
      </c>
    </row>
    <row r="32" ht="15.75" customHeight="1">
      <c r="A32" s="372">
        <v>45167.0</v>
      </c>
      <c r="B32" s="373">
        <f>sumifs('KIDS&amp;ADULTS'!$Z$3:$Z$1015,'KIDS&amp;ADULTS'!$V$3:$V$1015,A32,'KIDS&amp;ADULTS'!$M$3:$M$1015,$B$3)</f>
        <v>0</v>
      </c>
      <c r="C32" s="373">
        <f>sumifs('KIDS&amp;ADULTS'!$Z$3:$Z$1015,'KIDS&amp;ADULTS'!$V$3:$V$1015,A32,'KIDS&amp;ADULTS'!$M$3:$M$1015,"phương")</f>
        <v>0</v>
      </c>
      <c r="D32" s="373">
        <f>sumifs('KIDS&amp;ADULTS'!$Z$3:$Z$1015,'KIDS&amp;ADULTS'!$V$3:$V$1015,A32,'KIDS&amp;ADULTS'!$M$3:$M$1015,$D$3)</f>
        <v>0</v>
      </c>
      <c r="E32" s="373">
        <f>sumifs('KIDS&amp;ADULTS'!$Z$3:$Z$1015,'KIDS&amp;ADULTS'!$V$3:$V$1015,A32,'KIDS&amp;ADULTS'!$M$3:$M$1015,"Ánh")</f>
        <v>0</v>
      </c>
      <c r="F32" s="373">
        <f>sumifs('KIDS&amp;ADULTS'!$Z$3:$Z$1015,'KIDS&amp;ADULTS'!$V$3:$V$1015,A32,'KIDS&amp;ADULTS'!$M$3:$M$1015,"Loan")</f>
        <v>0</v>
      </c>
      <c r="G32" s="373">
        <f t="shared" si="1"/>
        <v>0</v>
      </c>
      <c r="J32" s="372">
        <f t="shared" si="3"/>
        <v>45167</v>
      </c>
      <c r="K32" s="374">
        <f>COUNTIFS('KIDS&amp;ADULTS'!$A$3:$A$12008,J32,'KIDS&amp;ADULTS'!$B$3:$B$12008,$K$3)</f>
        <v>0</v>
      </c>
      <c r="L32" s="374">
        <f>COUNTIFS('KIDS&amp;ADULTS'!$A$3:$A$12008,J32,'KIDS&amp;ADULTS'!$B$3:$B$12008,$L$3)</f>
        <v>0</v>
      </c>
      <c r="M32" s="374">
        <f>COUNTIFS('KIDS&amp;ADULTS'!$A$3:$A$12008,J32,'KIDS&amp;ADULTS'!$B$3:$B$12008,$M$3)</f>
        <v>0</v>
      </c>
      <c r="N32" s="375">
        <f>COUNTIFS('KIDS&amp;ADULTS'!$A$3:$A$12008,J32,'KIDS&amp;ADULTS'!$B$3:$B$12008,$N$3)</f>
        <v>0</v>
      </c>
      <c r="O32" s="375">
        <f>COUNTIFS('KIDS&amp;ADULTS'!$A$3:$A$12008,J32,'KIDS&amp;ADULTS'!$B$3:$B$12008,$O$3)</f>
        <v>0</v>
      </c>
      <c r="P32" s="375">
        <f>COUNTIFS('KIDS&amp;ADULTS'!$A$3:$A$12008,J32,'KIDS&amp;ADULTS'!$B$3:$B$12008,$P$3)</f>
        <v>0</v>
      </c>
      <c r="Q32" s="375">
        <f>COUNTIFS('KIDS&amp;ADULTS'!$A$3:$A$1008,J32,'KIDS&amp;ADULTS'!$B$3:$B$1008,$Q$3)</f>
        <v>0</v>
      </c>
      <c r="R32" s="374">
        <f>COUNTIFS('KIDS&amp;ADULTS'!$A$3:$A$12008,J32,'KIDS&amp;ADULTS'!$B$3:$B$12008,$R$3)</f>
        <v>0</v>
      </c>
      <c r="U32" s="372">
        <f t="shared" si="4"/>
        <v>45167</v>
      </c>
      <c r="V32" s="376">
        <f>COUNTIFS('KIDS&amp;ADULTS'!$V$3:$V$12006,U32,'KIDS&amp;ADULTS'!$B$3:$B$12006,$K$3,'KIDS&amp;ADULTS'!$N$3:$N$12006,"Đã đóng học phí")</f>
        <v>0</v>
      </c>
      <c r="W32" s="376">
        <f>COUNTIFS('KIDS&amp;ADULTS'!$V$3:$V$12006,U32,'KIDS&amp;ADULTS'!$B$3:$B12034,$W$3,'KIDS&amp;ADULTS'!$N$3:$N$12006,"Đã đóng học phí")</f>
        <v>0</v>
      </c>
      <c r="X32" s="376">
        <f>COUNTIFS('KIDS&amp;ADULTS'!$V$3:$V$12006,U32,'KIDS&amp;ADULTS'!$B$3:$B$12006,$X$3,'KIDS&amp;ADULTS'!$N$3:$N$12006,"Đã đóng học phí")</f>
        <v>0</v>
      </c>
      <c r="Y32" s="376">
        <f>COUNTIFS('KIDS&amp;ADULTS'!$V$3:$V$12006,U32,'KIDS&amp;ADULTS'!$B$3:$B$12006,$Y$3,'KIDS&amp;ADULTS'!$N$3:$N$12006,"Đã đóng học phí")</f>
        <v>0</v>
      </c>
      <c r="Z32" s="376">
        <f>COUNTIFS('KIDS&amp;ADULTS'!$V$3:$V$12006,U32,'KIDS&amp;ADULTS'!$B$3:$B$12006,$Z$3,'KIDS&amp;ADULTS'!$N$3:$N$12006,"Đã đóng học phí")</f>
        <v>0</v>
      </c>
      <c r="AA32" s="376">
        <f>COUNTIFS('KIDS&amp;ADULTS'!$V$3:$V$12006,U32,'KIDS&amp;ADULTS'!$B$3:$B$12006,$AA$3,'KIDS&amp;ADULTS'!$N$3:$N$12006,"Đã đóng học phí")</f>
        <v>0</v>
      </c>
      <c r="AB32" s="376">
        <f>COUNTIFS('KIDS&amp;ADULTS'!$V$3:$V$12006,U32,'KIDS&amp;ADULTS'!$B$3:$B$12006,$AB$3,'KIDS&amp;ADULTS'!$N$3:$N$12006,"Đã đóng học phí")</f>
        <v>0</v>
      </c>
      <c r="AC32" s="376">
        <f>COUNTIFS('KIDS&amp;ADULTS'!$V$3:$V$12006,U32,'KIDS&amp;ADULTS'!$B$3:$B$12006,$AC$3,'KIDS&amp;ADULTS'!$N$3:$N$12006,"Đã đóng học phí")</f>
        <v>0</v>
      </c>
    </row>
    <row r="33" ht="15.75" customHeight="1">
      <c r="A33" s="372">
        <v>45168.0</v>
      </c>
      <c r="B33" s="373">
        <f>sumifs('KIDS&amp;ADULTS'!$Z$3:$Z$1015,'KIDS&amp;ADULTS'!$V$3:$V$1015,A33,'KIDS&amp;ADULTS'!$M$3:$M$1015,$B$3)</f>
        <v>0</v>
      </c>
      <c r="C33" s="373">
        <f>sumifs('KIDS&amp;ADULTS'!$Z$3:$Z$1015,'KIDS&amp;ADULTS'!$V$3:$V$1015,A33,'KIDS&amp;ADULTS'!$M$3:$M$1015,"phương")</f>
        <v>0</v>
      </c>
      <c r="D33" s="373">
        <f>sumifs('KIDS&amp;ADULTS'!$Z$3:$Z$1015,'KIDS&amp;ADULTS'!$V$3:$V$1015,A33,'KIDS&amp;ADULTS'!$M$3:$M$1015,$D$3)</f>
        <v>0</v>
      </c>
      <c r="E33" s="373">
        <f>sumifs('KIDS&amp;ADULTS'!$Z$3:$Z$1015,'KIDS&amp;ADULTS'!$V$3:$V$1015,A33,'KIDS&amp;ADULTS'!$M$3:$M$1015,"Ánh")</f>
        <v>0</v>
      </c>
      <c r="F33" s="373">
        <f>sumifs('KIDS&amp;ADULTS'!$Z$3:$Z$1015,'KIDS&amp;ADULTS'!$V$3:$V$1015,A33,'KIDS&amp;ADULTS'!$M$3:$M$1015,"Loan")</f>
        <v>0</v>
      </c>
      <c r="G33" s="373">
        <f t="shared" si="1"/>
        <v>0</v>
      </c>
      <c r="J33" s="372">
        <f t="shared" si="3"/>
        <v>45168</v>
      </c>
      <c r="K33" s="374">
        <f>COUNTIFS('KIDS&amp;ADULTS'!$A$3:$A$12008,J33,'KIDS&amp;ADULTS'!$B$3:$B$12008,$K$3)</f>
        <v>0</v>
      </c>
      <c r="L33" s="374">
        <f>COUNTIFS('KIDS&amp;ADULTS'!$A$3:$A$12008,J33,'KIDS&amp;ADULTS'!$B$3:$B$12008,$L$3)</f>
        <v>0</v>
      </c>
      <c r="M33" s="374">
        <f>COUNTIFS('KIDS&amp;ADULTS'!$A$3:$A$12008,J33,'KIDS&amp;ADULTS'!$B$3:$B$12008,$M$3)</f>
        <v>0</v>
      </c>
      <c r="N33" s="375">
        <f>COUNTIFS('KIDS&amp;ADULTS'!$A$3:$A$12008,J33,'KIDS&amp;ADULTS'!$B$3:$B$12008,$N$3)</f>
        <v>0</v>
      </c>
      <c r="O33" s="375">
        <f>COUNTIFS('KIDS&amp;ADULTS'!$A$3:$A$280,J33,'KIDS&amp;ADULTS'!$B$3:$B$280,$O$3)</f>
        <v>0</v>
      </c>
      <c r="P33" s="375">
        <f>COUNTIFS('KIDS&amp;ADULTS'!$A$3:$A$12008,J33,'KIDS&amp;ADULTS'!$B$3:$B$12008,$P$3)</f>
        <v>0</v>
      </c>
      <c r="Q33" s="375">
        <f>COUNTIFS('KIDS&amp;ADULTS'!$A$3:$A$1008,J33,'KIDS&amp;ADULTS'!$B$3:$B$1008,$Q$3)</f>
        <v>0</v>
      </c>
      <c r="R33" s="374">
        <f>COUNTIFS('KIDS&amp;ADULTS'!$A$3:$A$12008,J33,'KIDS&amp;ADULTS'!$B$3:$B$12008,$R$3)</f>
        <v>0</v>
      </c>
      <c r="U33" s="372">
        <f t="shared" si="4"/>
        <v>45168</v>
      </c>
      <c r="V33" s="376">
        <f>COUNTIFS('KIDS&amp;ADULTS'!$V$3:$V$12006,U33,'KIDS&amp;ADULTS'!$B$3:$B$12006,$K$3,'KIDS&amp;ADULTS'!$N$3:$N$12006,"Đã đóng học phí")</f>
        <v>0</v>
      </c>
      <c r="W33" s="376">
        <f>COUNTIFS('KIDS&amp;ADULTS'!$V$3:$V$12006,U33,'KIDS&amp;ADULTS'!$B$3:$B12035,$W$3,'KIDS&amp;ADULTS'!$N$3:$N$12006,"Đã đóng học phí")</f>
        <v>0</v>
      </c>
      <c r="X33" s="376">
        <f>COUNTIFS('KIDS&amp;ADULTS'!$V$3:$V$12006,U33,'KIDS&amp;ADULTS'!$B$3:$B$12006,$X$3,'KIDS&amp;ADULTS'!$N$3:$N$12006,"Đã đóng học phí")</f>
        <v>0</v>
      </c>
      <c r="Y33" s="376">
        <f>COUNTIFS('KIDS&amp;ADULTS'!$V$3:$V$12006,U33,'KIDS&amp;ADULTS'!$B$3:$B$12006,$Y$3,'KIDS&amp;ADULTS'!$N$3:$N$12006,"Đã đóng học phí")</f>
        <v>0</v>
      </c>
      <c r="Z33" s="376">
        <f>COUNTIFS('KIDS&amp;ADULTS'!$V$3:$V$12006,U33,'KIDS&amp;ADULTS'!$B$3:$B$12006,$Z$3,'KIDS&amp;ADULTS'!$N$3:$N$12006,"Đã đóng học phí")</f>
        <v>0</v>
      </c>
      <c r="AA33" s="376">
        <f>COUNTIFS('KIDS&amp;ADULTS'!$V$3:$V$12006,U33,'KIDS&amp;ADULTS'!$B$3:$B$12006,$AA$3,'KIDS&amp;ADULTS'!$N$3:$N$12006,"Đã đóng học phí")</f>
        <v>0</v>
      </c>
      <c r="AB33" s="376">
        <f>COUNTIFS('KIDS&amp;ADULTS'!$V$3:$V$12006,U33,'KIDS&amp;ADULTS'!$B$3:$B$12006,$AB$3,'KIDS&amp;ADULTS'!$N$3:$N$12006,"Đã đóng học phí")</f>
        <v>0</v>
      </c>
      <c r="AC33" s="376">
        <f>COUNTIFS('KIDS&amp;ADULTS'!$V$3:$V$12006,U33,'KIDS&amp;ADULTS'!$B$3:$B$12006,$AC$3,'KIDS&amp;ADULTS'!$N$3:$N$12006,"Đã đóng học phí")</f>
        <v>0</v>
      </c>
    </row>
    <row r="34" ht="15.75" customHeight="1">
      <c r="A34" s="372">
        <v>45169.0</v>
      </c>
      <c r="B34" s="373">
        <f>sumifs('KIDS&amp;ADULTS'!$Z$3:$Z$1015,'KIDS&amp;ADULTS'!$V$3:$V$1015,A34,'KIDS&amp;ADULTS'!$M$3:$M$1015,$B$3)</f>
        <v>0</v>
      </c>
      <c r="C34" s="373">
        <f>sumifs('KIDS&amp;ADULTS'!$Z$3:$Z$1015,'KIDS&amp;ADULTS'!$V$3:$V$1015,A34,'KIDS&amp;ADULTS'!$M$3:$M$1015,"phương")</f>
        <v>0</v>
      </c>
      <c r="D34" s="373">
        <f>sumifs('KIDS&amp;ADULTS'!$Z$3:$Z$1015,'KIDS&amp;ADULTS'!$V$3:$V$1015,A34,'KIDS&amp;ADULTS'!$M$3:$M$1015,$D$3)</f>
        <v>0</v>
      </c>
      <c r="E34" s="373">
        <f>sumifs('KIDS&amp;ADULTS'!$Z$3:$Z$1015,'KIDS&amp;ADULTS'!$V$3:$V$1015,A34,'KIDS&amp;ADULTS'!$M$3:$M$1015,"Ánh")</f>
        <v>2664000</v>
      </c>
      <c r="F34" s="373">
        <f>sumifs('KIDS&amp;ADULTS'!$Z$3:$Z$1015,'KIDS&amp;ADULTS'!$V$3:$V$1015,A34,'KIDS&amp;ADULTS'!$M$3:$M$1015,"Loan")</f>
        <v>0</v>
      </c>
      <c r="G34" s="373">
        <f t="shared" si="1"/>
        <v>2664000</v>
      </c>
      <c r="H34" s="415"/>
      <c r="J34" s="372">
        <f t="shared" si="3"/>
        <v>45169</v>
      </c>
      <c r="K34" s="374">
        <f>COUNTIFS('KIDS&amp;ADULTS'!$A$3:$A$12008,J34,'KIDS&amp;ADULTS'!$B$3:$B$12008,$K$3)</f>
        <v>0</v>
      </c>
      <c r="L34" s="374">
        <f>COUNTIFS('KIDS&amp;ADULTS'!$A$3:$A$12008,J34,'KIDS&amp;ADULTS'!$B$3:$B$12008,$L$3)</f>
        <v>0</v>
      </c>
      <c r="M34" s="374">
        <f>COUNTIFS('KIDS&amp;ADULTS'!$A$3:$A$12008,J34,'KIDS&amp;ADULTS'!$B$3:$B$12008,$M$3)</f>
        <v>0</v>
      </c>
      <c r="N34" s="375">
        <f>COUNTIFS('KIDS&amp;ADULTS'!$A$3:$A$12008,J34,'KIDS&amp;ADULTS'!$B$3:$B$12008,$N$3)</f>
        <v>0</v>
      </c>
      <c r="O34" s="375">
        <f>COUNTIFS('KIDS&amp;ADULTS'!$A$3:$A$280,J34,'KIDS&amp;ADULTS'!$B$3:$B$280,$O$3)</f>
        <v>0</v>
      </c>
      <c r="P34" s="375">
        <f>COUNTIFS('KIDS&amp;ADULTS'!$A$3:$A$12008,J34,'KIDS&amp;ADULTS'!$B$3:$B$12008,$P$3)</f>
        <v>0</v>
      </c>
      <c r="Q34" s="375">
        <f>COUNTIFS('KIDS&amp;ADULTS'!$A$3:$A$1008,J34,'KIDS&amp;ADULTS'!$B$3:$B$1008,$Q$3)</f>
        <v>0</v>
      </c>
      <c r="R34" s="374">
        <f>COUNTIFS('KIDS&amp;ADULTS'!$A$3:$A$12008,J34,'KIDS&amp;ADULTS'!$B$3:$B$12008,$R$3)</f>
        <v>0</v>
      </c>
      <c r="S34" s="416"/>
      <c r="U34" s="372">
        <f t="shared" si="4"/>
        <v>45169</v>
      </c>
      <c r="V34" s="376">
        <f>COUNTIFS('KIDS&amp;ADULTS'!$V$3:$V$12006,U34,'KIDS&amp;ADULTS'!$B$3:$B$12006,$K$3,'KIDS&amp;ADULTS'!$N$3:$N$12006,"Đã đóng học phí")</f>
        <v>0</v>
      </c>
      <c r="W34" s="376">
        <f>COUNTIFS('KIDS&amp;ADULTS'!$V$3:$V$12006,U34,'KIDS&amp;ADULTS'!$B$3:$B12036,$W$3,'KIDS&amp;ADULTS'!$N$3:$N$12006,"Đã đóng học phí")</f>
        <v>0</v>
      </c>
      <c r="X34" s="376">
        <f>COUNTIFS('KIDS&amp;ADULTS'!$V$3:$V$12006,U34,'KIDS&amp;ADULTS'!$B$3:$B$12006,$X$3,'KIDS&amp;ADULTS'!$N$3:$N$12006,"Đã đóng học phí")</f>
        <v>0</v>
      </c>
      <c r="Y34" s="376">
        <f>COUNTIFS('KIDS&amp;ADULTS'!$V$3:$V$12006,U34,'KIDS&amp;ADULTS'!$B$3:$B$12006,$Y$3,'KIDS&amp;ADULTS'!$N$3:$N$12006,"Đã đóng học phí")</f>
        <v>1</v>
      </c>
      <c r="Z34" s="376">
        <f>COUNTIFS('KIDS&amp;ADULTS'!$V$3:$V$12006,U34,'KIDS&amp;ADULTS'!$B$3:$B$12006,$Z$3,'KIDS&amp;ADULTS'!$N$3:$N$12006,"Đã đóng học phí")</f>
        <v>0</v>
      </c>
      <c r="AA34" s="376">
        <f>COUNTIFS('KIDS&amp;ADULTS'!$V$3:$V$12006,U34,'KIDS&amp;ADULTS'!$B$3:$B$12006,$AA$3,'KIDS&amp;ADULTS'!$N$3:$N$12006,"Đã đóng học phí")</f>
        <v>0</v>
      </c>
      <c r="AB34" s="376">
        <f>COUNTIFS('KIDS&amp;ADULTS'!$V$3:$V$12006,U34,'KIDS&amp;ADULTS'!$B$3:$B$12006,$AB$3,'KIDS&amp;ADULTS'!$N$3:$N$12006,"Đã đóng học phí")</f>
        <v>0</v>
      </c>
      <c r="AC34" s="376">
        <f>COUNTIFS('KIDS&amp;ADULTS'!$V$3:$V$12006,U34,'KIDS&amp;ADULTS'!$B$3:$B$12006,$AC$3,'KIDS&amp;ADULTS'!$N$3:$N$12006,"Đã đóng học phí")</f>
        <v>0</v>
      </c>
      <c r="AD34" s="391"/>
    </row>
    <row r="35" ht="15.75" customHeight="1">
      <c r="B35" s="386">
        <f t="shared" ref="B35:F35" si="6">sum(B4:B34)</f>
        <v>5817800</v>
      </c>
      <c r="C35" s="386">
        <f t="shared" si="6"/>
        <v>0</v>
      </c>
      <c r="D35" s="386">
        <f t="shared" si="6"/>
        <v>8400000</v>
      </c>
      <c r="E35" s="386">
        <f t="shared" si="6"/>
        <v>59773890</v>
      </c>
      <c r="F35" s="386">
        <f t="shared" si="6"/>
        <v>0</v>
      </c>
      <c r="H35" s="387">
        <f>sum(G4:G34)</f>
        <v>73991690</v>
      </c>
      <c r="J35" s="388" t="s">
        <v>4622</v>
      </c>
      <c r="K35" s="389">
        <f t="shared" ref="K35:R35" si="7">SUM(K4:K34)</f>
        <v>0</v>
      </c>
      <c r="L35" s="389">
        <f t="shared" si="7"/>
        <v>0</v>
      </c>
      <c r="M35" s="389">
        <f t="shared" si="7"/>
        <v>4</v>
      </c>
      <c r="N35" s="380">
        <f t="shared" si="7"/>
        <v>9</v>
      </c>
      <c r="O35" s="380">
        <f t="shared" si="7"/>
        <v>3</v>
      </c>
      <c r="P35" s="380">
        <f t="shared" si="7"/>
        <v>0</v>
      </c>
      <c r="Q35" s="380">
        <f t="shared" si="7"/>
        <v>12</v>
      </c>
      <c r="R35" s="389">
        <f t="shared" si="7"/>
        <v>0</v>
      </c>
      <c r="S35" s="390">
        <f>SUM(K35:R36)</f>
        <v>28</v>
      </c>
      <c r="U35" s="388" t="s">
        <v>4622</v>
      </c>
      <c r="V35" s="366">
        <f t="shared" ref="V35:Z35" si="8">SUM(V4:V33)</f>
        <v>0</v>
      </c>
      <c r="W35" s="367">
        <f t="shared" si="8"/>
        <v>0</v>
      </c>
      <c r="X35" s="377">
        <f t="shared" si="8"/>
        <v>1</v>
      </c>
      <c r="Y35" s="377">
        <f t="shared" si="8"/>
        <v>7</v>
      </c>
      <c r="Z35" s="379">
        <f t="shared" si="8"/>
        <v>2</v>
      </c>
      <c r="AA35" s="380">
        <f t="shared" ref="AA35:AB35" si="9">SUM(AA2:AA33)</f>
        <v>0</v>
      </c>
      <c r="AB35" s="380">
        <f t="shared" si="9"/>
        <v>0</v>
      </c>
      <c r="AC35" s="380">
        <f>SUM(AC4:AC33)</f>
        <v>0</v>
      </c>
      <c r="AD35" s="391">
        <f>SUM(V35:AC35)-1</f>
        <v>9</v>
      </c>
    </row>
    <row r="36" ht="15.75" customHeight="1">
      <c r="F36" s="392"/>
    </row>
    <row r="37" ht="15.75" customHeight="1">
      <c r="H37" s="383"/>
    </row>
    <row r="38" ht="15.75" customHeight="1">
      <c r="I38" s="383" t="s">
        <v>3683</v>
      </c>
      <c r="J38" s="396" t="s">
        <v>4725</v>
      </c>
      <c r="K38" s="397">
        <f>COUNTIFS('KIDS&amp;ADULTS'!V:V,"&gt;"&amp;"31-7-2023",'KIDS&amp;ADULTS'!V:V,"&lt;"&amp;"1-9-2023")-1</f>
        <v>15</v>
      </c>
      <c r="M38" s="383">
        <f>K38/S35</f>
        <v>0.5357142857</v>
      </c>
      <c r="U38" s="358" t="s">
        <v>4626</v>
      </c>
    </row>
    <row r="39" ht="15.75" customHeight="1">
      <c r="G39" s="386"/>
      <c r="U39" s="361" t="s">
        <v>4613</v>
      </c>
      <c r="V39" s="363" t="s">
        <v>4616</v>
      </c>
      <c r="W39" s="235"/>
      <c r="X39" s="235"/>
      <c r="Y39" s="235"/>
      <c r="Z39" s="235"/>
      <c r="AA39" s="235"/>
      <c r="AB39" s="235"/>
      <c r="AC39" s="236"/>
    </row>
    <row r="40" ht="15.75" customHeight="1">
      <c r="G40" s="386"/>
      <c r="U40" s="11"/>
      <c r="V40" s="366" t="s">
        <v>4620</v>
      </c>
      <c r="W40" s="367" t="s">
        <v>4621</v>
      </c>
      <c r="X40" s="368" t="s">
        <v>73</v>
      </c>
      <c r="Y40" s="369" t="s">
        <v>201</v>
      </c>
      <c r="Z40" s="370" t="s">
        <v>84</v>
      </c>
      <c r="AA40" s="371" t="s">
        <v>60</v>
      </c>
      <c r="AB40" s="371" t="s">
        <v>539</v>
      </c>
      <c r="AC40" s="371" t="s">
        <v>703</v>
      </c>
    </row>
    <row r="41" ht="15.75" customHeight="1">
      <c r="H41" s="123"/>
      <c r="U41" s="372">
        <v>45139.0</v>
      </c>
      <c r="V41" s="398">
        <f>SUMIFS('KIDS&amp;ADULTS'!$Z$3:$Z$12006,'KIDS&amp;ADULTS'!V$3:V$12006,U41,'KIDS&amp;ADULTS'!$B$3:$B$12006,$K$3,'KIDS&amp;ADULTS'!$N$3:$N$12006,"Đã đóng học phí")</f>
        <v>0</v>
      </c>
      <c r="W41" s="398">
        <f>SUMIFS('KIDS&amp;ADULTS'!$Z$3:$Z$12006,'KIDS&amp;ADULTS'!$V$3:$V$12006,U41,'KIDS&amp;ADULTS'!$B$3:$B$12006,$W$3,'KIDS&amp;ADULTS'!$N$3:$N$12006,"Đã đóng học phí")</f>
        <v>0</v>
      </c>
      <c r="X41" s="398">
        <f>SUMIFS('KIDS&amp;ADULTS'!$Z$3:$Z$12006,'KIDS&amp;ADULTS'!$V$3:$V$12006,U41,'KIDS&amp;ADULTS'!$B$3:$B$12006,$X$3,'KIDS&amp;ADULTS'!$N$3:$N$12006,"Đã đóng học phí")</f>
        <v>0</v>
      </c>
      <c r="Y41" s="398">
        <f>SUMIFS('KIDS&amp;ADULTS'!$Z$3:$Z$12006,'KIDS&amp;ADULTS'!$V$3:$V$12006,U41,'KIDS&amp;ADULTS'!$B$3:$B$12006,$Y$3,'KIDS&amp;ADULTS'!$N$3:$N$12006,"Đã đóng học phí")</f>
        <v>0</v>
      </c>
      <c r="Z41" s="398">
        <f>SUMIFS('KIDS&amp;ADULTS'!$Z$3:$Z$12006,'KIDS&amp;ADULTS'!$V$3:$V$12006,U41,'KIDS&amp;ADULTS'!$B$3:$B$12006,$Z$3,'KIDS&amp;ADULTS'!$N$3:$N$12006,"Đã đóng học phí")</f>
        <v>0</v>
      </c>
      <c r="AA41" s="398">
        <f>SUMIFS('KIDS&amp;ADULTS'!$Z$3:$Z$12006,'KIDS&amp;ADULTS'!$V$3:$V$12006,U41,'KIDS&amp;ADULTS'!$B$3:$B$12006,$AA$3,'KIDS&amp;ADULTS'!$N$3:$N$12006,"Đã đóng học phí")</f>
        <v>0</v>
      </c>
      <c r="AB41" s="398">
        <f>SUMIFS('KIDS&amp;ADULTS'!$Z$3:$Z$12006,'KIDS&amp;ADULTS'!$V$3:$V$12006,U41,'KIDS&amp;ADULTS'!$B$3:$B$12006,$AB$3,'KIDS&amp;ADULTS'!$N$3:$N$12006,"Đã đóng học phí")</f>
        <v>0</v>
      </c>
      <c r="AC41" s="398">
        <f>SUMIFS('KIDS&amp;ADULTS'!$Z$3:$Z$12006,'KIDS&amp;ADULTS'!$V$3:$V$12006,U41,'KIDS&amp;ADULTS'!$B$3:$B$12006,$AC$3,'KIDS&amp;ADULTS'!$N$3:$N$12006,"Đã đóng học phí")</f>
        <v>0</v>
      </c>
      <c r="AD41" s="398">
        <f t="shared" ref="AD41:AD72" si="10">SUM(V41:AC41)</f>
        <v>0</v>
      </c>
      <c r="AE41" s="386"/>
    </row>
    <row r="42" ht="15.75" customHeight="1">
      <c r="U42" s="372">
        <f t="shared" ref="U42:U71" si="11">U41+1</f>
        <v>45140</v>
      </c>
      <c r="V42" s="398">
        <f>SUMIFS('KIDS&amp;ADULTS'!$Z$3:$Z$12006,'KIDS&amp;ADULTS'!V$3:V$12006,U42,'KIDS&amp;ADULTS'!$B$3:$B$12006,$K$3,'KIDS&amp;ADULTS'!$N$3:$N$12006,"Đã đóng học phí")</f>
        <v>0</v>
      </c>
      <c r="W42" s="398">
        <f>SUMIFS('KIDS&amp;ADULTS'!$Z$3:$Z$12006,'KIDS&amp;ADULTS'!$V$3:$V$12006,U42,'KIDS&amp;ADULTS'!$B$3:$B$12006,$W$3,'KIDS&amp;ADULTS'!$N$3:$N$12006,"Đã đóng học phí")</f>
        <v>0</v>
      </c>
      <c r="X42" s="398">
        <f>SUMIFS('KIDS&amp;ADULTS'!$Z$3:$Z$12006,'KIDS&amp;ADULTS'!$V$3:$V$12006,U42,'KIDS&amp;ADULTS'!$B$3:$B$12006,$X$3,'KIDS&amp;ADULTS'!$N$3:$N$12006,"Đã đóng học phí")</f>
        <v>0</v>
      </c>
      <c r="Y42" s="398">
        <f>SUMIFS('KIDS&amp;ADULTS'!$Z$3:$Z$12006,'KIDS&amp;ADULTS'!$V$3:$V$12006,U42,'KIDS&amp;ADULTS'!$B$3:$B$12006,$Y$3,'KIDS&amp;ADULTS'!$N$3:$N$12006,"Đã đóng học phí")</f>
        <v>0</v>
      </c>
      <c r="Z42" s="398">
        <f>SUMIFS('KIDS&amp;ADULTS'!$Z$3:$Z$12006,'KIDS&amp;ADULTS'!$V$3:$V$12006,U42,'KIDS&amp;ADULTS'!$B$3:$B$12006,$Z$3,'KIDS&amp;ADULTS'!$N$3:$N$12006,"Đã đóng học phí")</f>
        <v>0</v>
      </c>
      <c r="AA42" s="398">
        <f>SUMIFS('KIDS&amp;ADULTS'!$Z$3:$Z$12006,'KIDS&amp;ADULTS'!$V$3:$V$12006,U42,'KIDS&amp;ADULTS'!$B$3:$B$12006,$AA$3,'KIDS&amp;ADULTS'!$N$3:$N$12006,"Đã đóng học phí")</f>
        <v>0</v>
      </c>
      <c r="AB42" s="398">
        <f>SUMIFS('KIDS&amp;ADULTS'!$Z$3:$Z$12006,'KIDS&amp;ADULTS'!$V$3:$V$12006,U42,'KIDS&amp;ADULTS'!$B$3:$B$12006,$AB$3,'KIDS&amp;ADULTS'!$N$3:$N$12006,"Đã đóng học phí")</f>
        <v>0</v>
      </c>
      <c r="AC42" s="398">
        <f>SUMIFS('KIDS&amp;ADULTS'!$Z$3:$Z$12006,'KIDS&amp;ADULTS'!$V$3:$V$12006,U42,'KIDS&amp;ADULTS'!$B$3:$B$12006,$AC$3,'KIDS&amp;ADULTS'!$N$3:$N$12006,"Đã đóng học phí")</f>
        <v>0</v>
      </c>
      <c r="AD42" s="398">
        <f t="shared" si="10"/>
        <v>0</v>
      </c>
      <c r="AE42" s="386"/>
    </row>
    <row r="43" ht="15.75" customHeight="1">
      <c r="K43" s="383">
        <f>K35/S35</f>
        <v>0</v>
      </c>
      <c r="U43" s="372">
        <f t="shared" si="11"/>
        <v>45141</v>
      </c>
      <c r="V43" s="398">
        <f>SUMIFS('KIDS&amp;ADULTS'!$Z$3:$Z$12006,'KIDS&amp;ADULTS'!V$3:V$12006,U43,'KIDS&amp;ADULTS'!$B$3:$B$12006,$K$3,'KIDS&amp;ADULTS'!$N$3:$N$12006,"Đã đóng học phí")</f>
        <v>0</v>
      </c>
      <c r="W43" s="398">
        <f>SUMIFS('KIDS&amp;ADULTS'!$Z$3:$Z$12006,'KIDS&amp;ADULTS'!$V$3:$V$12006,U43,'KIDS&amp;ADULTS'!$B$3:$B$12006,$W$3,'KIDS&amp;ADULTS'!$N$3:$N$12006,"Đã đóng học phí")</f>
        <v>0</v>
      </c>
      <c r="X43" s="398">
        <f>SUMIFS('KIDS&amp;ADULTS'!$Z$3:$Z$12006,'KIDS&amp;ADULTS'!$V$3:$V$12006,U43,'KIDS&amp;ADULTS'!$B$3:$B$12006,$X$3,'KIDS&amp;ADULTS'!$N$3:$N$12006,"Đã đóng học phí")</f>
        <v>0</v>
      </c>
      <c r="Y43" s="398">
        <f>SUMIFS('KIDS&amp;ADULTS'!$Z$3:$Z$12006,'KIDS&amp;ADULTS'!$V$3:$V$12006,U43,'KIDS&amp;ADULTS'!$B$3:$B$12006,$Y$3,'KIDS&amp;ADULTS'!$N$3:$N$12006,"Đã đóng học phí")</f>
        <v>0</v>
      </c>
      <c r="Z43" s="398">
        <f>SUMIFS('KIDS&amp;ADULTS'!$Z$3:$Z$12006,'KIDS&amp;ADULTS'!$V$3:$V$12006,U43,'KIDS&amp;ADULTS'!$B$3:$B$12006,$Z$3,'KIDS&amp;ADULTS'!$N$3:$N$12006,"Đã đóng học phí")</f>
        <v>0</v>
      </c>
      <c r="AA43" s="398">
        <f>SUMIFS('KIDS&amp;ADULTS'!$Z$3:$Z$12006,'KIDS&amp;ADULTS'!$V$3:$V$12006,U43,'KIDS&amp;ADULTS'!$B$3:$B$12006,$AA$3,'KIDS&amp;ADULTS'!$N$3:$N$12006,"Đã đóng học phí")</f>
        <v>0</v>
      </c>
      <c r="AB43" s="398">
        <f>SUMIFS('KIDS&amp;ADULTS'!$Z$3:$Z$12006,'KIDS&amp;ADULTS'!$V$3:$V$12006,U43,'KIDS&amp;ADULTS'!$B$3:$B$12006,$AB$3,'KIDS&amp;ADULTS'!$N$3:$N$12006,"Đã đóng học phí")</f>
        <v>0</v>
      </c>
      <c r="AC43" s="398">
        <f>SUMIFS('KIDS&amp;ADULTS'!$Z$3:$Z$12006,'KIDS&amp;ADULTS'!$V$3:$V$12006,U43,'KIDS&amp;ADULTS'!$B$3:$B$12006,$AC$3,'KIDS&amp;ADULTS'!$N$3:$N$12006,"Đã đóng học phí")</f>
        <v>0</v>
      </c>
      <c r="AD43" s="398">
        <f t="shared" si="10"/>
        <v>0</v>
      </c>
      <c r="AE43" s="386"/>
    </row>
    <row r="44" ht="15.75" customHeight="1">
      <c r="U44" s="372">
        <f t="shared" si="11"/>
        <v>45142</v>
      </c>
      <c r="V44" s="398">
        <f>SUMIFS('KIDS&amp;ADULTS'!$Z$3:$Z$12006,'KIDS&amp;ADULTS'!V$3:V$12006,U44,'KIDS&amp;ADULTS'!$B$3:$B$12006,$K$3,'KIDS&amp;ADULTS'!$N$3:$N$12006,"Đã đóng học phí")</f>
        <v>0</v>
      </c>
      <c r="W44" s="398">
        <f>SUMIFS('KIDS&amp;ADULTS'!$Z$3:$Z$12006,'KIDS&amp;ADULTS'!$V$3:$V$12006,U44,'KIDS&amp;ADULTS'!$B$3:$B$12006,$W$3,'KIDS&amp;ADULTS'!$N$3:$N$12006,"Đã đóng học phí")</f>
        <v>0</v>
      </c>
      <c r="X44" s="398">
        <f>SUMIFS('KIDS&amp;ADULTS'!$Z$3:$Z$12006,'KIDS&amp;ADULTS'!$V$3:$V$12006,U44,'KIDS&amp;ADULTS'!$B$3:$B$12006,$X$3,'KIDS&amp;ADULTS'!$N$3:$N$12006,"Đã đóng học phí")</f>
        <v>5358280</v>
      </c>
      <c r="Y44" s="398">
        <f>SUMIFS('KIDS&amp;ADULTS'!$Z$3:$Z$12006,'KIDS&amp;ADULTS'!$V$3:$V$12006,U44,'KIDS&amp;ADULTS'!$B$3:$B$12006,$Y$3,'KIDS&amp;ADULTS'!$N$3:$N$12006,"Đã đóng học phí")</f>
        <v>0</v>
      </c>
      <c r="Z44" s="398">
        <f>SUMIFS('KIDS&amp;ADULTS'!$Z$3:$Z$12006,'KIDS&amp;ADULTS'!$V$3:$V$12006,U44,'KIDS&amp;ADULTS'!$B$3:$B$12006,$Z$3,'KIDS&amp;ADULTS'!$N$3:$N$12006,"Đã đóng học phí")</f>
        <v>0</v>
      </c>
      <c r="AA44" s="398">
        <f>SUMIFS('KIDS&amp;ADULTS'!$Z$3:$Z$12006,'KIDS&amp;ADULTS'!$V$3:$V$12006,U44,'KIDS&amp;ADULTS'!$B$3:$B$12006,$AA$3,'KIDS&amp;ADULTS'!$N$3:$N$12006,"Đã đóng học phí")</f>
        <v>0</v>
      </c>
      <c r="AB44" s="398">
        <f>SUMIFS('KIDS&amp;ADULTS'!$Z$3:$Z$12006,'KIDS&amp;ADULTS'!$V$3:$V$12006,U44,'KIDS&amp;ADULTS'!$B$3:$B$12006,$AB$3,'KIDS&amp;ADULTS'!$N$3:$N$12006,"Đã đóng học phí")</f>
        <v>0</v>
      </c>
      <c r="AC44" s="398">
        <f>SUMIFS('KIDS&amp;ADULTS'!$Z$3:$Z$12006,'KIDS&amp;ADULTS'!$V$3:$V$12006,U44,'KIDS&amp;ADULTS'!$B$3:$B$12006,$AC$3,'KIDS&amp;ADULTS'!$N$3:$N$12006,"Đã đóng học phí")</f>
        <v>0</v>
      </c>
      <c r="AD44" s="398">
        <f t="shared" si="10"/>
        <v>5358280</v>
      </c>
      <c r="AE44" s="386"/>
    </row>
    <row r="45" ht="15.75" customHeight="1">
      <c r="K45" s="386"/>
      <c r="U45" s="372">
        <f t="shared" si="11"/>
        <v>45143</v>
      </c>
      <c r="V45" s="398">
        <f>SUMIFS('KIDS&amp;ADULTS'!$Z$3:$Z$12006,'KIDS&amp;ADULTS'!V$3:V$12006,U45,'KIDS&amp;ADULTS'!$B$3:$B$12006,$K$3,'KIDS&amp;ADULTS'!$N$3:$N$12006,"Đã đóng học phí")</f>
        <v>0</v>
      </c>
      <c r="W45" s="398">
        <f>SUMIFS('KIDS&amp;ADULTS'!$Z$3:$Z$12006,'KIDS&amp;ADULTS'!$V$3:$V$12006,U45,'KIDS&amp;ADULTS'!$B$3:$B$12006,$W$3,'KIDS&amp;ADULTS'!$N$3:$N$12006,"Đã đóng học phí")</f>
        <v>0</v>
      </c>
      <c r="X45" s="398">
        <f>SUMIFS('KIDS&amp;ADULTS'!$Z$3:$Z$12006,'KIDS&amp;ADULTS'!$V$3:$V$12006,U45,'KIDS&amp;ADULTS'!$B$3:$B$12006,$X$3,'KIDS&amp;ADULTS'!$N$3:$N$12006,"Đã đóng học phí")</f>
        <v>0</v>
      </c>
      <c r="Y45" s="398">
        <f>SUMIFS('KIDS&amp;ADULTS'!$Z$3:$Z$12006,'KIDS&amp;ADULTS'!$V$3:$V$12006,U45,'KIDS&amp;ADULTS'!$B$3:$B$12006,$Y$3,'KIDS&amp;ADULTS'!$N$3:$N$12006,"Đã đóng học phí")</f>
        <v>0</v>
      </c>
      <c r="Z45" s="398">
        <f>SUMIFS('KIDS&amp;ADULTS'!$Z$3:$Z$12006,'KIDS&amp;ADULTS'!$V$3:$V$12006,U45,'KIDS&amp;ADULTS'!$B$3:$B$12006,$Z$3,'KIDS&amp;ADULTS'!$N$3:$N$12006,"Đã đóng học phí")</f>
        <v>0</v>
      </c>
      <c r="AA45" s="398">
        <f>SUMIFS('KIDS&amp;ADULTS'!$Z$3:$Z$12006,'KIDS&amp;ADULTS'!$V$3:$V$12006,U45,'KIDS&amp;ADULTS'!$B$3:$B$12006,$AA$3,'KIDS&amp;ADULTS'!$N$3:$N$12006,"Đã đóng học phí")</f>
        <v>0</v>
      </c>
      <c r="AB45" s="398">
        <f>SUMIFS('KIDS&amp;ADULTS'!$Z$3:$Z$12006,'KIDS&amp;ADULTS'!$V$3:$V$12006,U45,'KIDS&amp;ADULTS'!$B$3:$B$12006,$AB$3,'KIDS&amp;ADULTS'!$N$3:$N$12006,"Đã đóng học phí")</f>
        <v>0</v>
      </c>
      <c r="AC45" s="398">
        <f>SUMIFS('KIDS&amp;ADULTS'!$Z$3:$Z$12006,'KIDS&amp;ADULTS'!$V$3:$V$12006,U45,'KIDS&amp;ADULTS'!$B$3:$B$12006,$AC$3,'KIDS&amp;ADULTS'!$N$3:$N$12006,"Đã đóng học phí")</f>
        <v>0</v>
      </c>
      <c r="AD45" s="398">
        <f t="shared" si="10"/>
        <v>0</v>
      </c>
      <c r="AE45" s="386"/>
    </row>
    <row r="46" ht="15.75" customHeight="1">
      <c r="K46" s="386"/>
      <c r="U46" s="372">
        <f t="shared" si="11"/>
        <v>45144</v>
      </c>
      <c r="V46" s="398">
        <f>SUMIFS('KIDS&amp;ADULTS'!$Z$3:$Z$12006,'KIDS&amp;ADULTS'!V$3:V$12006,U46,'KIDS&amp;ADULTS'!$B$3:$B$12006,$K$3,'KIDS&amp;ADULTS'!$N$3:$N$12006,"Đã đóng học phí")</f>
        <v>0</v>
      </c>
      <c r="W46" s="398">
        <f>SUMIFS('KIDS&amp;ADULTS'!$Z$3:$Z$12006,'KIDS&amp;ADULTS'!$V$3:$V$12006,U46,'KIDS&amp;ADULTS'!$B$3:$B$12006,$W$3,'KIDS&amp;ADULTS'!$N$3:$N$12006,"Đã đóng học phí")</f>
        <v>0</v>
      </c>
      <c r="X46" s="398">
        <f>SUMIFS('KIDS&amp;ADULTS'!$Z$3:$Z$12006,'KIDS&amp;ADULTS'!$V$3:$V$12006,U46,'KIDS&amp;ADULTS'!$B$3:$B$12006,$X$3,'KIDS&amp;ADULTS'!$N$3:$N$12006,"Đã đóng học phí")</f>
        <v>0</v>
      </c>
      <c r="Y46" s="398">
        <f>SUMIFS('KIDS&amp;ADULTS'!$Z$3:$Z$12006,'KIDS&amp;ADULTS'!$V$3:$V$12006,U46,'KIDS&amp;ADULTS'!$B$3:$B$12006,$Y$3,'KIDS&amp;ADULTS'!$N$3:$N$12006,"Đã đóng học phí")</f>
        <v>0</v>
      </c>
      <c r="Z46" s="398">
        <f>SUMIFS('KIDS&amp;ADULTS'!$Z$3:$Z$12006,'KIDS&amp;ADULTS'!$V$3:$V$12006,U46,'KIDS&amp;ADULTS'!$B$3:$B$12006,$Z$3,'KIDS&amp;ADULTS'!$N$3:$N$12006,"Đã đóng học phí")</f>
        <v>0</v>
      </c>
      <c r="AA46" s="398">
        <f>SUMIFS('KIDS&amp;ADULTS'!$Z$3:$Z$12006,'KIDS&amp;ADULTS'!$V$3:$V$12006,U46,'KIDS&amp;ADULTS'!$B$3:$B$12006,$AA$3,'KIDS&amp;ADULTS'!$N$3:$N$12006,"Đã đóng học phí")</f>
        <v>0</v>
      </c>
      <c r="AB46" s="398">
        <f>SUMIFS('KIDS&amp;ADULTS'!$Z$3:$Z$12006,'KIDS&amp;ADULTS'!$V$3:$V$12006,U46,'KIDS&amp;ADULTS'!$B$3:$B$12006,$AB$3,'KIDS&amp;ADULTS'!$N$3:$N$12006,"Đã đóng học phí")</f>
        <v>0</v>
      </c>
      <c r="AC46" s="398">
        <f>SUMIFS('KIDS&amp;ADULTS'!$Z$3:$Z$12006,'KIDS&amp;ADULTS'!$V$3:$V$12006,U46,'KIDS&amp;ADULTS'!$B$3:$B$12006,$AC$3,'KIDS&amp;ADULTS'!$N$3:$N$12006,"Đã đóng học phí")</f>
        <v>0</v>
      </c>
      <c r="AD46" s="398">
        <f t="shared" si="10"/>
        <v>0</v>
      </c>
      <c r="AE46" s="386"/>
    </row>
    <row r="47" ht="15.75" customHeight="1">
      <c r="U47" s="372">
        <f t="shared" si="11"/>
        <v>45145</v>
      </c>
      <c r="V47" s="398">
        <f>SUMIFS('KIDS&amp;ADULTS'!$Z$3:$Z$12006,'KIDS&amp;ADULTS'!V$3:V$12006,U47,'KIDS&amp;ADULTS'!$B$3:$B$12006,$K$3,'KIDS&amp;ADULTS'!$N$3:$N$12006,"Đã đóng học phí")</f>
        <v>0</v>
      </c>
      <c r="W47" s="398">
        <f>SUMIFS('KIDS&amp;ADULTS'!$Z$3:$Z$12006,'KIDS&amp;ADULTS'!$V$3:$V$12006,U47,'KIDS&amp;ADULTS'!$B$3:$B$12006,$W$3,'KIDS&amp;ADULTS'!$N$3:$N$12006,"Đã đóng học phí")</f>
        <v>0</v>
      </c>
      <c r="X47" s="398">
        <f>SUMIFS('KIDS&amp;ADULTS'!$Z$3:$Z$12006,'KIDS&amp;ADULTS'!$V$3:$V$12006,U47,'KIDS&amp;ADULTS'!$B$3:$B$12006,$X$3,'KIDS&amp;ADULTS'!$N$3:$N$12006,"Đã đóng học phí")</f>
        <v>0</v>
      </c>
      <c r="Y47" s="398">
        <f>SUMIFS('KIDS&amp;ADULTS'!$Z$3:$Z$12006,'KIDS&amp;ADULTS'!$V$3:$V$12006,U47,'KIDS&amp;ADULTS'!$B$3:$B$12006,$Y$3,'KIDS&amp;ADULTS'!$N$3:$N$12006,"Đã đóng học phí")</f>
        <v>0</v>
      </c>
      <c r="Z47" s="398">
        <f>SUMIFS('KIDS&amp;ADULTS'!$Z$3:$Z$12006,'KIDS&amp;ADULTS'!$V$3:$V$12006,U47,'KIDS&amp;ADULTS'!$B$3:$B$12006,$Z$3,'KIDS&amp;ADULTS'!$N$3:$N$12006,"Đã đóng học phí")</f>
        <v>0</v>
      </c>
      <c r="AA47" s="398">
        <f>SUMIFS('KIDS&amp;ADULTS'!$Z$3:$Z$12006,'KIDS&amp;ADULTS'!$V$3:$V$12006,U47,'KIDS&amp;ADULTS'!$B$3:$B$12006,$AA$3,'KIDS&amp;ADULTS'!$N$3:$N$12006,"Đã đóng học phí")</f>
        <v>0</v>
      </c>
      <c r="AB47" s="398">
        <f>SUMIFS('KIDS&amp;ADULTS'!$Z$3:$Z$12006,'KIDS&amp;ADULTS'!$V$3:$V$12006,U47,'KIDS&amp;ADULTS'!$B$3:$B$12006,$AB$3,'KIDS&amp;ADULTS'!$N$3:$N$12006,"Đã đóng học phí")</f>
        <v>0</v>
      </c>
      <c r="AC47" s="398">
        <f>SUMIFS('KIDS&amp;ADULTS'!$Z$3:$Z$12006,'KIDS&amp;ADULTS'!$V$3:$V$12006,U47,'KIDS&amp;ADULTS'!$B$3:$B$12006,$AC$3,'KIDS&amp;ADULTS'!$N$3:$N$12006,"Đã đóng học phí")</f>
        <v>0</v>
      </c>
      <c r="AD47" s="398">
        <f t="shared" si="10"/>
        <v>0</v>
      </c>
      <c r="AE47" s="386"/>
    </row>
    <row r="48" ht="15.75" customHeight="1">
      <c r="U48" s="372">
        <f t="shared" si="11"/>
        <v>45146</v>
      </c>
      <c r="V48" s="398">
        <f>SUMIFS('KIDS&amp;ADULTS'!$Z$3:$Z$12006,'KIDS&amp;ADULTS'!V$3:V$12006,U48,'KIDS&amp;ADULTS'!$B$3:$B$12006,$K$3,'KIDS&amp;ADULTS'!$N$3:$N$12006,"Đã đóng học phí")</f>
        <v>0</v>
      </c>
      <c r="W48" s="398">
        <f>SUMIFS('KIDS&amp;ADULTS'!$Z$3:$Z$12006,'KIDS&amp;ADULTS'!$V$3:$V$12006,U48,'KIDS&amp;ADULTS'!$B$3:$B$12006,$W$3,'KIDS&amp;ADULTS'!$N$3:$N$12006,"Đã đóng học phí")</f>
        <v>0</v>
      </c>
      <c r="X48" s="398">
        <f>SUMIFS('KIDS&amp;ADULTS'!$Z$3:$Z$12006,'KIDS&amp;ADULTS'!$V$3:$V$12006,U48,'KIDS&amp;ADULTS'!$B$3:$B$12006,$X$3,'KIDS&amp;ADULTS'!$N$3:$N$12006,"Đã đóng học phí")</f>
        <v>0</v>
      </c>
      <c r="Y48" s="398">
        <f>SUMIFS('KIDS&amp;ADULTS'!$Z$3:$Z$12006,'KIDS&amp;ADULTS'!$V$3:$V$12006,U48,'KIDS&amp;ADULTS'!$B$3:$B$12006,$Y$3,'KIDS&amp;ADULTS'!$N$3:$N$12006,"Đã đóng học phí")</f>
        <v>0</v>
      </c>
      <c r="Z48" s="398">
        <f>SUMIFS('KIDS&amp;ADULTS'!$Z$3:$Z$12006,'KIDS&amp;ADULTS'!$V$3:$V$12006,U48,'KIDS&amp;ADULTS'!$B$3:$B$12006,$Z$3,'KIDS&amp;ADULTS'!$N$3:$N$12006,"Đã đóng học phí")</f>
        <v>0</v>
      </c>
      <c r="AA48" s="398">
        <f>SUMIFS('KIDS&amp;ADULTS'!$Z$3:$Z$12006,'KIDS&amp;ADULTS'!$V$3:$V$12006,U48,'KIDS&amp;ADULTS'!$B$3:$B$12006,$AA$3,'KIDS&amp;ADULTS'!$N$3:$N$12006,"Đã đóng học phí")</f>
        <v>0</v>
      </c>
      <c r="AB48" s="398">
        <f>SUMIFS('KIDS&amp;ADULTS'!$Z$3:$Z$12006,'KIDS&amp;ADULTS'!$V$3:$V$12006,U48,'KIDS&amp;ADULTS'!$B$3:$B$12006,$AB$3,'KIDS&amp;ADULTS'!$N$3:$N$12006,"Đã đóng học phí")</f>
        <v>0</v>
      </c>
      <c r="AC48" s="398">
        <f>SUMIFS('KIDS&amp;ADULTS'!$Z$3:$Z$12006,'KIDS&amp;ADULTS'!$V$3:$V$12006,U48,'KIDS&amp;ADULTS'!$B$3:$B$12006,$AC$3,'KIDS&amp;ADULTS'!$N$3:$N$12006,"Đã đóng học phí")</f>
        <v>0</v>
      </c>
      <c r="AD48" s="398">
        <f t="shared" si="10"/>
        <v>0</v>
      </c>
      <c r="AE48" s="386"/>
    </row>
    <row r="49" ht="15.75" customHeight="1">
      <c r="U49" s="372">
        <f t="shared" si="11"/>
        <v>45147</v>
      </c>
      <c r="V49" s="398">
        <f>SUMIFS('KIDS&amp;ADULTS'!$Z$3:$Z$12006,'KIDS&amp;ADULTS'!V$3:V$12006,U49,'KIDS&amp;ADULTS'!$B$3:$B$12006,$K$3,'KIDS&amp;ADULTS'!$N$3:$N$12006,"Đã đóng học phí")</f>
        <v>0</v>
      </c>
      <c r="W49" s="398">
        <f>SUMIFS('KIDS&amp;ADULTS'!$Z$3:$Z$12006,'KIDS&amp;ADULTS'!$V$3:$V$12006,U49,'KIDS&amp;ADULTS'!$B$3:$B$12006,$W$3,'KIDS&amp;ADULTS'!$N$3:$N$12006,"Đã đóng học phí")</f>
        <v>0</v>
      </c>
      <c r="X49" s="398">
        <f>SUMIFS('KIDS&amp;ADULTS'!$Z$3:$Z$12006,'KIDS&amp;ADULTS'!$V$3:$V$12006,U49,'KIDS&amp;ADULTS'!$B$3:$B$12006,$X$3,'KIDS&amp;ADULTS'!$N$3:$N$12006,"Đã đóng học phí")</f>
        <v>0</v>
      </c>
      <c r="Y49" s="398">
        <f>SUMIFS('KIDS&amp;ADULTS'!$Z$3:$Z$12006,'KIDS&amp;ADULTS'!$V$3:$V$12006,U49,'KIDS&amp;ADULTS'!$B$3:$B$12006,$Y$3,'KIDS&amp;ADULTS'!$N$3:$N$12006,"Đã đóng học phí")</f>
        <v>0</v>
      </c>
      <c r="Z49" s="398">
        <f>SUMIFS('KIDS&amp;ADULTS'!$Z$3:$Z$12006,'KIDS&amp;ADULTS'!$V$3:$V$12006,U49,'KIDS&amp;ADULTS'!$B$3:$B$12006,$Z$3,'KIDS&amp;ADULTS'!$N$3:$N$12006,"Đã đóng học phí")</f>
        <v>0</v>
      </c>
      <c r="AA49" s="398">
        <f>SUMIFS('KIDS&amp;ADULTS'!$Z$3:$Z$12006,'KIDS&amp;ADULTS'!$V$3:$V$12006,U49,'KIDS&amp;ADULTS'!$B$3:$B$12006,$AA$3,'KIDS&amp;ADULTS'!$N$3:$N$12006,"Đã đóng học phí")</f>
        <v>0</v>
      </c>
      <c r="AB49" s="398">
        <f>SUMIFS('KIDS&amp;ADULTS'!$Z$3:$Z$12006,'KIDS&amp;ADULTS'!$V$3:$V$12006,U49,'KIDS&amp;ADULTS'!$B$3:$B$12006,$AB$3,'KIDS&amp;ADULTS'!$N$3:$N$12006,"Đã đóng học phí")</f>
        <v>0</v>
      </c>
      <c r="AC49" s="398">
        <f>SUMIFS('KIDS&amp;ADULTS'!$Z$3:$Z$12006,'KIDS&amp;ADULTS'!$V$3:$V$12006,U49,'KIDS&amp;ADULTS'!$B$3:$B$12006,$AC$3,'KIDS&amp;ADULTS'!$N$3:$N$12006,"Đã đóng học phí")</f>
        <v>0</v>
      </c>
      <c r="AD49" s="398">
        <f t="shared" si="10"/>
        <v>0</v>
      </c>
      <c r="AE49" s="386"/>
    </row>
    <row r="50" ht="15.75" customHeight="1">
      <c r="U50" s="372">
        <f t="shared" si="11"/>
        <v>45148</v>
      </c>
      <c r="V50" s="398">
        <f>SUMIFS('KIDS&amp;ADULTS'!$Z$3:$Z$12006,'KIDS&amp;ADULTS'!V$3:V$12006,U50,'KIDS&amp;ADULTS'!$B$3:$B$12006,$K$3,'KIDS&amp;ADULTS'!$N$3:$N$12006,"Đã đóng học phí")</f>
        <v>0</v>
      </c>
      <c r="W50" s="398">
        <f>SUMIFS('KIDS&amp;ADULTS'!$Z$3:$Z$12006,'KIDS&amp;ADULTS'!$V$3:$V$12006,U50,'KIDS&amp;ADULTS'!$B$3:$B$12006,$W$3,'KIDS&amp;ADULTS'!$N$3:$N$12006,"Đã đóng học phí")</f>
        <v>0</v>
      </c>
      <c r="X50" s="398">
        <f>SUMIFS('KIDS&amp;ADULTS'!$Z$3:$Z$12006,'KIDS&amp;ADULTS'!$V$3:$V$12006,U50,'KIDS&amp;ADULTS'!$B$3:$B$12006,$X$3,'KIDS&amp;ADULTS'!$N$3:$N$12006,"Đã đóng học phí")</f>
        <v>0</v>
      </c>
      <c r="Y50" s="398">
        <f>SUMIFS('KIDS&amp;ADULTS'!$Z$3:$Z$12006,'KIDS&amp;ADULTS'!$V$3:$V$12006,U50,'KIDS&amp;ADULTS'!$B$3:$B$12006,$Y$3,'KIDS&amp;ADULTS'!$N$3:$N$12006,"Đã đóng học phí")</f>
        <v>0</v>
      </c>
      <c r="Z50" s="398">
        <f>SUMIFS('KIDS&amp;ADULTS'!$Z$3:$Z$12006,'KIDS&amp;ADULTS'!$V$3:$V$12006,U50,'KIDS&amp;ADULTS'!$B$3:$B$12006,$Z$3,'KIDS&amp;ADULTS'!$N$3:$N$12006,"Đã đóng học phí")</f>
        <v>0</v>
      </c>
      <c r="AA50" s="398">
        <f>SUMIFS('KIDS&amp;ADULTS'!$Z$3:$Z$12006,'KIDS&amp;ADULTS'!$V$3:$V$12006,U50,'KIDS&amp;ADULTS'!$B$3:$B$12006,$AA$3,'KIDS&amp;ADULTS'!$N$3:$N$12006,"Đã đóng học phí")</f>
        <v>0</v>
      </c>
      <c r="AB50" s="398">
        <f>SUMIFS('KIDS&amp;ADULTS'!$Z$3:$Z$12006,'KIDS&amp;ADULTS'!$V$3:$V$12006,U50,'KIDS&amp;ADULTS'!$B$3:$B$12006,$AB$3,'KIDS&amp;ADULTS'!$N$3:$N$12006,"Đã đóng học phí")</f>
        <v>0</v>
      </c>
      <c r="AC50" s="398">
        <f>SUMIFS('KIDS&amp;ADULTS'!$Z$3:$Z$12006,'KIDS&amp;ADULTS'!$V$3:$V$12006,U50,'KIDS&amp;ADULTS'!$B$3:$B$12006,$AC$3,'KIDS&amp;ADULTS'!$N$3:$N$12006,"Đã đóng học phí")</f>
        <v>0</v>
      </c>
      <c r="AD50" s="398">
        <f t="shared" si="10"/>
        <v>0</v>
      </c>
      <c r="AE50" s="386"/>
    </row>
    <row r="51" ht="15.75" customHeight="1">
      <c r="U51" s="372">
        <f t="shared" si="11"/>
        <v>45149</v>
      </c>
      <c r="V51" s="398">
        <f>SUMIFS('KIDS&amp;ADULTS'!$Z$3:$Z$12006,'KIDS&amp;ADULTS'!V$3:V$12006,U51,'KIDS&amp;ADULTS'!$B$3:$B$12006,$K$3,'KIDS&amp;ADULTS'!$N$3:$N$12006,"Đã đóng học phí")</f>
        <v>0</v>
      </c>
      <c r="W51" s="398">
        <f>SUMIFS('KIDS&amp;ADULTS'!$Z$3:$Z$12006,'KIDS&amp;ADULTS'!$V$3:$V$12006,U51,'KIDS&amp;ADULTS'!$B$3:$B$12006,$W$3,'KIDS&amp;ADULTS'!$N$3:$N$12006,"Đã đóng học phí")</f>
        <v>0</v>
      </c>
      <c r="X51" s="398">
        <f>SUMIFS('KIDS&amp;ADULTS'!$Z$3:$Z$12006,'KIDS&amp;ADULTS'!$V$3:$V$12006,U51,'KIDS&amp;ADULTS'!$B$3:$B$12006,$X$3,'KIDS&amp;ADULTS'!$N$3:$N$12006,"Đã đóng học phí")</f>
        <v>0</v>
      </c>
      <c r="Y51" s="398">
        <f>SUMIFS('KIDS&amp;ADULTS'!$Z$3:$Z$12006,'KIDS&amp;ADULTS'!$V$3:$V$12006,U51,'KIDS&amp;ADULTS'!$B$3:$B$12006,$Y$3,'KIDS&amp;ADULTS'!$N$3:$N$12006,"Đã đóng học phí")</f>
        <v>2970140</v>
      </c>
      <c r="Z51" s="398">
        <f>SUMIFS('KIDS&amp;ADULTS'!$Z$3:$Z$12006,'KIDS&amp;ADULTS'!$V$3:$V$12006,U51,'KIDS&amp;ADULTS'!$B$3:$B$12006,$Z$3,'KIDS&amp;ADULTS'!$N$3:$N$12006,"Đã đóng học phí")</f>
        <v>0</v>
      </c>
      <c r="AA51" s="398">
        <f>SUMIFS('KIDS&amp;ADULTS'!$Z$3:$Z$12006,'KIDS&amp;ADULTS'!$V$3:$V$12006,U51,'KIDS&amp;ADULTS'!$B$3:$B$12006,$AA$3,'KIDS&amp;ADULTS'!$N$3:$N$12006,"Đã đóng học phí")</f>
        <v>0</v>
      </c>
      <c r="AB51" s="398">
        <f>SUMIFS('KIDS&amp;ADULTS'!$Z$3:$Z$12006,'KIDS&amp;ADULTS'!$V$3:$V$12006,U51,'KIDS&amp;ADULTS'!$B$3:$B$12006,$AB$3,'KIDS&amp;ADULTS'!$N$3:$N$12006,"Đã đóng học phí")</f>
        <v>0</v>
      </c>
      <c r="AC51" s="398">
        <f>SUMIFS('KIDS&amp;ADULTS'!$Z$3:$Z$12006,'KIDS&amp;ADULTS'!$V$3:$V$12006,U51,'KIDS&amp;ADULTS'!$B$3:$B$12006,$AC$3,'KIDS&amp;ADULTS'!$N$3:$N$12006,"Đã đóng học phí")</f>
        <v>0</v>
      </c>
      <c r="AD51" s="398">
        <f t="shared" si="10"/>
        <v>2970140</v>
      </c>
      <c r="AE51" s="386"/>
    </row>
    <row r="52" ht="15.75" customHeight="1">
      <c r="U52" s="372">
        <f t="shared" si="11"/>
        <v>45150</v>
      </c>
      <c r="V52" s="398">
        <f>SUMIFS('KIDS&amp;ADULTS'!$Z$3:$Z$12006,'KIDS&amp;ADULTS'!V$3:V$12006,U52,'KIDS&amp;ADULTS'!$B$3:$B$12006,$K$3,'KIDS&amp;ADULTS'!$N$3:$N$12006,"Đã đóng học phí")</f>
        <v>0</v>
      </c>
      <c r="W52" s="398">
        <f>SUMIFS('KIDS&amp;ADULTS'!$Z$3:$Z$12006,'KIDS&amp;ADULTS'!$V$3:$V$12006,U52,'KIDS&amp;ADULTS'!$B$3:$B$12006,$W$3,'KIDS&amp;ADULTS'!$N$3:$N$12006,"Đã đóng học phí")</f>
        <v>0</v>
      </c>
      <c r="X52" s="398">
        <f>SUMIFS('KIDS&amp;ADULTS'!$Z$3:$Z$12006,'KIDS&amp;ADULTS'!$V$3:$V$12006,U52,'KIDS&amp;ADULTS'!$B$3:$B$12006,$X$3,'KIDS&amp;ADULTS'!$N$3:$N$12006,"Đã đóng học phí")</f>
        <v>0</v>
      </c>
      <c r="Y52" s="398">
        <f>SUMIFS('KIDS&amp;ADULTS'!$Z$3:$Z$12006,'KIDS&amp;ADULTS'!$V$3:$V$12006,U52,'KIDS&amp;ADULTS'!$B$3:$B$12006,$Y$3,'KIDS&amp;ADULTS'!$N$3:$N$12006,"Đã đóng học phí")</f>
        <v>0</v>
      </c>
      <c r="Z52" s="398">
        <f>SUMIFS('KIDS&amp;ADULTS'!$Z$3:$Z$12006,'KIDS&amp;ADULTS'!$V$3:$V$12006,U52,'KIDS&amp;ADULTS'!$B$3:$B$12006,$Z$3,'KIDS&amp;ADULTS'!$N$3:$N$12006,"Đã đóng học phí")</f>
        <v>0</v>
      </c>
      <c r="AA52" s="398">
        <f>SUMIFS('KIDS&amp;ADULTS'!$Z$3:$Z$12006,'KIDS&amp;ADULTS'!$V$3:$V$12006,U52,'KIDS&amp;ADULTS'!$B$3:$B$12006,$AA$3,'KIDS&amp;ADULTS'!$N$3:$N$12006,"Đã đóng học phí")</f>
        <v>0</v>
      </c>
      <c r="AB52" s="398">
        <f>SUMIFS('KIDS&amp;ADULTS'!$Z$3:$Z$12006,'KIDS&amp;ADULTS'!$V$3:$V$12006,U52,'KIDS&amp;ADULTS'!$B$3:$B$12006,$AB$3,'KIDS&amp;ADULTS'!$N$3:$N$12006,"Đã đóng học phí")</f>
        <v>0</v>
      </c>
      <c r="AC52" s="398">
        <f>SUMIFS('KIDS&amp;ADULTS'!$Z$3:$Z$12006,'KIDS&amp;ADULTS'!$V$3:$V$12006,U52,'KIDS&amp;ADULTS'!$B$3:$B$12006,$AC$3,'KIDS&amp;ADULTS'!$N$3:$N$12006,"Đã đóng học phí")</f>
        <v>0</v>
      </c>
      <c r="AD52" s="398">
        <f t="shared" si="10"/>
        <v>0</v>
      </c>
      <c r="AE52" s="386"/>
    </row>
    <row r="53" ht="15.75" customHeight="1">
      <c r="U53" s="372">
        <f t="shared" si="11"/>
        <v>45151</v>
      </c>
      <c r="V53" s="398">
        <f>SUMIFS('KIDS&amp;ADULTS'!$Z$3:$Z$12006,'KIDS&amp;ADULTS'!V$3:V$12006,U53,'KIDS&amp;ADULTS'!$B$3:$B$12006,$K$3,'KIDS&amp;ADULTS'!$N$3:$N$12006,"Đã đóng học phí")</f>
        <v>0</v>
      </c>
      <c r="W53" s="398">
        <f>SUMIFS('KIDS&amp;ADULTS'!$Z$3:$Z$12006,'KIDS&amp;ADULTS'!$V$3:$V$12006,U53,'KIDS&amp;ADULTS'!$B$3:$B$12006,$W$3,'KIDS&amp;ADULTS'!$N$3:$N$12006,"Đã đóng học phí")</f>
        <v>0</v>
      </c>
      <c r="X53" s="398">
        <f>SUMIFS('KIDS&amp;ADULTS'!$Z$3:$Z$12006,'KIDS&amp;ADULTS'!$V$3:$V$12006,U53,'KIDS&amp;ADULTS'!$B$3:$B$12006,$X$3,'KIDS&amp;ADULTS'!$N$3:$N$12006,"Đã đóng học phí")</f>
        <v>0</v>
      </c>
      <c r="Y53" s="398">
        <f>SUMIFS('KIDS&amp;ADULTS'!$Z$3:$Z$12006,'KIDS&amp;ADULTS'!$V$3:$V$12006,U53,'KIDS&amp;ADULTS'!$B$3:$B$12006,$Y$3,'KIDS&amp;ADULTS'!$N$3:$N$12006,"Đã đóng học phí")</f>
        <v>0</v>
      </c>
      <c r="Z53" s="398">
        <f>SUMIFS('KIDS&amp;ADULTS'!$Z$3:$Z$12006,'KIDS&amp;ADULTS'!$V$3:$V$12006,U53,'KIDS&amp;ADULTS'!$B$3:$B$12006,$Z$3,'KIDS&amp;ADULTS'!$N$3:$N$12006,"Đã đóng học phí")</f>
        <v>0</v>
      </c>
      <c r="AA53" s="398">
        <f>SUMIFS('KIDS&amp;ADULTS'!$Z$3:$Z$12006,'KIDS&amp;ADULTS'!$V$3:$V$12006,U53,'KIDS&amp;ADULTS'!$B$3:$B$12006,$AA$3,'KIDS&amp;ADULTS'!$N$3:$N$12006,"Đã đóng học phí")</f>
        <v>0</v>
      </c>
      <c r="AB53" s="398">
        <f>SUMIFS('KIDS&amp;ADULTS'!$Z$3:$Z$12006,'KIDS&amp;ADULTS'!$V$3:$V$12006,U53,'KIDS&amp;ADULTS'!$B$3:$B$12006,$AB$3,'KIDS&amp;ADULTS'!$N$3:$N$12006,"Đã đóng học phí")</f>
        <v>0</v>
      </c>
      <c r="AC53" s="398">
        <f>SUMIFS('KIDS&amp;ADULTS'!$Z$3:$Z$12006,'KIDS&amp;ADULTS'!$V$3:$V$12006,U53,'KIDS&amp;ADULTS'!$B$3:$B$12006,$AC$3,'KIDS&amp;ADULTS'!$N$3:$N$12006,"Đã đóng học phí")</f>
        <v>0</v>
      </c>
      <c r="AD53" s="398">
        <f t="shared" si="10"/>
        <v>0</v>
      </c>
      <c r="AE53" s="386"/>
    </row>
    <row r="54" ht="15.75" customHeight="1">
      <c r="U54" s="372">
        <f t="shared" si="11"/>
        <v>45152</v>
      </c>
      <c r="V54" s="398">
        <f>SUMIFS('KIDS&amp;ADULTS'!$Z$3:$Z$12006,'KIDS&amp;ADULTS'!V$3:V$12006,U54,'KIDS&amp;ADULTS'!$B$3:$B$12006,$K$3,'KIDS&amp;ADULTS'!$N$3:$N$12006,"Đã đóng học phí")</f>
        <v>0</v>
      </c>
      <c r="W54" s="398">
        <f>SUMIFS('KIDS&amp;ADULTS'!$Z$3:$Z$12006,'KIDS&amp;ADULTS'!$V$3:$V$12006,U54,'KIDS&amp;ADULTS'!$B$3:$B$12006,$W$3,'KIDS&amp;ADULTS'!$N$3:$N$12006,"Đã đóng học phí")</f>
        <v>0</v>
      </c>
      <c r="X54" s="398">
        <f>SUMIFS('KIDS&amp;ADULTS'!$Z$3:$Z$12006,'KIDS&amp;ADULTS'!$V$3:$V$12006,U54,'KIDS&amp;ADULTS'!$B$3:$B$12006,$X$3,'KIDS&amp;ADULTS'!$N$3:$N$12006,"Đã đóng học phí")</f>
        <v>0</v>
      </c>
      <c r="Y54" s="398">
        <f>SUMIFS('KIDS&amp;ADULTS'!$Z$3:$Z$12006,'KIDS&amp;ADULTS'!$V$3:$V$12006,U54,'KIDS&amp;ADULTS'!$B$3:$B$12006,$Y$3,'KIDS&amp;ADULTS'!$N$3:$N$12006,"Đã đóng học phí")</f>
        <v>4243750</v>
      </c>
      <c r="Z54" s="398">
        <f>SUMIFS('KIDS&amp;ADULTS'!$Z$3:$Z$12006,'KIDS&amp;ADULTS'!$V$3:$V$12006,U54,'KIDS&amp;ADULTS'!$B$3:$B$12006,$Z$3,'KIDS&amp;ADULTS'!$N$3:$N$12006,"Đã đóng học phí")</f>
        <v>0</v>
      </c>
      <c r="AA54" s="398">
        <f>SUMIFS('KIDS&amp;ADULTS'!$Z$3:$Z$12006,'KIDS&amp;ADULTS'!$V$3:$V$12006,U54,'KIDS&amp;ADULTS'!$B$3:$B$12006,$AA$3,'KIDS&amp;ADULTS'!$N$3:$N$12006,"Đã đóng học phí")</f>
        <v>0</v>
      </c>
      <c r="AB54" s="398">
        <f>SUMIFS('KIDS&amp;ADULTS'!$Z$3:$Z$12006,'KIDS&amp;ADULTS'!$V$3:$V$12006,U54,'KIDS&amp;ADULTS'!$B$3:$B$12006,$AB$3,'KIDS&amp;ADULTS'!$N$3:$N$12006,"Đã đóng học phí")</f>
        <v>0</v>
      </c>
      <c r="AC54" s="398">
        <f>SUMIFS('KIDS&amp;ADULTS'!$Z$3:$Z$12006,'KIDS&amp;ADULTS'!$V$3:$V$12006,U54,'KIDS&amp;ADULTS'!$B$3:$B$12006,$AC$3,'KIDS&amp;ADULTS'!$N$3:$N$12006,"Đã đóng học phí")</f>
        <v>0</v>
      </c>
      <c r="AD54" s="398">
        <f t="shared" si="10"/>
        <v>4243750</v>
      </c>
      <c r="AE54" s="386"/>
    </row>
    <row r="55" ht="15.75" customHeight="1">
      <c r="U55" s="372">
        <f t="shared" si="11"/>
        <v>45153</v>
      </c>
      <c r="V55" s="398">
        <f>SUMIFS('KIDS&amp;ADULTS'!$Z$3:$Z$12006,'KIDS&amp;ADULTS'!V$3:V$12006,U55,'KIDS&amp;ADULTS'!$B$3:$B$12006,$K$3,'KIDS&amp;ADULTS'!$N$3:$N$12006,"Đã đóng học phí")</f>
        <v>0</v>
      </c>
      <c r="W55" s="398">
        <f>SUMIFS('KIDS&amp;ADULTS'!$Z$3:$Z$12006,'KIDS&amp;ADULTS'!$V$3:$V$12006,U55,'KIDS&amp;ADULTS'!$B$3:$B$12006,$W$3,'KIDS&amp;ADULTS'!$N$3:$N$12006,"Đã đóng học phí")</f>
        <v>0</v>
      </c>
      <c r="X55" s="398">
        <f>SUMIFS('KIDS&amp;ADULTS'!$Z$3:$Z$12006,'KIDS&amp;ADULTS'!$V$3:$V$12006,U55,'KIDS&amp;ADULTS'!$B$3:$B$12006,$X$3,'KIDS&amp;ADULTS'!$N$3:$N$12006,"Đã đóng học phí")</f>
        <v>0</v>
      </c>
      <c r="Y55" s="398">
        <f>SUMIFS('KIDS&amp;ADULTS'!$Z$3:$Z$12006,'KIDS&amp;ADULTS'!$V$3:$V$12006,U55,'KIDS&amp;ADULTS'!$B$3:$B$12006,$Y$3,'KIDS&amp;ADULTS'!$N$3:$N$12006,"Đã đóng học phí")</f>
        <v>0</v>
      </c>
      <c r="Z55" s="398">
        <f>SUMIFS('KIDS&amp;ADULTS'!$Z$3:$Z$12006,'KIDS&amp;ADULTS'!$V$3:$V$12006,U55,'KIDS&amp;ADULTS'!$B$3:$B$12006,$Z$3,'KIDS&amp;ADULTS'!$N$3:$N$12006,"Đã đóng học phí")</f>
        <v>0</v>
      </c>
      <c r="AA55" s="398">
        <f>SUMIFS('KIDS&amp;ADULTS'!$Z$3:$Z$12006,'KIDS&amp;ADULTS'!$V$3:$V$12006,U55,'KIDS&amp;ADULTS'!$B$3:$B$12006,$AA$3,'KIDS&amp;ADULTS'!$N$3:$N$12006,"Đã đóng học phí")</f>
        <v>0</v>
      </c>
      <c r="AB55" s="398">
        <f>SUMIFS('KIDS&amp;ADULTS'!$Z$3:$Z$12006,'KIDS&amp;ADULTS'!$V$3:$V$12006,U55,'KIDS&amp;ADULTS'!$B$3:$B$12006,$AB$3,'KIDS&amp;ADULTS'!$N$3:$N$12006,"Đã đóng học phí")</f>
        <v>0</v>
      </c>
      <c r="AC55" s="398">
        <f>SUMIFS('KIDS&amp;ADULTS'!$Z$3:$Z$12006,'KIDS&amp;ADULTS'!$V$3:$V$12006,U55,'KIDS&amp;ADULTS'!$B$3:$B$12006,$AC$3,'KIDS&amp;ADULTS'!$N$3:$N$12006,"Đã đóng học phí")</f>
        <v>0</v>
      </c>
      <c r="AD55" s="398">
        <f t="shared" si="10"/>
        <v>0</v>
      </c>
      <c r="AE55" s="386"/>
    </row>
    <row r="56" ht="15.75" customHeight="1">
      <c r="U56" s="372">
        <f t="shared" si="11"/>
        <v>45154</v>
      </c>
      <c r="V56" s="398">
        <f>SUMIFS('KIDS&amp;ADULTS'!$Z$3:$Z$12006,'KIDS&amp;ADULTS'!V$3:V$12006,U56,'KIDS&amp;ADULTS'!$B$3:$B$12006,$K$3,'KIDS&amp;ADULTS'!$N$3:$N$12006,"Đã đóng học phí")</f>
        <v>0</v>
      </c>
      <c r="W56" s="398">
        <f>SUMIFS('KIDS&amp;ADULTS'!$Z$3:$Z$12006,'KIDS&amp;ADULTS'!$V$3:$V$12006,U56,'KIDS&amp;ADULTS'!$B$3:$B$12006,$W$3,'KIDS&amp;ADULTS'!$N$3:$N$12006,"Đã đóng học phí")</f>
        <v>0</v>
      </c>
      <c r="X56" s="398">
        <f>SUMIFS('KIDS&amp;ADULTS'!$Z$3:$Z$12006,'KIDS&amp;ADULTS'!$V$3:$V$12006,U56,'KIDS&amp;ADULTS'!$B$3:$B$12006,$X$3,'KIDS&amp;ADULTS'!$N$3:$N$12006,"Đã đóng học phí")</f>
        <v>0</v>
      </c>
      <c r="Y56" s="398">
        <f>SUMIFS('KIDS&amp;ADULTS'!$Z$3:$Z$12006,'KIDS&amp;ADULTS'!$V$3:$V$12006,U56,'KIDS&amp;ADULTS'!$B$3:$B$12006,$Y$3,'KIDS&amp;ADULTS'!$N$3:$N$12006,"Đã đóng học phí")</f>
        <v>3062000</v>
      </c>
      <c r="Z56" s="398">
        <f>SUMIFS('KIDS&amp;ADULTS'!$Z$3:$Z$12006,'KIDS&amp;ADULTS'!$V$3:$V$12006,U56,'KIDS&amp;ADULTS'!$B$3:$B$12006,$Z$3,'KIDS&amp;ADULTS'!$N$3:$N$12006,"Đã đóng học phí")</f>
        <v>0</v>
      </c>
      <c r="AA56" s="398">
        <f>SUMIFS('KIDS&amp;ADULTS'!$Z$3:$Z$12006,'KIDS&amp;ADULTS'!$V$3:$V$12006,U56,'KIDS&amp;ADULTS'!$B$3:$B$12006,$AA$3,'KIDS&amp;ADULTS'!$N$3:$N$12006,"Đã đóng học phí")</f>
        <v>0</v>
      </c>
      <c r="AB56" s="398">
        <f>SUMIFS('KIDS&amp;ADULTS'!$Z$3:$Z$12006,'KIDS&amp;ADULTS'!$V$3:$V$12006,U56,'KIDS&amp;ADULTS'!$B$3:$B$12006,$AB$3,'KIDS&amp;ADULTS'!$N$3:$N$12006,"Đã đóng học phí")</f>
        <v>0</v>
      </c>
      <c r="AC56" s="398">
        <f>SUMIFS('KIDS&amp;ADULTS'!$Z$3:$Z$12006,'KIDS&amp;ADULTS'!$V$3:$V$12006,U56,'KIDS&amp;ADULTS'!$B$3:$B$12006,$AC$3,'KIDS&amp;ADULTS'!$N$3:$N$12006,"Đã đóng học phí")</f>
        <v>0</v>
      </c>
      <c r="AD56" s="398">
        <f t="shared" si="10"/>
        <v>3062000</v>
      </c>
      <c r="AE56" s="386"/>
    </row>
    <row r="57" ht="15.75" customHeight="1">
      <c r="U57" s="372">
        <f t="shared" si="11"/>
        <v>45155</v>
      </c>
      <c r="V57" s="398">
        <f>SUMIFS('KIDS&amp;ADULTS'!$Z$3:$Z$12006,'KIDS&amp;ADULTS'!V$3:V$12006,U57,'KIDS&amp;ADULTS'!$B$3:$B$12006,$K$3,'KIDS&amp;ADULTS'!$N$3:$N$12006,"Đã đóng học phí")</f>
        <v>0</v>
      </c>
      <c r="W57" s="398">
        <f>SUMIFS('KIDS&amp;ADULTS'!$Z$3:$Z$12006,'KIDS&amp;ADULTS'!$V$3:$V$12006,U57,'KIDS&amp;ADULTS'!$B$3:$B$12006,$W$3,'KIDS&amp;ADULTS'!$N$3:$N$12006,"Đã đóng học phí")</f>
        <v>0</v>
      </c>
      <c r="X57" s="398">
        <f>SUMIFS('KIDS&amp;ADULTS'!$Z$3:$Z$12006,'KIDS&amp;ADULTS'!$V$3:$V$12006,U57,'KIDS&amp;ADULTS'!$B$3:$B$12006,$X$3,'KIDS&amp;ADULTS'!$N$3:$N$12006,"Đã đóng học phí")</f>
        <v>0</v>
      </c>
      <c r="Y57" s="398">
        <f>SUMIFS('KIDS&amp;ADULTS'!$Z$3:$Z$12006,'KIDS&amp;ADULTS'!$V$3:$V$12006,U57,'KIDS&amp;ADULTS'!$B$3:$B$12006,$Y$3,'KIDS&amp;ADULTS'!$N$3:$N$12006,"Đã đóng học phí")</f>
        <v>0</v>
      </c>
      <c r="Z57" s="398">
        <f>SUMIFS('KIDS&amp;ADULTS'!$Z$3:$Z$12006,'KIDS&amp;ADULTS'!$V$3:$V$12006,U57,'KIDS&amp;ADULTS'!$B$3:$B$12006,$Z$3,'KIDS&amp;ADULTS'!$N$3:$N$12006,"Đã đóng học phí")</f>
        <v>0</v>
      </c>
      <c r="AA57" s="398">
        <f>SUMIFS('KIDS&amp;ADULTS'!$Z$3:$Z$12006,'KIDS&amp;ADULTS'!$V$3:$V$12006,U57,'KIDS&amp;ADULTS'!$B$3:$B$12006,$AA$3,'KIDS&amp;ADULTS'!$N$3:$N$12006,"Đã đóng học phí")</f>
        <v>0</v>
      </c>
      <c r="AB57" s="398">
        <f>SUMIFS('KIDS&amp;ADULTS'!$Z$3:$Z$12006,'KIDS&amp;ADULTS'!$V$3:$V$12006,U57,'KIDS&amp;ADULTS'!$B$3:$B$12006,$AB$3,'KIDS&amp;ADULTS'!$N$3:$N$12006,"Đã đóng học phí")</f>
        <v>0</v>
      </c>
      <c r="AC57" s="398">
        <f>SUMIFS('KIDS&amp;ADULTS'!$Z$3:$Z$12006,'KIDS&amp;ADULTS'!$V$3:$V$12006,U57,'KIDS&amp;ADULTS'!$B$3:$B$12006,$AC$3,'KIDS&amp;ADULTS'!$N$3:$N$12006,"Đã đóng học phí")</f>
        <v>0</v>
      </c>
      <c r="AD57" s="398">
        <f t="shared" si="10"/>
        <v>0</v>
      </c>
      <c r="AE57" s="386"/>
    </row>
    <row r="58" ht="15.75" customHeight="1">
      <c r="U58" s="372">
        <f t="shared" si="11"/>
        <v>45156</v>
      </c>
      <c r="V58" s="398">
        <f>SUMIFS('KIDS&amp;ADULTS'!$Z$3:$Z$12006,'KIDS&amp;ADULTS'!V$3:V$12006,U58,'KIDS&amp;ADULTS'!$B$3:$B$12006,$K$3,'KIDS&amp;ADULTS'!$N$3:$N$12006,"Đã đóng học phí")</f>
        <v>0</v>
      </c>
      <c r="W58" s="398">
        <f>SUMIFS('KIDS&amp;ADULTS'!$Z$3:$Z$12006,'KIDS&amp;ADULTS'!$V$3:$V$12006,U58,'KIDS&amp;ADULTS'!$B$3:$B$12006,$W$3,'KIDS&amp;ADULTS'!$N$3:$N$12006,"Đã đóng học phí")</f>
        <v>0</v>
      </c>
      <c r="X58" s="398">
        <f>SUMIFS('KIDS&amp;ADULTS'!$Z$3:$Z$12006,'KIDS&amp;ADULTS'!$V$3:$V$12006,U58,'KIDS&amp;ADULTS'!$B$3:$B$12006,$X$3,'KIDS&amp;ADULTS'!$N$3:$N$12006,"Đã đóng học phí")</f>
        <v>0</v>
      </c>
      <c r="Y58" s="398">
        <f>SUMIFS('KIDS&amp;ADULTS'!$Z$3:$Z$12006,'KIDS&amp;ADULTS'!$V$3:$V$12006,U58,'KIDS&amp;ADULTS'!$B$3:$B$12006,$Y$3,'KIDS&amp;ADULTS'!$N$3:$N$12006,"Đã đóng học phí")</f>
        <v>0</v>
      </c>
      <c r="Z58" s="398">
        <f>SUMIFS('KIDS&amp;ADULTS'!$Z$3:$Z$12006,'KIDS&amp;ADULTS'!$V$3:$V$12006,U58,'KIDS&amp;ADULTS'!$B$3:$B$12006,$Z$3,'KIDS&amp;ADULTS'!$N$3:$N$12006,"Đã đóng học phí")</f>
        <v>0</v>
      </c>
      <c r="AA58" s="398">
        <f>SUMIFS('KIDS&amp;ADULTS'!$Z$3:$Z$12006,'KIDS&amp;ADULTS'!$V$3:$V$12006,U58,'KIDS&amp;ADULTS'!$B$3:$B$12006,$AA$3,'KIDS&amp;ADULTS'!$N$3:$N$12006,"Đã đóng học phí")</f>
        <v>0</v>
      </c>
      <c r="AB58" s="398">
        <f>SUMIFS('KIDS&amp;ADULTS'!$Z$3:$Z$12006,'KIDS&amp;ADULTS'!$V$3:$V$12006,U58,'KIDS&amp;ADULTS'!$B$3:$B$12006,$AB$3,'KIDS&amp;ADULTS'!$N$3:$N$12006,"Đã đóng học phí")</f>
        <v>0</v>
      </c>
      <c r="AC58" s="398">
        <f>SUMIFS('KIDS&amp;ADULTS'!$Z$3:$Z$12006,'KIDS&amp;ADULTS'!$V$3:$V$12006,U58,'KIDS&amp;ADULTS'!$B$3:$B$12006,$AC$3,'KIDS&amp;ADULTS'!$N$3:$N$12006,"Đã đóng học phí")</f>
        <v>0</v>
      </c>
      <c r="AD58" s="398">
        <f t="shared" si="10"/>
        <v>0</v>
      </c>
      <c r="AE58" s="386"/>
    </row>
    <row r="59" ht="15.75" customHeight="1">
      <c r="U59" s="372">
        <f t="shared" si="11"/>
        <v>45157</v>
      </c>
      <c r="V59" s="398">
        <f>SUMIFS('KIDS&amp;ADULTS'!$Z$3:$Z$12006,'KIDS&amp;ADULTS'!V$3:V$12006,U59,'KIDS&amp;ADULTS'!$B$3:$B$12006,$K$3,'KIDS&amp;ADULTS'!$N$3:$N$12006,"Đã đóng học phí")</f>
        <v>0</v>
      </c>
      <c r="W59" s="398">
        <f>SUMIFS('KIDS&amp;ADULTS'!$Z$3:$Z$12006,'KIDS&amp;ADULTS'!$V$3:$V$12006,U59,'KIDS&amp;ADULTS'!$B$3:$B$12006,$W$3,'KIDS&amp;ADULTS'!$N$3:$N$12006,"Đã đóng học phí")</f>
        <v>0</v>
      </c>
      <c r="X59" s="398">
        <f>SUMIFS('KIDS&amp;ADULTS'!$Z$3:$Z$12006,'KIDS&amp;ADULTS'!$V$3:$V$12006,U59,'KIDS&amp;ADULTS'!$B$3:$B$12006,$X$3,'KIDS&amp;ADULTS'!$N$3:$N$12006,"Đã đóng học phí")</f>
        <v>0</v>
      </c>
      <c r="Y59" s="398">
        <f>SUMIFS('KIDS&amp;ADULTS'!$Z$3:$Z$12006,'KIDS&amp;ADULTS'!$V$3:$V$12006,U59,'KIDS&amp;ADULTS'!$B$3:$B$12006,$Y$3,'KIDS&amp;ADULTS'!$N$3:$N$12006,"Đã đóng học phí")</f>
        <v>0</v>
      </c>
      <c r="Z59" s="398">
        <f>SUMIFS('KIDS&amp;ADULTS'!$Z$3:$Z$12006,'KIDS&amp;ADULTS'!$V$3:$V$12006,U59,'KIDS&amp;ADULTS'!$B$3:$B$12006,$Z$3,'KIDS&amp;ADULTS'!$N$3:$N$12006,"Đã đóng học phí")</f>
        <v>0</v>
      </c>
      <c r="AA59" s="398">
        <f>SUMIFS('KIDS&amp;ADULTS'!$Z$3:$Z$12006,'KIDS&amp;ADULTS'!$V$3:$V$12006,U59,'KIDS&amp;ADULTS'!$B$3:$B$12006,$AA$3,'KIDS&amp;ADULTS'!$N$3:$N$12006,"Đã đóng học phí")</f>
        <v>0</v>
      </c>
      <c r="AB59" s="398">
        <f>SUMIFS('KIDS&amp;ADULTS'!$Z$3:$Z$12006,'KIDS&amp;ADULTS'!$V$3:$V$12006,U59,'KIDS&amp;ADULTS'!$B$3:$B$12006,$AB$3,'KIDS&amp;ADULTS'!$N$3:$N$12006,"Đã đóng học phí")</f>
        <v>0</v>
      </c>
      <c r="AC59" s="398">
        <f>SUMIFS('KIDS&amp;ADULTS'!$Z$3:$Z$12006,'KIDS&amp;ADULTS'!$V$3:$V$12006,U59,'KIDS&amp;ADULTS'!$B$3:$B$12006,$AC$3,'KIDS&amp;ADULTS'!$N$3:$N$12006,"Đã đóng học phí")</f>
        <v>0</v>
      </c>
      <c r="AD59" s="398">
        <f t="shared" si="10"/>
        <v>0</v>
      </c>
      <c r="AE59" s="386"/>
    </row>
    <row r="60" ht="15.75" customHeight="1">
      <c r="U60" s="372">
        <f t="shared" si="11"/>
        <v>45158</v>
      </c>
      <c r="V60" s="398">
        <f>SUMIFS('KIDS&amp;ADULTS'!$Z$3:$Z$12006,'KIDS&amp;ADULTS'!V$3:V$12006,U60,'KIDS&amp;ADULTS'!$B$3:$B$12006,$K$3,'KIDS&amp;ADULTS'!$N$3:$N$12006,"Đã đóng học phí")</f>
        <v>0</v>
      </c>
      <c r="W60" s="398">
        <f>SUMIFS('KIDS&amp;ADULTS'!$Z$3:$Z$12006,'KIDS&amp;ADULTS'!$V$3:$V$12006,U60,'KIDS&amp;ADULTS'!$B$3:$B$12006,$W$3,'KIDS&amp;ADULTS'!$N$3:$N$12006,"Đã đóng học phí")</f>
        <v>0</v>
      </c>
      <c r="X60" s="398">
        <f>SUMIFS('KIDS&amp;ADULTS'!$Z$3:$Z$12006,'KIDS&amp;ADULTS'!$V$3:$V$12006,U60,'KIDS&amp;ADULTS'!$B$3:$B$12006,$X$3,'KIDS&amp;ADULTS'!$N$3:$N$12006,"Đã đóng học phí")</f>
        <v>0</v>
      </c>
      <c r="Y60" s="398">
        <f>SUMIFS('KIDS&amp;ADULTS'!$Z$3:$Z$12006,'KIDS&amp;ADULTS'!$V$3:$V$12006,U60,'KIDS&amp;ADULTS'!$B$3:$B$12006,$Y$3,'KIDS&amp;ADULTS'!$N$3:$N$12006,"Đã đóng học phí")</f>
        <v>0</v>
      </c>
      <c r="Z60" s="398">
        <f>SUMIFS('KIDS&amp;ADULTS'!$Z$3:$Z$12006,'KIDS&amp;ADULTS'!$V$3:$V$12006,U60,'KIDS&amp;ADULTS'!$B$3:$B$12006,$Z$3,'KIDS&amp;ADULTS'!$N$3:$N$12006,"Đã đóng học phí")</f>
        <v>0</v>
      </c>
      <c r="AA60" s="398">
        <f>SUMIFS('KIDS&amp;ADULTS'!$Z$3:$Z$12006,'KIDS&amp;ADULTS'!$V$3:$V$12006,U60,'KIDS&amp;ADULTS'!$B$3:$B$12006,$AA$3,'KIDS&amp;ADULTS'!$N$3:$N$12006,"Đã đóng học phí")</f>
        <v>0</v>
      </c>
      <c r="AB60" s="398">
        <f>SUMIFS('KIDS&amp;ADULTS'!$Z$3:$Z$12006,'KIDS&amp;ADULTS'!$V$3:$V$12006,U60,'KIDS&amp;ADULTS'!$B$3:$B$12006,$AB$3,'KIDS&amp;ADULTS'!$N$3:$N$12006,"Đã đóng học phí")</f>
        <v>0</v>
      </c>
      <c r="AC60" s="398">
        <f>SUMIFS('KIDS&amp;ADULTS'!$Z$3:$Z$12006,'KIDS&amp;ADULTS'!$V$3:$V$12006,U60,'KIDS&amp;ADULTS'!$B$3:$B$12006,$AC$3,'KIDS&amp;ADULTS'!$N$3:$N$12006,"Đã đóng học phí")</f>
        <v>0</v>
      </c>
      <c r="AD60" s="398">
        <f t="shared" si="10"/>
        <v>0</v>
      </c>
      <c r="AE60" s="386"/>
    </row>
    <row r="61" ht="15.75" customHeight="1">
      <c r="U61" s="372">
        <f t="shared" si="11"/>
        <v>45159</v>
      </c>
      <c r="V61" s="398">
        <f>SUMIFS('KIDS&amp;ADULTS'!$Z$3:$Z$12006,'KIDS&amp;ADULTS'!V$3:V$12006,U61,'KIDS&amp;ADULTS'!$B$3:$B$12006,$K$3,'KIDS&amp;ADULTS'!$N$3:$N$12006,"Đã đóng học phí")</f>
        <v>0</v>
      </c>
      <c r="W61" s="398">
        <f>SUMIFS('KIDS&amp;ADULTS'!$Z$3:$Z$12006,'KIDS&amp;ADULTS'!$V$3:$V$12006,U61,'KIDS&amp;ADULTS'!$B$3:$B$12006,$W$3,'KIDS&amp;ADULTS'!$N$3:$N$12006,"Đã đóng học phí")</f>
        <v>0</v>
      </c>
      <c r="X61" s="398">
        <f>SUMIFS('KIDS&amp;ADULTS'!$Z$3:$Z$12006,'KIDS&amp;ADULTS'!$V$3:$V$12006,U61,'KIDS&amp;ADULTS'!$B$3:$B$12006,$X$3,'KIDS&amp;ADULTS'!$N$3:$N$12006,"Đã đóng học phí")</f>
        <v>0</v>
      </c>
      <c r="Y61" s="398">
        <f>SUMIFS('KIDS&amp;ADULTS'!$Z$3:$Z$12006,'KIDS&amp;ADULTS'!$V$3:$V$12006,U61,'KIDS&amp;ADULTS'!$B$3:$B$12006,$Y$3,'KIDS&amp;ADULTS'!$N$3:$N$12006,"Đã đóng học phí")</f>
        <v>0</v>
      </c>
      <c r="Z61" s="398">
        <f>SUMIFS('KIDS&amp;ADULTS'!$Z$3:$Z$12006,'KIDS&amp;ADULTS'!$V$3:$V$12006,U61,'KIDS&amp;ADULTS'!$B$3:$B$12006,$Z$3,'KIDS&amp;ADULTS'!$N$3:$N$12006,"Đã đóng học phí")</f>
        <v>0</v>
      </c>
      <c r="AA61" s="398">
        <f>SUMIFS('KIDS&amp;ADULTS'!$Z$3:$Z$12006,'KIDS&amp;ADULTS'!$V$3:$V$12006,U61,'KIDS&amp;ADULTS'!$B$3:$B$12006,$AA$3,'KIDS&amp;ADULTS'!$N$3:$N$12006,"Đã đóng học phí")</f>
        <v>0</v>
      </c>
      <c r="AB61" s="398">
        <f>SUMIFS('KIDS&amp;ADULTS'!$Z$3:$Z$12006,'KIDS&amp;ADULTS'!$V$3:$V$12006,U61,'KIDS&amp;ADULTS'!$B$3:$B$12006,$AB$3,'KIDS&amp;ADULTS'!$N$3:$N$12006,"Đã đóng học phí")</f>
        <v>0</v>
      </c>
      <c r="AC61" s="398">
        <f>SUMIFS('KIDS&amp;ADULTS'!$Z$3:$Z$12006,'KIDS&amp;ADULTS'!$V$3:$V$12006,U61,'KIDS&amp;ADULTS'!$B$3:$B$12006,$AC$3,'KIDS&amp;ADULTS'!$N$3:$N$12006,"Đã đóng học phí")</f>
        <v>0</v>
      </c>
      <c r="AD61" s="398">
        <f t="shared" si="10"/>
        <v>0</v>
      </c>
      <c r="AE61" s="386"/>
    </row>
    <row r="62" ht="15.75" customHeight="1">
      <c r="U62" s="372">
        <f t="shared" si="11"/>
        <v>45160</v>
      </c>
      <c r="V62" s="398">
        <f>SUMIFS('KIDS&amp;ADULTS'!$Z$3:$Z$12006,'KIDS&amp;ADULTS'!V$3:V$12006,U62,'KIDS&amp;ADULTS'!$B$3:$B$12006,$K$3,'KIDS&amp;ADULTS'!$N$3:$N$12006,"Đã đóng học phí")</f>
        <v>0</v>
      </c>
      <c r="W62" s="398">
        <f>SUMIFS('KIDS&amp;ADULTS'!$Z$3:$Z$12006,'KIDS&amp;ADULTS'!$V$3:$V$12006,U62,'KIDS&amp;ADULTS'!$B$3:$B$12006,$W$3,'KIDS&amp;ADULTS'!$N$3:$N$12006,"Đã đóng học phí")</f>
        <v>0</v>
      </c>
      <c r="X62" s="398">
        <f>SUMIFS('KIDS&amp;ADULTS'!$Z$3:$Z$12006,'KIDS&amp;ADULTS'!$V$3:$V$12006,U62,'KIDS&amp;ADULTS'!$B$3:$B$12006,$X$3,'KIDS&amp;ADULTS'!$N$3:$N$12006,"Đã đóng học phí")</f>
        <v>0</v>
      </c>
      <c r="Y62" s="398">
        <f>SUMIFS('KIDS&amp;ADULTS'!$Z$3:$Z$12006,'KIDS&amp;ADULTS'!$V$3:$V$12006,U62,'KIDS&amp;ADULTS'!$B$3:$B$12006,$Y$3,'KIDS&amp;ADULTS'!$N$3:$N$12006,"Đã đóng học phí")</f>
        <v>10455760</v>
      </c>
      <c r="Z62" s="398">
        <f>SUMIFS('KIDS&amp;ADULTS'!$Z$3:$Z$12006,'KIDS&amp;ADULTS'!$V$3:$V$12006,U62,'KIDS&amp;ADULTS'!$B$3:$B$12006,$Z$3,'KIDS&amp;ADULTS'!$N$3:$N$12006,"Đã đóng học phí")</f>
        <v>0</v>
      </c>
      <c r="AA62" s="398">
        <f>SUMIFS('KIDS&amp;ADULTS'!$Z$3:$Z$12006,'KIDS&amp;ADULTS'!$V$3:$V$12006,U62,'KIDS&amp;ADULTS'!$B$3:$B$12006,$AA$3,'KIDS&amp;ADULTS'!$N$3:$N$12006,"Đã đóng học phí")</f>
        <v>0</v>
      </c>
      <c r="AB62" s="398">
        <f>SUMIFS('KIDS&amp;ADULTS'!$Z$3:$Z$12006,'KIDS&amp;ADULTS'!$V$3:$V$12006,U62,'KIDS&amp;ADULTS'!$B$3:$B$12006,$AB$3,'KIDS&amp;ADULTS'!$N$3:$N$12006,"Đã đóng học phí")</f>
        <v>0</v>
      </c>
      <c r="AC62" s="398">
        <f>SUMIFS('KIDS&amp;ADULTS'!$Z$3:$Z$12006,'KIDS&amp;ADULTS'!$V$3:$V$12006,U62,'KIDS&amp;ADULTS'!$B$3:$B$12006,$AC$3,'KIDS&amp;ADULTS'!$N$3:$N$12006,"Đã đóng học phí")</f>
        <v>0</v>
      </c>
      <c r="AD62" s="398">
        <f t="shared" si="10"/>
        <v>10455760</v>
      </c>
      <c r="AE62" s="386"/>
    </row>
    <row r="63" ht="15.75" customHeight="1">
      <c r="U63" s="372">
        <f t="shared" si="11"/>
        <v>45161</v>
      </c>
      <c r="V63" s="398">
        <f>SUMIFS('KIDS&amp;ADULTS'!$Z$3:$Z$12006,'KIDS&amp;ADULTS'!V$3:V$12006,U63,'KIDS&amp;ADULTS'!$B$3:$B$12006,$K$3,'KIDS&amp;ADULTS'!$N$3:$N$12006,"Đã đóng học phí")</f>
        <v>0</v>
      </c>
      <c r="W63" s="398">
        <f>SUMIFS('KIDS&amp;ADULTS'!$Z$3:$Z$12006,'KIDS&amp;ADULTS'!$V$3:$V$12006,U63,'KIDS&amp;ADULTS'!$B$3:$B$12006,$W$3,'KIDS&amp;ADULTS'!$N$3:$N$12006,"Đã đóng học phí")</f>
        <v>0</v>
      </c>
      <c r="X63" s="398">
        <f>SUMIFS('KIDS&amp;ADULTS'!$Z$3:$Z$12006,'KIDS&amp;ADULTS'!$V$3:$V$12006,U63,'KIDS&amp;ADULTS'!$B$3:$B$12006,$X$3,'KIDS&amp;ADULTS'!$N$3:$N$12006,"Đã đóng học phí")</f>
        <v>0</v>
      </c>
      <c r="Y63" s="398">
        <f>SUMIFS('KIDS&amp;ADULTS'!$Z$3:$Z$12006,'KIDS&amp;ADULTS'!$V$3:$V$12006,U63,'KIDS&amp;ADULTS'!$B$3:$B$12006,$Y$3,'KIDS&amp;ADULTS'!$N$3:$N$12006,"Đã đóng học phí")</f>
        <v>0</v>
      </c>
      <c r="Z63" s="398">
        <f>SUMIFS('KIDS&amp;ADULTS'!$Z$3:$Z$12006,'KIDS&amp;ADULTS'!$V$3:$V$12006,U63,'KIDS&amp;ADULTS'!$B$3:$B$12006,$Z$3,'KIDS&amp;ADULTS'!$N$3:$N$12006,"Đã đóng học phí")</f>
        <v>5511600</v>
      </c>
      <c r="AA63" s="398">
        <f>SUMIFS('KIDS&amp;ADULTS'!$Z$3:$Z$12006,'KIDS&amp;ADULTS'!$V$3:$V$12006,U63,'KIDS&amp;ADULTS'!$B$3:$B$12006,$AA$3,'KIDS&amp;ADULTS'!$N$3:$N$12006,"Đã đóng học phí")</f>
        <v>0</v>
      </c>
      <c r="AB63" s="398">
        <f>SUMIFS('KIDS&amp;ADULTS'!$Z$3:$Z$12006,'KIDS&amp;ADULTS'!$V$3:$V$12006,U63,'KIDS&amp;ADULTS'!$B$3:$B$12006,$AB$3,'KIDS&amp;ADULTS'!$N$3:$N$12006,"Đã đóng học phí")</f>
        <v>0</v>
      </c>
      <c r="AC63" s="398">
        <f>SUMIFS('KIDS&amp;ADULTS'!$Z$3:$Z$12006,'KIDS&amp;ADULTS'!$V$3:$V$12006,U63,'KIDS&amp;ADULTS'!$B$3:$B$12006,$AC$3,'KIDS&amp;ADULTS'!$N$3:$N$12006,"Đã đóng học phí")</f>
        <v>0</v>
      </c>
      <c r="AD63" s="398">
        <f t="shared" si="10"/>
        <v>5511600</v>
      </c>
      <c r="AE63" s="386"/>
    </row>
    <row r="64" ht="15.75" customHeight="1">
      <c r="U64" s="372">
        <f t="shared" si="11"/>
        <v>45162</v>
      </c>
      <c r="V64" s="398">
        <f>SUMIFS('KIDS&amp;ADULTS'!$Z$3:$Z$12006,'KIDS&amp;ADULTS'!V$3:V$12006,U64,'KIDS&amp;ADULTS'!$B$3:$B$12006,$K$3,'KIDS&amp;ADULTS'!$N$3:$N$12006,"Đã đóng học phí")</f>
        <v>0</v>
      </c>
      <c r="W64" s="398">
        <f>SUMIFS('KIDS&amp;ADULTS'!$Z$3:$Z$12006,'KIDS&amp;ADULTS'!$V$3:$V$12006,U64,'KIDS&amp;ADULTS'!$B$3:$B$12006,$W$3,'KIDS&amp;ADULTS'!$N$3:$N$12006,"Đã đóng học phí")</f>
        <v>0</v>
      </c>
      <c r="X64" s="398">
        <f>SUMIFS('KIDS&amp;ADULTS'!$Z$3:$Z$12006,'KIDS&amp;ADULTS'!$V$3:$V$12006,U64,'KIDS&amp;ADULTS'!$B$3:$B$12006,$X$3,'KIDS&amp;ADULTS'!$N$3:$N$12006,"Đã đóng học phí")</f>
        <v>0</v>
      </c>
      <c r="Y64" s="398">
        <f>SUMIFS('KIDS&amp;ADULTS'!$Z$3:$Z$12006,'KIDS&amp;ADULTS'!$V$3:$V$12006,U64,'KIDS&amp;ADULTS'!$B$3:$B$12006,$Y$3,'KIDS&amp;ADULTS'!$N$3:$N$12006,"Đã đóng học phí")</f>
        <v>0</v>
      </c>
      <c r="Z64" s="398">
        <f>SUMIFS('KIDS&amp;ADULTS'!$Z$3:$Z$12006,'KIDS&amp;ADULTS'!$V$3:$V$12006,U64,'KIDS&amp;ADULTS'!$B$3:$B$12006,$Z$3,'KIDS&amp;ADULTS'!$N$3:$N$12006,"Đã đóng học phí")</f>
        <v>0</v>
      </c>
      <c r="AA64" s="398">
        <f>SUMIFS('KIDS&amp;ADULTS'!$Z$3:$Z$12006,'KIDS&amp;ADULTS'!$V$3:$V$12006,U64,'KIDS&amp;ADULTS'!$B$3:$B$12006,$AA$3,'KIDS&amp;ADULTS'!$N$3:$N$12006,"Đã đóng học phí")</f>
        <v>0</v>
      </c>
      <c r="AB64" s="398">
        <f>SUMIFS('KIDS&amp;ADULTS'!$Z$3:$Z$12006,'KIDS&amp;ADULTS'!$V$3:$V$12006,U64,'KIDS&amp;ADULTS'!$B$3:$B$12006,$AB$3,'KIDS&amp;ADULTS'!$N$3:$N$12006,"Đã đóng học phí")</f>
        <v>0</v>
      </c>
      <c r="AC64" s="398">
        <f>SUMIFS('KIDS&amp;ADULTS'!$Z$3:$Z$12006,'KIDS&amp;ADULTS'!$V$3:$V$12006,U64,'KIDS&amp;ADULTS'!$B$3:$B$12006,$AC$3,'KIDS&amp;ADULTS'!$N$3:$N$12006,"Đã đóng học phí")</f>
        <v>0</v>
      </c>
      <c r="AD64" s="398">
        <f t="shared" si="10"/>
        <v>0</v>
      </c>
      <c r="AE64" s="386"/>
    </row>
    <row r="65" ht="15.75" customHeight="1">
      <c r="U65" s="372">
        <f t="shared" si="11"/>
        <v>45163</v>
      </c>
      <c r="V65" s="398">
        <f>SUMIFS('KIDS&amp;ADULTS'!$Z$3:$Z$12006,'KIDS&amp;ADULTS'!V$3:V$12006,U65,'KIDS&amp;ADULTS'!$B$3:$B$12006,$K$3,'KIDS&amp;ADULTS'!$N$3:$N$12006,"Đã đóng học phí")</f>
        <v>0</v>
      </c>
      <c r="W65" s="398">
        <f>SUMIFS('KIDS&amp;ADULTS'!$Z$3:$Z$12006,'KIDS&amp;ADULTS'!$V$3:$V$12006,U65,'KIDS&amp;ADULTS'!$B$3:$B$12006,$W$3,'KIDS&amp;ADULTS'!$N$3:$N$12006,"Đã đóng học phí")</f>
        <v>0</v>
      </c>
      <c r="X65" s="398">
        <f>SUMIFS('KIDS&amp;ADULTS'!$Z$3:$Z$12006,'KIDS&amp;ADULTS'!$V$3:$V$12006,U65,'KIDS&amp;ADULTS'!$B$3:$B$12006,$X$3,'KIDS&amp;ADULTS'!$N$3:$N$12006,"Đã đóng học phí")</f>
        <v>0</v>
      </c>
      <c r="Y65" s="398">
        <f>SUMIFS('KIDS&amp;ADULTS'!$Z$3:$Z$12006,'KIDS&amp;ADULTS'!$V$3:$V$12006,U65,'KIDS&amp;ADULTS'!$B$3:$B$12006,$Y$3,'KIDS&amp;ADULTS'!$N$3:$N$12006,"Đã đóng học phí")</f>
        <v>0</v>
      </c>
      <c r="Z65" s="398">
        <f>SUMIFS('KIDS&amp;ADULTS'!$Z$3:$Z$12006,'KIDS&amp;ADULTS'!$V$3:$V$12006,U65,'KIDS&amp;ADULTS'!$B$3:$B$12006,$Z$3,'KIDS&amp;ADULTS'!$N$3:$N$12006,"Đã đóng học phí")</f>
        <v>0</v>
      </c>
      <c r="AA65" s="398">
        <f>SUMIFS('KIDS&amp;ADULTS'!$Z$3:$Z$12006,'KIDS&amp;ADULTS'!$V$3:$V$12006,U65,'KIDS&amp;ADULTS'!$B$3:$B$12006,$AA$3,'KIDS&amp;ADULTS'!$N$3:$N$12006,"Đã đóng học phí")</f>
        <v>0</v>
      </c>
      <c r="AB65" s="398">
        <f>SUMIFS('KIDS&amp;ADULTS'!$Z$3:$Z$12006,'KIDS&amp;ADULTS'!$V$3:$V$12006,U65,'KIDS&amp;ADULTS'!$B$3:$B$12006,$AB$3,'KIDS&amp;ADULTS'!$N$3:$N$12006,"Đã đóng học phí")</f>
        <v>0</v>
      </c>
      <c r="AC65" s="398">
        <f>SUMIFS('KIDS&amp;ADULTS'!$Z$3:$Z$12006,'KIDS&amp;ADULTS'!$V$3:$V$12006,U65,'KIDS&amp;ADULTS'!$B$3:$B$12006,$AC$3,'KIDS&amp;ADULTS'!$N$3:$N$12006,"Đã đóng học phí")</f>
        <v>0</v>
      </c>
      <c r="AD65" s="398">
        <f t="shared" si="10"/>
        <v>0</v>
      </c>
      <c r="AE65" s="386"/>
    </row>
    <row r="66" ht="15.75" customHeight="1">
      <c r="U66" s="372">
        <f t="shared" si="11"/>
        <v>45164</v>
      </c>
      <c r="V66" s="398">
        <f>SUMIFS('KIDS&amp;ADULTS'!$Z$3:$Z$12006,'KIDS&amp;ADULTS'!V$3:V$12006,U66,'KIDS&amp;ADULTS'!$B$3:$B$12006,$K$3,'KIDS&amp;ADULTS'!$N$3:$N$12006,"Đã đóng học phí")</f>
        <v>0</v>
      </c>
      <c r="W66" s="398">
        <f>SUMIFS('KIDS&amp;ADULTS'!$Z$3:$Z$12006,'KIDS&amp;ADULTS'!$V$3:$V$12006,U66,'KIDS&amp;ADULTS'!$B$3:$B$12006,$W$3,'KIDS&amp;ADULTS'!$N$3:$N$12006,"Đã đóng học phí")</f>
        <v>0</v>
      </c>
      <c r="X66" s="398">
        <f>SUMIFS('KIDS&amp;ADULTS'!$Z$3:$Z$12006,'KIDS&amp;ADULTS'!$V$3:$V$12006,U66,'KIDS&amp;ADULTS'!$B$3:$B$12006,$X$3,'KIDS&amp;ADULTS'!$N$3:$N$12006,"Đã đóng học phí")</f>
        <v>0</v>
      </c>
      <c r="Y66" s="398">
        <f>SUMIFS('KIDS&amp;ADULTS'!$Z$3:$Z$12006,'KIDS&amp;ADULTS'!$V$3:$V$12006,U66,'KIDS&amp;ADULTS'!$B$3:$B$12006,$Y$3,'KIDS&amp;ADULTS'!$N$3:$N$12006,"Đã đóng học phí")</f>
        <v>3188000</v>
      </c>
      <c r="Z66" s="398">
        <f>SUMIFS('KIDS&amp;ADULTS'!$Z$3:$Z$12006,'KIDS&amp;ADULTS'!$V$3:$V$12006,U66,'KIDS&amp;ADULTS'!$B$3:$B$12006,$Z$3,'KIDS&amp;ADULTS'!$N$3:$N$12006,"Đã đóng học phí")</f>
        <v>0</v>
      </c>
      <c r="AA66" s="398">
        <f>SUMIFS('KIDS&amp;ADULTS'!$Z$3:$Z$12006,'KIDS&amp;ADULTS'!$V$3:$V$12006,U66,'KIDS&amp;ADULTS'!$B$3:$B$12006,$AA$3,'KIDS&amp;ADULTS'!$N$3:$N$12006,"Đã đóng học phí")</f>
        <v>0</v>
      </c>
      <c r="AB66" s="398">
        <f>SUMIFS('KIDS&amp;ADULTS'!$Z$3:$Z$12006,'KIDS&amp;ADULTS'!$V$3:$V$12006,U66,'KIDS&amp;ADULTS'!$B$3:$B$12006,$AB$3,'KIDS&amp;ADULTS'!$N$3:$N$12006,"Đã đóng học phí")</f>
        <v>0</v>
      </c>
      <c r="AC66" s="398">
        <f>SUMIFS('KIDS&amp;ADULTS'!$Z$3:$Z$12006,'KIDS&amp;ADULTS'!$V$3:$V$12006,U66,'KIDS&amp;ADULTS'!$B$3:$B$12006,$AC$3,'KIDS&amp;ADULTS'!$N$3:$N$12006,"Đã đóng học phí")</f>
        <v>0</v>
      </c>
      <c r="AD66" s="398">
        <f t="shared" si="10"/>
        <v>3188000</v>
      </c>
      <c r="AE66" s="386"/>
    </row>
    <row r="67" ht="15.75" customHeight="1">
      <c r="U67" s="372">
        <f t="shared" si="11"/>
        <v>45165</v>
      </c>
      <c r="V67" s="398">
        <f>SUMIFS('KIDS&amp;ADULTS'!$Z$3:$Z$12006,'KIDS&amp;ADULTS'!V$3:V$12006,U67,'KIDS&amp;ADULTS'!$B$3:$B$12006,$K$3,'KIDS&amp;ADULTS'!$N$3:$N$12006,"Đã đóng học phí")</f>
        <v>0</v>
      </c>
      <c r="W67" s="398">
        <f>SUMIFS('KIDS&amp;ADULTS'!$Z$3:$Z$12006,'KIDS&amp;ADULTS'!$V$3:$V$12006,U67,'KIDS&amp;ADULTS'!$B$3:$B$12006,$W$3,'KIDS&amp;ADULTS'!$N$3:$N$12006,"Đã đóng học phí")</f>
        <v>0</v>
      </c>
      <c r="X67" s="398">
        <f>SUMIFS('KIDS&amp;ADULTS'!$Z$3:$Z$12006,'KIDS&amp;ADULTS'!$V$3:$V$12006,U67,'KIDS&amp;ADULTS'!$B$3:$B$12006,$X$3,'KIDS&amp;ADULTS'!$N$3:$N$12006,"Đã đóng học phí")</f>
        <v>0</v>
      </c>
      <c r="Y67" s="398">
        <f>SUMIFS('KIDS&amp;ADULTS'!$Z$3:$Z$12006,'KIDS&amp;ADULTS'!$V$3:$V$12006,U67,'KIDS&amp;ADULTS'!$B$3:$B$12006,$Y$3,'KIDS&amp;ADULTS'!$N$3:$N$12006,"Đã đóng học phí")</f>
        <v>2755800</v>
      </c>
      <c r="Z67" s="398">
        <f>SUMIFS('KIDS&amp;ADULTS'!$Z$3:$Z$12006,'KIDS&amp;ADULTS'!$V$3:$V$12006,U67,'KIDS&amp;ADULTS'!$B$3:$B$12006,$Z$3,'KIDS&amp;ADULTS'!$N$3:$N$12006,"Đã đóng học phí")</f>
        <v>5511600</v>
      </c>
      <c r="AA67" s="398">
        <f>SUMIFS('KIDS&amp;ADULTS'!$Z$3:$Z$12006,'KIDS&amp;ADULTS'!$V$3:$V$12006,U67,'KIDS&amp;ADULTS'!$B$3:$B$12006,$AA$3,'KIDS&amp;ADULTS'!$N$3:$N$12006,"Đã đóng học phí")</f>
        <v>0</v>
      </c>
      <c r="AB67" s="398">
        <f>SUMIFS('KIDS&amp;ADULTS'!$Z$3:$Z$12006,'KIDS&amp;ADULTS'!$V$3:$V$12006,U67,'KIDS&amp;ADULTS'!$B$3:$B$12006,$AB$3,'KIDS&amp;ADULTS'!$N$3:$N$12006,"Đã đóng học phí")</f>
        <v>0</v>
      </c>
      <c r="AC67" s="398">
        <f>SUMIFS('KIDS&amp;ADULTS'!$Z$3:$Z$12006,'KIDS&amp;ADULTS'!$V$3:$V$12006,U67,'KIDS&amp;ADULTS'!$B$3:$B$12006,$AC$3,'KIDS&amp;ADULTS'!$N$3:$N$12006,"Đã đóng học phí")</f>
        <v>0</v>
      </c>
      <c r="AD67" s="398">
        <f t="shared" si="10"/>
        <v>8267400</v>
      </c>
      <c r="AE67" s="386"/>
    </row>
    <row r="68" ht="15.75" customHeight="1">
      <c r="U68" s="372">
        <f t="shared" si="11"/>
        <v>45166</v>
      </c>
      <c r="V68" s="398">
        <f>SUMIFS('KIDS&amp;ADULTS'!$Z$3:$Z$12006,'KIDS&amp;ADULTS'!V$3:V$12006,U68,'KIDS&amp;ADULTS'!$B$3:$B$12006,$K$3,'KIDS&amp;ADULTS'!$N$3:$N$12006,"Đã đóng học phí")</f>
        <v>0</v>
      </c>
      <c r="W68" s="398">
        <f>SUMIFS('KIDS&amp;ADULTS'!$Z$3:$Z$12006,'KIDS&amp;ADULTS'!$V$3:$V$12006,U68,'KIDS&amp;ADULTS'!$B$3:$B$12006,$W$3,'KIDS&amp;ADULTS'!$N$3:$N$12006,"Đã đóng học phí")</f>
        <v>0</v>
      </c>
      <c r="X68" s="398">
        <f>SUMIFS('KIDS&amp;ADULTS'!$Z$3:$Z$12006,'KIDS&amp;ADULTS'!$V$3:$V$12006,U68,'KIDS&amp;ADULTS'!$B$3:$B$12006,$X$3,'KIDS&amp;ADULTS'!$N$3:$N$12006,"Đã đóng học phí")</f>
        <v>0</v>
      </c>
      <c r="Y68" s="398">
        <f>SUMIFS('KIDS&amp;ADULTS'!$Z$3:$Z$12006,'KIDS&amp;ADULTS'!$V$3:$V$12006,U68,'KIDS&amp;ADULTS'!$B$3:$B$12006,$Y$3,'KIDS&amp;ADULTS'!$N$3:$N$12006,"Đã đóng học phí")</f>
        <v>0</v>
      </c>
      <c r="Z68" s="398">
        <f>SUMIFS('KIDS&amp;ADULTS'!$Z$3:$Z$12006,'KIDS&amp;ADULTS'!$V$3:$V$12006,U68,'KIDS&amp;ADULTS'!$B$3:$B$12006,$Z$3,'KIDS&amp;ADULTS'!$N$3:$N$12006,"Đã đóng học phí")</f>
        <v>0</v>
      </c>
      <c r="AA68" s="398">
        <f>SUMIFS('KIDS&amp;ADULTS'!$Z$3:$Z$12006,'KIDS&amp;ADULTS'!$V$3:$V$12006,U68,'KIDS&amp;ADULTS'!$B$3:$B$12006,$AA$3,'KIDS&amp;ADULTS'!$N$3:$N$12006,"Đã đóng học phí")</f>
        <v>0</v>
      </c>
      <c r="AB68" s="398">
        <f>SUMIFS('KIDS&amp;ADULTS'!$Z$3:$Z$12006,'KIDS&amp;ADULTS'!$V$3:$V$12006,U68,'KIDS&amp;ADULTS'!$B$3:$B$12006,$AB$3,'KIDS&amp;ADULTS'!$N$3:$N$12006,"Đã đóng học phí")</f>
        <v>0</v>
      </c>
      <c r="AC68" s="398">
        <f>SUMIFS('KIDS&amp;ADULTS'!$Z$3:$Z$12006,'KIDS&amp;ADULTS'!$V$3:$V$12006,U68,'KIDS&amp;ADULTS'!$B$3:$B$12006,$AC$3,'KIDS&amp;ADULTS'!$N$3:$N$12006,"Đã đóng học phí")</f>
        <v>0</v>
      </c>
      <c r="AD68" s="398">
        <f t="shared" si="10"/>
        <v>0</v>
      </c>
      <c r="AE68" s="386"/>
    </row>
    <row r="69" ht="15.75" customHeight="1">
      <c r="U69" s="372">
        <f t="shared" si="11"/>
        <v>45167</v>
      </c>
      <c r="V69" s="398">
        <f>SUMIFS('KIDS&amp;ADULTS'!$Z$3:$Z$12006,'KIDS&amp;ADULTS'!V$3:V$12006,U69,'KIDS&amp;ADULTS'!$B$3:$B$12006,$K$3,'KIDS&amp;ADULTS'!$N$3:$N$12006,"Đã đóng học phí")</f>
        <v>0</v>
      </c>
      <c r="W69" s="398">
        <f>SUMIFS('KIDS&amp;ADULTS'!$Z$3:$Z$12006,'KIDS&amp;ADULTS'!$V$3:$V$12006,U69,'KIDS&amp;ADULTS'!$B$3:$B$12006,$W$3,'KIDS&amp;ADULTS'!$N$3:$N$12006,"Đã đóng học phí")</f>
        <v>0</v>
      </c>
      <c r="X69" s="398">
        <f>SUMIFS('KIDS&amp;ADULTS'!$Z$3:$Z$12006,'KIDS&amp;ADULTS'!$V$3:$V$12006,U69,'KIDS&amp;ADULTS'!$B$3:$B$12006,$X$3,'KIDS&amp;ADULTS'!$N$3:$N$12006,"Đã đóng học phí")</f>
        <v>0</v>
      </c>
      <c r="Y69" s="398">
        <f>SUMIFS('KIDS&amp;ADULTS'!$Z$3:$Z$12006,'KIDS&amp;ADULTS'!$V$3:$V$12006,U69,'KIDS&amp;ADULTS'!$B$3:$B$12006,$Y$3,'KIDS&amp;ADULTS'!$N$3:$N$12006,"Đã đóng học phí")</f>
        <v>0</v>
      </c>
      <c r="Z69" s="398">
        <f>SUMIFS('KIDS&amp;ADULTS'!$Z$3:$Z$12006,'KIDS&amp;ADULTS'!$V$3:$V$12006,U69,'KIDS&amp;ADULTS'!$B$3:$B$12006,$Z$3,'KIDS&amp;ADULTS'!$N$3:$N$12006,"Đã đóng học phí")</f>
        <v>0</v>
      </c>
      <c r="AA69" s="398">
        <f>SUMIFS('KIDS&amp;ADULTS'!$Z$3:$Z$12006,'KIDS&amp;ADULTS'!$V$3:$V$12006,U69,'KIDS&amp;ADULTS'!$B$3:$B$12006,$AA$3,'KIDS&amp;ADULTS'!$N$3:$N$12006,"Đã đóng học phí")</f>
        <v>0</v>
      </c>
      <c r="AB69" s="398">
        <f>SUMIFS('KIDS&amp;ADULTS'!$Z$3:$Z$12006,'KIDS&amp;ADULTS'!$V$3:$V$12006,U69,'KIDS&amp;ADULTS'!$B$3:$B$12006,$AB$3,'KIDS&amp;ADULTS'!$N$3:$N$12006,"Đã đóng học phí")</f>
        <v>0</v>
      </c>
      <c r="AC69" s="398">
        <f>SUMIFS('KIDS&amp;ADULTS'!$Z$3:$Z$12006,'KIDS&amp;ADULTS'!$V$3:$V$12006,U69,'KIDS&amp;ADULTS'!$B$3:$B$12006,$AC$3,'KIDS&amp;ADULTS'!$N$3:$N$12006,"Đã đóng học phí")</f>
        <v>0</v>
      </c>
      <c r="AD69" s="398">
        <f t="shared" si="10"/>
        <v>0</v>
      </c>
      <c r="AE69" s="386"/>
    </row>
    <row r="70" ht="15.75" customHeight="1">
      <c r="U70" s="372">
        <f t="shared" si="11"/>
        <v>45168</v>
      </c>
      <c r="V70" s="398">
        <f>SUMIFS('KIDS&amp;ADULTS'!$Z$3:$Z$12006,'KIDS&amp;ADULTS'!V$3:V$12006,U70,'KIDS&amp;ADULTS'!$B$3:$B$12006,$K$3,'KIDS&amp;ADULTS'!$N$3:$N$12006,"Đã đóng học phí")</f>
        <v>0</v>
      </c>
      <c r="W70" s="398">
        <f>SUMIFS('KIDS&amp;ADULTS'!$Z$3:$Z$12006,'KIDS&amp;ADULTS'!$V$3:$V$12006,U70,'KIDS&amp;ADULTS'!$B$3:$B$12006,$W$3,'KIDS&amp;ADULTS'!$N$3:$N$12006,"Đã đóng học phí")</f>
        <v>0</v>
      </c>
      <c r="X70" s="398">
        <f>SUMIFS('KIDS&amp;ADULTS'!$Z$3:$Z$12006,'KIDS&amp;ADULTS'!$V$3:$V$12006,U70,'KIDS&amp;ADULTS'!$B$3:$B$12006,$X$3,'KIDS&amp;ADULTS'!$N$3:$N$12006,"Đã đóng học phí")</f>
        <v>0</v>
      </c>
      <c r="Y70" s="398">
        <f>SUMIFS('KIDS&amp;ADULTS'!$Z$3:$Z$12006,'KIDS&amp;ADULTS'!$V$3:$V$12006,U70,'KIDS&amp;ADULTS'!$B$3:$B$12006,$Y$3,'KIDS&amp;ADULTS'!$N$3:$N$12006,"Đã đóng học phí")</f>
        <v>0</v>
      </c>
      <c r="Z70" s="398">
        <f>SUMIFS('KIDS&amp;ADULTS'!$Z$3:$Z$12006,'KIDS&amp;ADULTS'!$V$3:$V$12006,U70,'KIDS&amp;ADULTS'!$B$3:$B$12006,$Z$3,'KIDS&amp;ADULTS'!$N$3:$N$12006,"Đã đóng học phí")</f>
        <v>0</v>
      </c>
      <c r="AA70" s="398">
        <f>SUMIFS('KIDS&amp;ADULTS'!$Z$3:$Z$12006,'KIDS&amp;ADULTS'!$V$3:$V$12006,U70,'KIDS&amp;ADULTS'!$B$3:$B$12006,$AA$3,'KIDS&amp;ADULTS'!$N$3:$N$12006,"Đã đóng học phí")</f>
        <v>0</v>
      </c>
      <c r="AB70" s="398">
        <f>SUMIFS('KIDS&amp;ADULTS'!$Z$3:$Z$12006,'KIDS&amp;ADULTS'!$V$3:$V$12006,U70,'KIDS&amp;ADULTS'!$B$3:$B$12006,$AB$3,'KIDS&amp;ADULTS'!$N$3:$N$12006,"Đã đóng học phí")</f>
        <v>0</v>
      </c>
      <c r="AC70" s="398">
        <f>SUMIFS('KIDS&amp;ADULTS'!$Z$3:$Z$12006,'KIDS&amp;ADULTS'!$V$3:$V$12006,U70,'KIDS&amp;ADULTS'!$B$3:$B$12006,$AC$3,'KIDS&amp;ADULTS'!$N$3:$N$12006,"Đã đóng học phí")</f>
        <v>0</v>
      </c>
      <c r="AD70" s="398">
        <f t="shared" si="10"/>
        <v>0</v>
      </c>
      <c r="AE70" s="386"/>
    </row>
    <row r="71" ht="15.75" customHeight="1">
      <c r="U71" s="372">
        <f t="shared" si="11"/>
        <v>45169</v>
      </c>
      <c r="V71" s="398">
        <f>SUMIFS('KIDS&amp;ADULTS'!$Z$3:$Z$12006,'KIDS&amp;ADULTS'!V$3:V$12006,U71,'KIDS&amp;ADULTS'!$B$3:$B$12006,$K$3,'KIDS&amp;ADULTS'!$N$3:$N$12006,"Đã đóng học phí")</f>
        <v>0</v>
      </c>
      <c r="W71" s="398">
        <f>SUMIFS('KIDS&amp;ADULTS'!$Z$3:$Z$12006,'KIDS&amp;ADULTS'!$V$3:$V$12006,U71,'KIDS&amp;ADULTS'!$B$3:$B$12006,$W$3,'KIDS&amp;ADULTS'!$N$3:$N$12006,"Đã đóng học phí")</f>
        <v>0</v>
      </c>
      <c r="X71" s="398">
        <f>SUMIFS('KIDS&amp;ADULTS'!$Z$3:$Z$12006,'KIDS&amp;ADULTS'!$V$3:$V$12006,U71,'KIDS&amp;ADULTS'!$B$3:$B$12006,$X$3,'KIDS&amp;ADULTS'!$N$3:$N$12006,"Đã đóng học phí")</f>
        <v>0</v>
      </c>
      <c r="Y71" s="398">
        <f>SUMIFS('KIDS&amp;ADULTS'!$Z$3:$Z$12006,'KIDS&amp;ADULTS'!$V$3:$V$12006,U71,'KIDS&amp;ADULTS'!$B$3:$B$12006,$Y$3,'KIDS&amp;ADULTS'!$N$3:$N$12006,"Đã đóng học phí")</f>
        <v>2664000</v>
      </c>
      <c r="Z71" s="398">
        <f>SUMIFS('KIDS&amp;ADULTS'!$Z$3:$Z$12006,'KIDS&amp;ADULTS'!$V$3:$V$12006,U71,'KIDS&amp;ADULTS'!$B$3:$B$12006,$Z$3,'KIDS&amp;ADULTS'!$N$3:$N$12006,"Đã đóng học phí")</f>
        <v>0</v>
      </c>
      <c r="AA71" s="398">
        <f>SUMIFS('KIDS&amp;ADULTS'!$Z$3:$Z$12006,'KIDS&amp;ADULTS'!$V$3:$V$12006,U71,'KIDS&amp;ADULTS'!$B$3:$B$12006,$AA$3,'KIDS&amp;ADULTS'!$N$3:$N$12006,"Đã đóng học phí")</f>
        <v>0</v>
      </c>
      <c r="AB71" s="398">
        <f>SUMIFS('KIDS&amp;ADULTS'!$Z$3:$Z$12006,'KIDS&amp;ADULTS'!$V$3:$V$12006,U71,'KIDS&amp;ADULTS'!$B$3:$B$12006,$AB$3,'KIDS&amp;ADULTS'!$N$3:$N$12006,"Đã đóng học phí")</f>
        <v>0</v>
      </c>
      <c r="AC71" s="398">
        <f>SUMIFS('KIDS&amp;ADULTS'!$Z$3:$Z$12006,'KIDS&amp;ADULTS'!$V$3:$V$12006,U71,'KIDS&amp;ADULTS'!$B$3:$B$12006,$AC$3,'KIDS&amp;ADULTS'!$N$3:$N$12006,"Đã đóng học phí")</f>
        <v>0</v>
      </c>
      <c r="AD71" s="398">
        <f t="shared" si="10"/>
        <v>2664000</v>
      </c>
      <c r="AE71" s="386"/>
    </row>
    <row r="72" ht="15.75" customHeight="1">
      <c r="U72" s="388" t="s">
        <v>4622</v>
      </c>
      <c r="V72" s="399">
        <f t="shared" ref="V72:X72" si="12">SUM(V41:V70)</f>
        <v>0</v>
      </c>
      <c r="W72" s="411">
        <f t="shared" si="12"/>
        <v>0</v>
      </c>
      <c r="X72" s="412">
        <f t="shared" si="12"/>
        <v>5358280</v>
      </c>
      <c r="Y72" s="412">
        <f>sum(Y41:Y71)</f>
        <v>29339450</v>
      </c>
      <c r="Z72" s="413">
        <f>SUM(Z41:Z70)</f>
        <v>11023200</v>
      </c>
      <c r="AA72" s="414">
        <f t="shared" ref="AA72:AC72" si="13">SUM(AA39:AA70)</f>
        <v>0</v>
      </c>
      <c r="AB72" s="414">
        <f t="shared" si="13"/>
        <v>0</v>
      </c>
      <c r="AC72" s="414">
        <f t="shared" si="13"/>
        <v>0</v>
      </c>
      <c r="AD72" s="400">
        <f t="shared" si="10"/>
        <v>45720930</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J1:Q1"/>
    <mergeCell ref="K2:Q2"/>
    <mergeCell ref="A1:G1"/>
    <mergeCell ref="H1:I3"/>
    <mergeCell ref="A2:A3"/>
    <mergeCell ref="B2:F2"/>
    <mergeCell ref="G2:G3"/>
    <mergeCell ref="J2:J3"/>
    <mergeCell ref="U2:U3"/>
    <mergeCell ref="V2:AC2"/>
    <mergeCell ref="U38:AC38"/>
    <mergeCell ref="U39:U40"/>
    <mergeCell ref="V39:AC39"/>
    <mergeCell ref="U1:AC1"/>
    <mergeCell ref="AF2:AN2"/>
    <mergeCell ref="AF3:AF4"/>
    <mergeCell ref="AG3:AN3"/>
    <mergeCell ref="AF7:AN7"/>
    <mergeCell ref="AF8:AF9"/>
    <mergeCell ref="AG8:AN8"/>
  </mergeCells>
  <conditionalFormatting sqref="K4:R34">
    <cfRule type="cellIs" dxfId="1" priority="1" operator="greaterThan">
      <formula>0</formula>
    </cfRule>
  </conditionalFormatting>
  <conditionalFormatting sqref="V4:AC34">
    <cfRule type="cellIs" dxfId="7" priority="2" operator="greaterThan">
      <formula>0</formula>
    </cfRule>
  </conditionalFormatting>
  <conditionalFormatting sqref="V41:AC71">
    <cfRule type="cellIs" dxfId="7" priority="3" operator="greaterThan">
      <formula>0</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5.38"/>
    <col customWidth="1" min="3" max="6" width="19.0"/>
    <col customWidth="1" min="7" max="7" width="18.25"/>
    <col customWidth="1" min="8" max="8" width="16.88"/>
    <col customWidth="1" min="19" max="20" width="7.0"/>
  </cols>
  <sheetData>
    <row r="1" ht="15.75" customHeight="1">
      <c r="A1" s="357" t="s">
        <v>4724</v>
      </c>
      <c r="J1" s="358" t="s">
        <v>4611</v>
      </c>
      <c r="R1" s="358"/>
      <c r="U1" s="358" t="s">
        <v>4612</v>
      </c>
    </row>
    <row r="2" ht="15.75" customHeight="1">
      <c r="A2" s="359" t="s">
        <v>4613</v>
      </c>
      <c r="B2" s="360" t="s">
        <v>4614</v>
      </c>
      <c r="C2" s="235"/>
      <c r="D2" s="235"/>
      <c r="E2" s="235"/>
      <c r="F2" s="236"/>
      <c r="G2" s="359" t="s">
        <v>4615</v>
      </c>
      <c r="J2" s="361" t="s">
        <v>4613</v>
      </c>
      <c r="K2" s="363" t="s">
        <v>4616</v>
      </c>
      <c r="L2" s="235"/>
      <c r="M2" s="235"/>
      <c r="N2" s="235"/>
      <c r="O2" s="235"/>
      <c r="P2" s="235"/>
      <c r="Q2" s="236"/>
      <c r="R2" s="364"/>
      <c r="U2" s="361" t="s">
        <v>4613</v>
      </c>
      <c r="V2" s="363" t="s">
        <v>4616</v>
      </c>
      <c r="W2" s="235"/>
      <c r="X2" s="235"/>
      <c r="Y2" s="235"/>
      <c r="Z2" s="235"/>
      <c r="AA2" s="235"/>
      <c r="AB2" s="235"/>
      <c r="AC2" s="236"/>
      <c r="AF2" s="358" t="s">
        <v>4617</v>
      </c>
    </row>
    <row r="3" ht="15.75" customHeight="1">
      <c r="A3" s="11"/>
      <c r="B3" s="365" t="s">
        <v>412</v>
      </c>
      <c r="C3" s="365" t="s">
        <v>66</v>
      </c>
      <c r="D3" s="365" t="s">
        <v>48</v>
      </c>
      <c r="E3" s="365" t="s">
        <v>111</v>
      </c>
      <c r="F3" s="365" t="s">
        <v>4618</v>
      </c>
      <c r="G3" s="11"/>
      <c r="J3" s="11"/>
      <c r="K3" s="366" t="s">
        <v>4620</v>
      </c>
      <c r="L3" s="367" t="s">
        <v>4621</v>
      </c>
      <c r="M3" s="368" t="s">
        <v>73</v>
      </c>
      <c r="N3" s="369" t="s">
        <v>201</v>
      </c>
      <c r="O3" s="370" t="s">
        <v>84</v>
      </c>
      <c r="P3" s="371" t="s">
        <v>60</v>
      </c>
      <c r="Q3" s="371" t="s">
        <v>703</v>
      </c>
      <c r="R3" s="371" t="s">
        <v>539</v>
      </c>
      <c r="U3" s="11"/>
      <c r="V3" s="366" t="s">
        <v>4620</v>
      </c>
      <c r="W3" s="367" t="s">
        <v>4621</v>
      </c>
      <c r="X3" s="368" t="s">
        <v>73</v>
      </c>
      <c r="Y3" s="369" t="s">
        <v>201</v>
      </c>
      <c r="Z3" s="370" t="s">
        <v>84</v>
      </c>
      <c r="AA3" s="371" t="s">
        <v>60</v>
      </c>
      <c r="AB3" s="371" t="s">
        <v>539</v>
      </c>
      <c r="AC3" s="371" t="s">
        <v>703</v>
      </c>
      <c r="AF3" s="361" t="s">
        <v>4613</v>
      </c>
      <c r="AG3" s="363" t="s">
        <v>4616</v>
      </c>
      <c r="AH3" s="235"/>
      <c r="AI3" s="235"/>
      <c r="AJ3" s="235"/>
      <c r="AK3" s="235"/>
      <c r="AL3" s="235"/>
      <c r="AM3" s="235"/>
      <c r="AN3" s="236"/>
    </row>
    <row r="4" ht="15.75" customHeight="1">
      <c r="A4" s="372">
        <v>45108.0</v>
      </c>
      <c r="B4" s="373">
        <f>sumifs('KIDS&amp;ADULTS'!$Z$3:$Z$1015,'KIDS&amp;ADULTS'!$V$3:$V$1015,A4,'KIDS&amp;ADULTS'!$M$3:$M$1015,$B$3)</f>
        <v>0</v>
      </c>
      <c r="C4" s="373">
        <f>sumifs('KIDS&amp;ADULTS'!$Z$3:$Z$1015,'KIDS&amp;ADULTS'!$V$3:$V$1015,A4,'KIDS&amp;ADULTS'!$M$3:$M$1015,"phương")</f>
        <v>0</v>
      </c>
      <c r="D4" s="373">
        <f>sumifs('KIDS&amp;ADULTS'!$Z$3:$Z$1015,'KIDS&amp;ADULTS'!$V$3:$V$1015,A4,'KIDS&amp;ADULTS'!$M$3:$M$1015,$D$3)</f>
        <v>2908900</v>
      </c>
      <c r="E4" s="373">
        <f>sumifs('KIDS&amp;ADULTS'!$Z$3:$Z$1015,'KIDS&amp;ADULTS'!$V$3:$V$1015,A4,'KIDS&amp;ADULTS'!$M$3:$M$1015,"Ánh")</f>
        <v>0</v>
      </c>
      <c r="F4" s="373">
        <f>sumifs('KIDS&amp;ADULTS'!$Z$3:$Z$1015,'KIDS&amp;ADULTS'!$V$3:$V$1015,A4,'KIDS&amp;ADULTS'!$M$3:$M$1015,"Loan")</f>
        <v>0</v>
      </c>
      <c r="G4" s="373">
        <f t="shared" ref="G4:G33" si="1">sum(B4:F4)</f>
        <v>2908900</v>
      </c>
      <c r="J4" s="372">
        <v>45108.0</v>
      </c>
      <c r="K4" s="374">
        <f>COUNTIFS('KIDS&amp;ADULTS'!$A$3:$A$12008,J4,'KIDS&amp;ADULTS'!$B$3:$B$12008,$K$3)</f>
        <v>0</v>
      </c>
      <c r="L4" s="374">
        <f>COUNTIFS('KIDS&amp;ADULTS'!$A$3:$A$12008,J4,'KIDS&amp;ADULTS'!$B$3:$B$12008,$L$3)</f>
        <v>0</v>
      </c>
      <c r="M4" s="374">
        <f>COUNTIFS('KIDS&amp;ADULTS'!$A$3:$A$12008,K4,'KIDS&amp;ADULTS'!$B$3:$B$12008,$M$3)</f>
        <v>0</v>
      </c>
      <c r="N4" s="375">
        <f>COUNTIFS('KIDS&amp;ADULTS'!$A$3:$A$12008,J4,'KIDS&amp;ADULTS'!$B$3:$B$12008,$N$3)</f>
        <v>3</v>
      </c>
      <c r="O4" s="375">
        <f>COUNTIFS('KIDS&amp;ADULTS'!$A$3:$A$12008,J4,'KIDS&amp;ADULTS'!$B$3:$B$12008,$O$3)</f>
        <v>0</v>
      </c>
      <c r="P4" s="375">
        <f>COUNTIFS('KIDS&amp;ADULTS'!$A$3:$A$12008,J4,'KIDS&amp;ADULTS'!$B$3:$B$12008,$P$3)</f>
        <v>0</v>
      </c>
      <c r="Q4" s="375">
        <f>COUNTIFS('KIDS&amp;ADULTS'!$A$3:$A$1008,J4,'KIDS&amp;ADULTS'!$B$3:$B$1008,$Q$3)</f>
        <v>1</v>
      </c>
      <c r="R4" s="374">
        <f>COUNTIFS('KIDS&amp;ADULTS'!$A$3:$A$12008,J4,'KIDS&amp;ADULTS'!$B$3:$B$12008,$R$3)</f>
        <v>0</v>
      </c>
      <c r="U4" s="372">
        <v>45108.0</v>
      </c>
      <c r="V4" s="376">
        <f>COUNTIFS('KIDS&amp;ADULTS'!$V$3:$V$12006,U4,'KIDS&amp;ADULTS'!$B$3:$B$12006,$K$3,'KIDS&amp;ADULTS'!$N$3:$N$12006,"Đã đóng học phí")</f>
        <v>0</v>
      </c>
      <c r="W4" s="376">
        <f>COUNTIFS('KIDS&amp;ADULTS'!$V$3:$V$12006,U4,'KIDS&amp;ADULTS'!$B$3:$B12006,$W$3,'KIDS&amp;ADULTS'!$N$3:$N$12006,"Đã đóng học phí")</f>
        <v>0</v>
      </c>
      <c r="X4" s="376">
        <f>COUNTIFS('KIDS&amp;ADULTS'!$V$3:$V$12006,U4,'KIDS&amp;ADULTS'!$B$3:$B$12006,$X$3,'KIDS&amp;ADULTS'!$N$3:$N$12006,"Đã đóng học phí")</f>
        <v>0</v>
      </c>
      <c r="Y4" s="376">
        <f>COUNTIFS('KIDS&amp;ADULTS'!$V$3:$V$12006,U4,'KIDS&amp;ADULTS'!$B$3:$B$12006,$Y$3,'KIDS&amp;ADULTS'!$N$3:$N$12006,"Đã đóng học phí")</f>
        <v>0</v>
      </c>
      <c r="Z4" s="376">
        <f>COUNTIFS('KIDS&amp;ADULTS'!$V$3:$V$12006,U4,'KIDS&amp;ADULTS'!$B$3:$B$12006,$Z$3,'KIDS&amp;ADULTS'!$N$3:$N$12006,"Đã đóng học phí")</f>
        <v>1</v>
      </c>
      <c r="AA4" s="376">
        <f>COUNTIFS('KIDS&amp;ADULTS'!$V$3:$V$12006,U4,'KIDS&amp;ADULTS'!$B$3:$B$12006,$AA$3,'KIDS&amp;ADULTS'!$N$3:$N$12006,"Đã đóng học phí")</f>
        <v>0</v>
      </c>
      <c r="AB4" s="376">
        <f>COUNTIFS('KIDS&amp;ADULTS'!$V$3:$V$12006,U4,'KIDS&amp;ADULTS'!$B$3:$B$12006,$AB$3,'KIDS&amp;ADULTS'!$N$3:$N$12006,"Đã đóng học phí")</f>
        <v>0</v>
      </c>
      <c r="AC4" s="376">
        <f>COUNTIFS('KIDS&amp;ADULTS'!$V$3:$V$12006,U4,'KIDS&amp;ADULTS'!$B$3:$B$12006,$AC$3,'KIDS&amp;ADULTS'!$N$3:$N$12006,"Đã đóng học phí")</f>
        <v>0</v>
      </c>
      <c r="AF4" s="11"/>
      <c r="AG4" s="366" t="s">
        <v>4620</v>
      </c>
      <c r="AH4" s="367" t="s">
        <v>4621</v>
      </c>
      <c r="AI4" s="377" t="s">
        <v>73</v>
      </c>
      <c r="AJ4" s="378" t="s">
        <v>201</v>
      </c>
      <c r="AK4" s="379" t="s">
        <v>84</v>
      </c>
      <c r="AL4" s="380" t="s">
        <v>60</v>
      </c>
      <c r="AM4" s="371" t="s">
        <v>539</v>
      </c>
      <c r="AN4" s="380" t="s">
        <v>703</v>
      </c>
    </row>
    <row r="5" ht="15.75" customHeight="1">
      <c r="A5" s="372">
        <v>45109.0</v>
      </c>
      <c r="B5" s="373">
        <f>sumifs('KIDS&amp;ADULTS'!$Z$3:$Z$1015,'KIDS&amp;ADULTS'!$V$3:$V$1015,A5,'KIDS&amp;ADULTS'!$M$3:$M$1015,$B$3)</f>
        <v>0</v>
      </c>
      <c r="C5" s="373">
        <f>sumifs('KIDS&amp;ADULTS'!$Z$3:$Z$1015,'KIDS&amp;ADULTS'!$V$3:$V$1015,A5,'KIDS&amp;ADULTS'!$M$3:$M$1015,"phương")</f>
        <v>0</v>
      </c>
      <c r="D5" s="373">
        <f>sumifs('KIDS&amp;ADULTS'!$Z$3:$Z$1015,'KIDS&amp;ADULTS'!$V$3:$V$1015,A5,'KIDS&amp;ADULTS'!$M$3:$M$1015,$D$3)</f>
        <v>0</v>
      </c>
      <c r="E5" s="373">
        <f>sumifs('KIDS&amp;ADULTS'!$Z$3:$Z$1015,'KIDS&amp;ADULTS'!$V$3:$V$1015,A5,'KIDS&amp;ADULTS'!$M$3:$M$1015,"Ánh")</f>
        <v>0</v>
      </c>
      <c r="F5" s="373">
        <f>sumifs('KIDS&amp;ADULTS'!$Z$3:$Z$1015,'KIDS&amp;ADULTS'!$V$3:$V$1015,A5,'KIDS&amp;ADULTS'!$M$3:$M$1015,"Loan")</f>
        <v>0</v>
      </c>
      <c r="G5" s="373">
        <f t="shared" si="1"/>
        <v>0</v>
      </c>
      <c r="J5" s="372">
        <v>45109.0</v>
      </c>
      <c r="K5" s="374">
        <f>COUNTIFS('KIDS&amp;ADULTS'!$A$3:$A$12008,J5,'KIDS&amp;ADULTS'!$B$3:$B$12008,$K$3)</f>
        <v>0</v>
      </c>
      <c r="L5" s="374">
        <f>COUNTIFS('KIDS&amp;ADULTS'!$A$3:$A$12008,J5,'KIDS&amp;ADULTS'!$B$3:$B$12008,$L$3)</f>
        <v>0</v>
      </c>
      <c r="M5" s="374">
        <f>COUNTIFS('KIDS&amp;ADULTS'!$A$3:$A$12008,K5,'KIDS&amp;ADULTS'!$B$3:$B$12008,$M$3)</f>
        <v>0</v>
      </c>
      <c r="N5" s="375">
        <f>COUNTIFS('KIDS&amp;ADULTS'!$A$3:$A$12008,J5,'KIDS&amp;ADULTS'!$B$3:$B$12008,$N$3)</f>
        <v>0</v>
      </c>
      <c r="O5" s="375">
        <f>COUNTIFS('KIDS&amp;ADULTS'!$A$3:$A$12008,J5,'KIDS&amp;ADULTS'!$B$3:$B$12008,$O$3)</f>
        <v>0</v>
      </c>
      <c r="P5" s="375">
        <f>COUNTIFS('KIDS&amp;ADULTS'!$A$3:$A$12008,J5,'KIDS&amp;ADULTS'!$B$3:$B$12008,$P$3)</f>
        <v>0</v>
      </c>
      <c r="Q5" s="375">
        <f>COUNTIFS('KIDS&amp;ADULTS'!$A$3:$A$1008,J5,'KIDS&amp;ADULTS'!$B$3:$B$1008,$Q$3)</f>
        <v>2</v>
      </c>
      <c r="R5" s="374">
        <f>COUNTIFS('KIDS&amp;ADULTS'!$A$3:$A$12008,J5,'KIDS&amp;ADULTS'!$B$3:$B$12008,$R$3)</f>
        <v>0</v>
      </c>
      <c r="U5" s="372">
        <v>45109.0</v>
      </c>
      <c r="V5" s="376">
        <f>COUNTIFS('KIDS&amp;ADULTS'!$V$3:$V$12006,U5,'KIDS&amp;ADULTS'!$B$3:$B$12006,$K$3,'KIDS&amp;ADULTS'!$N$3:$N$12006,"Đã đóng học phí")</f>
        <v>0</v>
      </c>
      <c r="W5" s="376">
        <f>COUNTIFS('KIDS&amp;ADULTS'!$V$3:$V$12006,U5,'KIDS&amp;ADULTS'!$B$3:$B12007,$W$3,'KIDS&amp;ADULTS'!$N$3:$N$12006,"Đã đóng học phí")</f>
        <v>0</v>
      </c>
      <c r="X5" s="376">
        <f>COUNTIFS('KIDS&amp;ADULTS'!$V$3:$V$12006,U5,'KIDS&amp;ADULTS'!$B$3:$B$12006,$X$3,'KIDS&amp;ADULTS'!$N$3:$N$12006,"Đã đóng học phí")</f>
        <v>0</v>
      </c>
      <c r="Y5" s="376">
        <f>COUNTIFS('KIDS&amp;ADULTS'!$V$3:$V$12006,U5,'KIDS&amp;ADULTS'!$B$3:$B$12006,$Y$3,'KIDS&amp;ADULTS'!$N$3:$N$12006,"Đã đóng học phí")</f>
        <v>0</v>
      </c>
      <c r="Z5" s="376">
        <f>COUNTIFS('KIDS&amp;ADULTS'!$V$3:$V$12006,U5,'KIDS&amp;ADULTS'!$B$3:$B$12006,$Z$3,'KIDS&amp;ADULTS'!$N$3:$N$12006,"Đã đóng học phí")</f>
        <v>0</v>
      </c>
      <c r="AA5" s="376">
        <f>COUNTIFS('KIDS&amp;ADULTS'!$V$3:$V$12006,U5,'KIDS&amp;ADULTS'!$B$3:$B$12006,$AA$3,'KIDS&amp;ADULTS'!$N$3:$N$12006,"Đã đóng học phí")</f>
        <v>0</v>
      </c>
      <c r="AB5" s="376">
        <f>COUNTIFS('KIDS&amp;ADULTS'!$V$3:$V$12006,U5,'KIDS&amp;ADULTS'!$B$3:$B$12006,$AB$3,'KIDS&amp;ADULTS'!$N$3:$N$12006,"Đã đóng học phí")</f>
        <v>0</v>
      </c>
      <c r="AC5" s="376">
        <f>COUNTIFS('KIDS&amp;ADULTS'!$V$3:$V$12006,U5,'KIDS&amp;ADULTS'!$B$3:$B$12006,$AC$3,'KIDS&amp;ADULTS'!$N$3:$N$12006,"Đã đóng học phí")</f>
        <v>0</v>
      </c>
      <c r="AF5" s="381" t="s">
        <v>4622</v>
      </c>
      <c r="AG5" s="381">
        <f t="shared" ref="AG5:AN5" si="2">V34</f>
        <v>-1</v>
      </c>
      <c r="AH5" s="381">
        <f t="shared" si="2"/>
        <v>0</v>
      </c>
      <c r="AI5" s="381">
        <f t="shared" si="2"/>
        <v>1</v>
      </c>
      <c r="AJ5" s="381">
        <f t="shared" si="2"/>
        <v>13</v>
      </c>
      <c r="AK5" s="381">
        <f t="shared" si="2"/>
        <v>5</v>
      </c>
      <c r="AL5" s="381">
        <f t="shared" si="2"/>
        <v>4</v>
      </c>
      <c r="AM5" s="381">
        <f t="shared" si="2"/>
        <v>3</v>
      </c>
      <c r="AN5" s="381">
        <f t="shared" si="2"/>
        <v>0</v>
      </c>
    </row>
    <row r="6" ht="15.75" customHeight="1">
      <c r="A6" s="372">
        <v>45110.0</v>
      </c>
      <c r="B6" s="373">
        <f>sumifs('KIDS&amp;ADULTS'!$Z$3:$Z$1015,'KIDS&amp;ADULTS'!$V$3:$V$1015,A6,'KIDS&amp;ADULTS'!$M$3:$M$1015,$B$3)</f>
        <v>0</v>
      </c>
      <c r="C6" s="373">
        <f>sumifs('KIDS&amp;ADULTS'!$Z$3:$Z$1015,'KIDS&amp;ADULTS'!$V$3:$V$1015,A6,'KIDS&amp;ADULTS'!$M$3:$M$1015,"phương")</f>
        <v>0</v>
      </c>
      <c r="D6" s="373">
        <f>sumifs('KIDS&amp;ADULTS'!$Z$3:$Z$1015,'KIDS&amp;ADULTS'!$V$3:$V$1015,A6,'KIDS&amp;ADULTS'!$M$3:$M$1015,$D$3)</f>
        <v>4157000</v>
      </c>
      <c r="E6" s="373">
        <f>sumifs('KIDS&amp;ADULTS'!$Z$3:$Z$1015,'KIDS&amp;ADULTS'!$V$3:$V$1015,A6,'KIDS&amp;ADULTS'!$M$3:$M$1015,"Ánh")</f>
        <v>0</v>
      </c>
      <c r="F6" s="373">
        <f>sumifs('KIDS&amp;ADULTS'!$Z$3:$Z$1015,'KIDS&amp;ADULTS'!$V$3:$V$1015,A6,'KIDS&amp;ADULTS'!$M$3:$M$1015,"Loan")</f>
        <v>0</v>
      </c>
      <c r="G6" s="373">
        <f t="shared" si="1"/>
        <v>4157000</v>
      </c>
      <c r="J6" s="372">
        <v>45110.0</v>
      </c>
      <c r="K6" s="374">
        <f>COUNTIFS('KIDS&amp;ADULTS'!$A$3:$A$12008,J6,'KIDS&amp;ADULTS'!$B$3:$B$12008,$K$3)</f>
        <v>0</v>
      </c>
      <c r="L6" s="374">
        <f>COUNTIFS('KIDS&amp;ADULTS'!$A$3:$A$12008,J6,'KIDS&amp;ADULTS'!$B$3:$B$12008,$L$3)</f>
        <v>0</v>
      </c>
      <c r="M6" s="374">
        <f>COUNTIFS('KIDS&amp;ADULTS'!$A$3:$A$12008,K6,'KIDS&amp;ADULTS'!$B$3:$B$12008,$M$3)</f>
        <v>0</v>
      </c>
      <c r="N6" s="375">
        <f>COUNTIFS('KIDS&amp;ADULTS'!$A$3:$A$12008,J6,'KIDS&amp;ADULTS'!$B$3:$B$12008,$N$3)</f>
        <v>1</v>
      </c>
      <c r="O6" s="375">
        <f>COUNTIFS('KIDS&amp;ADULTS'!$A$3:$A$12008,J6,'KIDS&amp;ADULTS'!$B$3:$B$12008,$O$3)</f>
        <v>0</v>
      </c>
      <c r="P6" s="375">
        <f>COUNTIFS('KIDS&amp;ADULTS'!$A$3:$A$12008,J6,'KIDS&amp;ADULTS'!$B$3:$B$12008,$P$3)</f>
        <v>0</v>
      </c>
      <c r="Q6" s="375">
        <f>COUNTIFS('KIDS&amp;ADULTS'!$A$3:$A$1008,J6,'KIDS&amp;ADULTS'!$B$3:$B$1008,$Q$3)</f>
        <v>0</v>
      </c>
      <c r="R6" s="374">
        <f>COUNTIFS('KIDS&amp;ADULTS'!$A$3:$A$12008,J6,'KIDS&amp;ADULTS'!$B$3:$B$12008,$R$3)</f>
        <v>0</v>
      </c>
      <c r="U6" s="372">
        <v>45110.0</v>
      </c>
      <c r="V6" s="376">
        <f>COUNTIFS('KIDS&amp;ADULTS'!$V$3:$V$12006,U6,'KIDS&amp;ADULTS'!$B$3:$B$12006,$K$3,'KIDS&amp;ADULTS'!$N$3:$N$12006,"Đã đóng học phí")</f>
        <v>0</v>
      </c>
      <c r="W6" s="376">
        <f>COUNTIFS('KIDS&amp;ADULTS'!$V$3:$V$12006,U6,'KIDS&amp;ADULTS'!$B$3:$B12008,$W$3,'KIDS&amp;ADULTS'!$N$3:$N$12006,"Đã đóng học phí")</f>
        <v>0</v>
      </c>
      <c r="X6" s="376">
        <f>COUNTIFS('KIDS&amp;ADULTS'!$V$3:$V$12006,U6,'KIDS&amp;ADULTS'!$B$3:$B$12006,$X$3,'KIDS&amp;ADULTS'!$N$3:$N$12006,"Đã đóng học phí")</f>
        <v>0</v>
      </c>
      <c r="Y6" s="376">
        <f>COUNTIFS('KIDS&amp;ADULTS'!$V$3:$V$12006,U6,'KIDS&amp;ADULTS'!$B$3:$B$12006,$Y$3,'KIDS&amp;ADULTS'!$N$3:$N$12006,"Đã đóng học phí")</f>
        <v>1</v>
      </c>
      <c r="Z6" s="376">
        <f>COUNTIFS('KIDS&amp;ADULTS'!$V$3:$V$12006,U6,'KIDS&amp;ADULTS'!$B$3:$B$12006,$Z$3,'KIDS&amp;ADULTS'!$N$3:$N$12006,"Đã đóng học phí")</f>
        <v>0</v>
      </c>
      <c r="AA6" s="376">
        <f>COUNTIFS('KIDS&amp;ADULTS'!$V$3:$V$12006,U6,'KIDS&amp;ADULTS'!$B$3:$B$12006,$AA$3,'KIDS&amp;ADULTS'!$N$3:$N$12006,"Đã đóng học phí")</f>
        <v>0</v>
      </c>
      <c r="AB6" s="376">
        <f>COUNTIFS('KIDS&amp;ADULTS'!$V$3:$V$12006,U6,'KIDS&amp;ADULTS'!$B$3:$B$12006,$AB$3,'KIDS&amp;ADULTS'!$N$3:$N$12006,"Đã đóng học phí")</f>
        <v>0</v>
      </c>
      <c r="AC6" s="376">
        <f>COUNTIFS('KIDS&amp;ADULTS'!$V$3:$V$12006,U6,'KIDS&amp;ADULTS'!$B$3:$B$12006,$AC$3,'KIDS&amp;ADULTS'!$N$3:$N$12006,"Đã đóng học phí")</f>
        <v>0</v>
      </c>
    </row>
    <row r="7" ht="15.75" customHeight="1">
      <c r="A7" s="372">
        <v>45111.0</v>
      </c>
      <c r="B7" s="373">
        <f>sumifs('KIDS&amp;ADULTS'!$Z$3:$Z$1015,'KIDS&amp;ADULTS'!$V$3:$V$1015,A7,'KIDS&amp;ADULTS'!$M$3:$M$1015,$B$3)</f>
        <v>0</v>
      </c>
      <c r="C7" s="373">
        <f>sumifs('KIDS&amp;ADULTS'!$Z$3:$Z$1015,'KIDS&amp;ADULTS'!$V$3:$V$1015,A7,'KIDS&amp;ADULTS'!$M$3:$M$1015,"phương")</f>
        <v>0</v>
      </c>
      <c r="D7" s="373">
        <f>sumifs('KIDS&amp;ADULTS'!$Z$3:$Z$1015,'KIDS&amp;ADULTS'!$V$3:$V$1015,A7,'KIDS&amp;ADULTS'!$M$3:$M$1015,$D$3)</f>
        <v>10346400</v>
      </c>
      <c r="E7" s="373">
        <f>sumifs('KIDS&amp;ADULTS'!$Z$3:$Z$1015,'KIDS&amp;ADULTS'!$V$3:$V$1015,A7,'KIDS&amp;ADULTS'!$M$3:$M$1015,"Ánh")</f>
        <v>5022000</v>
      </c>
      <c r="F7" s="373">
        <f>sumifs('KIDS&amp;ADULTS'!$Z$3:$Z$1015,'KIDS&amp;ADULTS'!$V$3:$V$1015,A7,'KIDS&amp;ADULTS'!$M$3:$M$1015,"Loan")</f>
        <v>0</v>
      </c>
      <c r="G7" s="373">
        <f t="shared" si="1"/>
        <v>15368400</v>
      </c>
      <c r="J7" s="372">
        <v>45111.0</v>
      </c>
      <c r="K7" s="374">
        <f>COUNTIFS('KIDS&amp;ADULTS'!$A$3:$A$12008,J7,'KIDS&amp;ADULTS'!$B$3:$B$12008,$K$3)</f>
        <v>0</v>
      </c>
      <c r="L7" s="374">
        <f>COUNTIFS('KIDS&amp;ADULTS'!$A$3:$A$12008,J7,'KIDS&amp;ADULTS'!$B$3:$B$12008,$L$3)</f>
        <v>0</v>
      </c>
      <c r="M7" s="374">
        <f>COUNTIFS('KIDS&amp;ADULTS'!$A$3:$A$12008,K7,'KIDS&amp;ADULTS'!$B$3:$B$12008,$M$3)</f>
        <v>0</v>
      </c>
      <c r="N7" s="375">
        <f>COUNTIFS('KIDS&amp;ADULTS'!$A$3:$A$12008,J7,'KIDS&amp;ADULTS'!$B$3:$B$12008,$N$3)</f>
        <v>2</v>
      </c>
      <c r="O7" s="375">
        <f>COUNTIFS('KIDS&amp;ADULTS'!$A$3:$A$12008,J7,'KIDS&amp;ADULTS'!$B$3:$B$12008,$O$3)</f>
        <v>2</v>
      </c>
      <c r="P7" s="375">
        <f>COUNTIFS('KIDS&amp;ADULTS'!$A$3:$A$12008,J7,'KIDS&amp;ADULTS'!$B$3:$B$12008,$P$3)</f>
        <v>0</v>
      </c>
      <c r="Q7" s="375">
        <f>COUNTIFS('KIDS&amp;ADULTS'!$A$3:$A$1008,J7,'KIDS&amp;ADULTS'!$B$3:$B$1008,$Q$3)</f>
        <v>1</v>
      </c>
      <c r="R7" s="374">
        <f>COUNTIFS('KIDS&amp;ADULTS'!$A$3:$A$12008,J7,'KIDS&amp;ADULTS'!$B$3:$B$12008,$R$3)</f>
        <v>0</v>
      </c>
      <c r="U7" s="372">
        <v>45111.0</v>
      </c>
      <c r="V7" s="376">
        <f>COUNTIFS('KIDS&amp;ADULTS'!$V$3:$V$12006,U7,'KIDS&amp;ADULTS'!$B$3:$B$12006,$K$3,'KIDS&amp;ADULTS'!$N$3:$N$12006,"Đã đóng học phí")</f>
        <v>0</v>
      </c>
      <c r="W7" s="376">
        <f>COUNTIFS('KIDS&amp;ADULTS'!$V$3:$V$12006,U7,'KIDS&amp;ADULTS'!$B$3:$B12009,$W$3,'KIDS&amp;ADULTS'!$N$3:$N$12006,"Đã đóng học phí")</f>
        <v>0</v>
      </c>
      <c r="X7" s="376">
        <f>COUNTIFS('KIDS&amp;ADULTS'!$V$3:$V$12006,U7,'KIDS&amp;ADULTS'!$B$3:$B$12006,$X$3,'KIDS&amp;ADULTS'!$N$3:$N$12006,"Đã đóng học phí")</f>
        <v>1</v>
      </c>
      <c r="Y7" s="376">
        <f>COUNTIFS('KIDS&amp;ADULTS'!$V$3:$V$12006,U7,'KIDS&amp;ADULTS'!$B$3:$B$12006,$Y$3,'KIDS&amp;ADULTS'!$N$3:$N$12006,"Đã đóng học phí")</f>
        <v>1</v>
      </c>
      <c r="Z7" s="376">
        <f>COUNTIFS('KIDS&amp;ADULTS'!$V$3:$V$12006,U7,'KIDS&amp;ADULTS'!$B$3:$B$12006,$Z$3,'KIDS&amp;ADULTS'!$N$3:$N$12006,"Đã đóng học phí")</f>
        <v>1</v>
      </c>
      <c r="AA7" s="376">
        <f>COUNTIFS('KIDS&amp;ADULTS'!$V$3:$V$12006,U7,'KIDS&amp;ADULTS'!$B$3:$B$12006,$AA$3,'KIDS&amp;ADULTS'!$N$3:$N$12006,"Đã đóng học phí")</f>
        <v>0</v>
      </c>
      <c r="AB7" s="376">
        <f>COUNTIFS('KIDS&amp;ADULTS'!$V$3:$V$12006,U7,'KIDS&amp;ADULTS'!$B$3:$B$12006,$AB$3,'KIDS&amp;ADULTS'!$N$3:$N$12006,"Đã đóng học phí")</f>
        <v>0</v>
      </c>
      <c r="AC7" s="376">
        <f>COUNTIFS('KIDS&amp;ADULTS'!$V$3:$V$12006,U7,'KIDS&amp;ADULTS'!$B$3:$B$12006,$AC$3,'KIDS&amp;ADULTS'!$N$3:$N$12006,"Đã đóng học phí")</f>
        <v>0</v>
      </c>
      <c r="AF7" s="358" t="s">
        <v>4623</v>
      </c>
    </row>
    <row r="8" ht="15.75" customHeight="1">
      <c r="A8" s="372">
        <v>45112.0</v>
      </c>
      <c r="B8" s="373">
        <f>sumifs('KIDS&amp;ADULTS'!$Z$3:$Z$1015,'KIDS&amp;ADULTS'!$V$3:$V$1015,A8,'KIDS&amp;ADULTS'!$M$3:$M$1015,$B$3)</f>
        <v>0</v>
      </c>
      <c r="C8" s="373">
        <f>sumifs('KIDS&amp;ADULTS'!$Z$3:$Z$1015,'KIDS&amp;ADULTS'!$V$3:$V$1015,A8,'KIDS&amp;ADULTS'!$M$3:$M$1015,"phương")</f>
        <v>0</v>
      </c>
      <c r="D8" s="373">
        <f>sumifs('KIDS&amp;ADULTS'!$Z$3:$Z$1015,'KIDS&amp;ADULTS'!$V$3:$V$1015,A8,'KIDS&amp;ADULTS'!$M$3:$M$1015,$D$3)</f>
        <v>0</v>
      </c>
      <c r="E8" s="373">
        <f>sumifs('KIDS&amp;ADULTS'!$Z$3:$Z$1015,'KIDS&amp;ADULTS'!$V$3:$V$1015,A8,'KIDS&amp;ADULTS'!$M$3:$M$1015,"Ánh")</f>
        <v>5577750</v>
      </c>
      <c r="F8" s="373">
        <f>sumifs('KIDS&amp;ADULTS'!$Z$3:$Z$1015,'KIDS&amp;ADULTS'!$V$3:$V$1015,A8,'KIDS&amp;ADULTS'!$M$3:$M$1015,"Loan")</f>
        <v>0</v>
      </c>
      <c r="G8" s="373">
        <f t="shared" si="1"/>
        <v>5577750</v>
      </c>
      <c r="J8" s="372">
        <v>45112.0</v>
      </c>
      <c r="K8" s="374">
        <f>COUNTIFS('KIDS&amp;ADULTS'!$A$3:$A$12008,J8,'KIDS&amp;ADULTS'!$B$3:$B$12008,$K$3)</f>
        <v>0</v>
      </c>
      <c r="L8" s="374">
        <f>COUNTIFS('KIDS&amp;ADULTS'!$A$3:$A$12008,J8,'KIDS&amp;ADULTS'!$B$3:$B$12008,$L$3)</f>
        <v>0</v>
      </c>
      <c r="M8" s="374">
        <f>COUNTIFS('KIDS&amp;ADULTS'!$A$3:$A$12008,K8,'KIDS&amp;ADULTS'!$B$3:$B$12008,$M$3)</f>
        <v>0</v>
      </c>
      <c r="N8" s="375">
        <f>COUNTIFS('KIDS&amp;ADULTS'!$A$3:$A$12008,J8,'KIDS&amp;ADULTS'!$B$3:$B$12008,$N$3)</f>
        <v>1</v>
      </c>
      <c r="O8" s="375">
        <f>COUNTIFS('KIDS&amp;ADULTS'!$A$3:$A$12008,J8,'KIDS&amp;ADULTS'!$B$3:$B$12008,$O$3)</f>
        <v>0</v>
      </c>
      <c r="P8" s="375">
        <f>COUNTIFS('KIDS&amp;ADULTS'!$A$3:$A$12008,J8,'KIDS&amp;ADULTS'!$B$3:$B$12008,$P$3)</f>
        <v>0</v>
      </c>
      <c r="Q8" s="375">
        <f>COUNTIFS('KIDS&amp;ADULTS'!$A$3:$A$1008,J8,'KIDS&amp;ADULTS'!$B$3:$B$1008,$Q$3)</f>
        <v>0</v>
      </c>
      <c r="R8" s="374">
        <f>COUNTIFS('KIDS&amp;ADULTS'!$A$3:$A$12008,J8,'KIDS&amp;ADULTS'!$B$3:$B$12008,$R$3)</f>
        <v>37</v>
      </c>
      <c r="U8" s="372">
        <v>45112.0</v>
      </c>
      <c r="V8" s="376">
        <f>COUNTIFS('KIDS&amp;ADULTS'!$V$3:$V$12006,U8,'KIDS&amp;ADULTS'!$B$3:$B$12006,$K$3,'KIDS&amp;ADULTS'!$N$3:$N$12006,"Đã đóng học phí")</f>
        <v>0</v>
      </c>
      <c r="W8" s="376">
        <f>COUNTIFS('KIDS&amp;ADULTS'!$V$3:$V$12006,U8,'KIDS&amp;ADULTS'!$B$3:$B12010,$W$3,'KIDS&amp;ADULTS'!$N$3:$N$12006,"Đã đóng học phí")</f>
        <v>0</v>
      </c>
      <c r="X8" s="376">
        <f>COUNTIFS('KIDS&amp;ADULTS'!$V$3:$V$12006,U8,'KIDS&amp;ADULTS'!$B$3:$B$12006,$X$3,'KIDS&amp;ADULTS'!$N$3:$N$12006,"Đã đóng học phí")</f>
        <v>0</v>
      </c>
      <c r="Y8" s="376">
        <f>COUNTIFS('KIDS&amp;ADULTS'!$V$3:$V$12006,U8,'KIDS&amp;ADULTS'!$B$3:$B$12006,$Y$3,'KIDS&amp;ADULTS'!$N$3:$N$12006,"Đã đóng học phí")</f>
        <v>1</v>
      </c>
      <c r="Z8" s="376">
        <f>COUNTIFS('KIDS&amp;ADULTS'!$V$3:$V$12006,U8,'KIDS&amp;ADULTS'!$B$3:$B$12006,$Z$3,'KIDS&amp;ADULTS'!$N$3:$N$12006,"Đã đóng học phí")</f>
        <v>0</v>
      </c>
      <c r="AA8" s="376">
        <f>COUNTIFS('KIDS&amp;ADULTS'!$V$3:$V$12006,U8,'KIDS&amp;ADULTS'!$B$3:$B$12006,$AA$3,'KIDS&amp;ADULTS'!$N$3:$N$12006,"Đã đóng học phí")</f>
        <v>0</v>
      </c>
      <c r="AB8" s="376">
        <f>COUNTIFS('KIDS&amp;ADULTS'!$V$3:$V$12006,U8,'KIDS&amp;ADULTS'!$B$3:$B$12006,$AB$3,'KIDS&amp;ADULTS'!$N$3:$N$12006,"Đã đóng học phí")</f>
        <v>0</v>
      </c>
      <c r="AC8" s="376">
        <f>COUNTIFS('KIDS&amp;ADULTS'!$V$3:$V$12006,U8,'KIDS&amp;ADULTS'!$B$3:$B$12006,$AC$3,'KIDS&amp;ADULTS'!$N$3:$N$12006,"Đã đóng học phí")</f>
        <v>0</v>
      </c>
      <c r="AF8" s="361" t="s">
        <v>4613</v>
      </c>
      <c r="AG8" s="363" t="s">
        <v>4616</v>
      </c>
      <c r="AH8" s="235"/>
      <c r="AI8" s="235"/>
      <c r="AJ8" s="235"/>
      <c r="AK8" s="235"/>
      <c r="AL8" s="235"/>
      <c r="AM8" s="235"/>
      <c r="AN8" s="236"/>
    </row>
    <row r="9" ht="15.75" customHeight="1">
      <c r="A9" s="372">
        <v>45113.0</v>
      </c>
      <c r="B9" s="373">
        <f>sumifs('KIDS&amp;ADULTS'!$Z$3:$Z$1015,'KIDS&amp;ADULTS'!$V$3:$V$1015,A9,'KIDS&amp;ADULTS'!$M$3:$M$1015,$B$3)</f>
        <v>0</v>
      </c>
      <c r="C9" s="373">
        <f>sumifs('KIDS&amp;ADULTS'!$Z$3:$Z$1015,'KIDS&amp;ADULTS'!$V$3:$V$1015,A9,'KIDS&amp;ADULTS'!$M$3:$M$1015,"phương")</f>
        <v>0</v>
      </c>
      <c r="D9" s="373">
        <f>sumifs('KIDS&amp;ADULTS'!$Z$3:$Z$1015,'KIDS&amp;ADULTS'!$V$3:$V$1015,A9,'KIDS&amp;ADULTS'!$M$3:$M$1015,$D$3)</f>
        <v>0</v>
      </c>
      <c r="E9" s="373">
        <f>sumifs('KIDS&amp;ADULTS'!$Z$3:$Z$1015,'KIDS&amp;ADULTS'!$V$3:$V$1015,A9,'KIDS&amp;ADULTS'!$M$3:$M$1015,"Ánh")</f>
        <v>0</v>
      </c>
      <c r="F9" s="373">
        <f>sumifs('KIDS&amp;ADULTS'!$Z$3:$Z$1015,'KIDS&amp;ADULTS'!$V$3:$V$1015,A9,'KIDS&amp;ADULTS'!$M$3:$M$1015,"Loan")</f>
        <v>0</v>
      </c>
      <c r="G9" s="373">
        <f t="shared" si="1"/>
        <v>0</v>
      </c>
      <c r="J9" s="372">
        <v>45113.0</v>
      </c>
      <c r="K9" s="374">
        <f>COUNTIFS('KIDS&amp;ADULTS'!$A$3:$A$12008,J9,'KIDS&amp;ADULTS'!$B$3:$B$12008,$K$3)</f>
        <v>0</v>
      </c>
      <c r="L9" s="374">
        <f>COUNTIFS('KIDS&amp;ADULTS'!$A$3:$A$12008,J9,'KIDS&amp;ADULTS'!$B$3:$B$12008,$L$3)</f>
        <v>0</v>
      </c>
      <c r="M9" s="374">
        <f>COUNTIFS('KIDS&amp;ADULTS'!$A$3:$A$12008,K9,'KIDS&amp;ADULTS'!$B$3:$B$12008,$M$3)</f>
        <v>0</v>
      </c>
      <c r="N9" s="375">
        <f>COUNTIFS('KIDS&amp;ADULTS'!$A$3:$A$12008,J9,'KIDS&amp;ADULTS'!$B$3:$B$12008,$N$3)</f>
        <v>0</v>
      </c>
      <c r="O9" s="375">
        <f>COUNTIFS('KIDS&amp;ADULTS'!$A$3:$A$12008,J9,'KIDS&amp;ADULTS'!$B$3:$B$12008,$O$3)</f>
        <v>0</v>
      </c>
      <c r="P9" s="375">
        <f>COUNTIFS('KIDS&amp;ADULTS'!$A$3:$A$12008,J9,'KIDS&amp;ADULTS'!$B$3:$B$12008,$P$3)</f>
        <v>0</v>
      </c>
      <c r="Q9" s="375">
        <f>COUNTIFS('KIDS&amp;ADULTS'!$A$3:$A$1008,J9,'KIDS&amp;ADULTS'!$B$3:$B$1008,$Q$3)</f>
        <v>0</v>
      </c>
      <c r="R9" s="374">
        <f>COUNTIFS('KIDS&amp;ADULTS'!$A$3:$A$12008,J9,'KIDS&amp;ADULTS'!$B$3:$B$12008,$R$3)</f>
        <v>14</v>
      </c>
      <c r="U9" s="372">
        <v>45113.0</v>
      </c>
      <c r="V9" s="376">
        <f>COUNTIFS('KIDS&amp;ADULTS'!$V$3:$V$12006,U9,'KIDS&amp;ADULTS'!$B$3:$B$12006,$K$3,'KIDS&amp;ADULTS'!$N$3:$N$12006,"Đã đóng học phí")</f>
        <v>0</v>
      </c>
      <c r="W9" s="376">
        <f>COUNTIFS('KIDS&amp;ADULTS'!$V$3:$V$12006,U9,'KIDS&amp;ADULTS'!$B$3:$B12011,$W$3,'KIDS&amp;ADULTS'!$N$3:$N$12006,"Đã đóng học phí")</f>
        <v>0</v>
      </c>
      <c r="X9" s="376">
        <f>COUNTIFS('KIDS&amp;ADULTS'!$V$3:$V$12006,U9,'KIDS&amp;ADULTS'!$B$3:$B$12006,$X$3,'KIDS&amp;ADULTS'!$N$3:$N$12006,"Đã đóng học phí")</f>
        <v>0</v>
      </c>
      <c r="Y9" s="376">
        <f>COUNTIFS('KIDS&amp;ADULTS'!$V$3:$V$12006,U9,'KIDS&amp;ADULTS'!$B$3:$B$12006,$Y$3,'KIDS&amp;ADULTS'!$N$3:$N$12006,"Đã đóng học phí")</f>
        <v>0</v>
      </c>
      <c r="Z9" s="376">
        <f>COUNTIFS('KIDS&amp;ADULTS'!$V$3:$V$12006,U9,'KIDS&amp;ADULTS'!$B$3:$B$12006,$Z$3,'KIDS&amp;ADULTS'!$N$3:$N$12006,"Đã đóng học phí")</f>
        <v>0</v>
      </c>
      <c r="AA9" s="376">
        <f>COUNTIFS('KIDS&amp;ADULTS'!$V$3:$V$12006,U9,'KIDS&amp;ADULTS'!$B$3:$B$12006,$AA$3,'KIDS&amp;ADULTS'!$N$3:$N$12006,"Đã đóng học phí")</f>
        <v>0</v>
      </c>
      <c r="AB9" s="376">
        <f>COUNTIFS('KIDS&amp;ADULTS'!$V$3:$V$12006,U9,'KIDS&amp;ADULTS'!$B$3:$B$12006,$AB$3,'KIDS&amp;ADULTS'!$N$3:$N$12006,"Đã đóng học phí")</f>
        <v>0</v>
      </c>
      <c r="AC9" s="376">
        <f>COUNTIFS('KIDS&amp;ADULTS'!$V$3:$V$12006,U9,'KIDS&amp;ADULTS'!$B$3:$B$12006,$AC$3,'KIDS&amp;ADULTS'!$N$3:$N$12006,"Đã đóng học phí")</f>
        <v>0</v>
      </c>
      <c r="AF9" s="11"/>
      <c r="AG9" s="366" t="s">
        <v>4620</v>
      </c>
      <c r="AH9" s="367" t="s">
        <v>4621</v>
      </c>
      <c r="AI9" s="368" t="s">
        <v>73</v>
      </c>
      <c r="AJ9" s="369" t="s">
        <v>201</v>
      </c>
      <c r="AK9" s="370" t="s">
        <v>84</v>
      </c>
      <c r="AL9" s="371" t="s">
        <v>60</v>
      </c>
      <c r="AM9" s="371" t="s">
        <v>539</v>
      </c>
      <c r="AN9" s="371" t="s">
        <v>703</v>
      </c>
    </row>
    <row r="10" ht="15.75" customHeight="1">
      <c r="A10" s="372">
        <v>45114.0</v>
      </c>
      <c r="B10" s="373">
        <f>sumifs('KIDS&amp;ADULTS'!$Z$3:$Z$1015,'KIDS&amp;ADULTS'!$V$3:$V$1015,A10,'KIDS&amp;ADULTS'!$M$3:$M$1015,$B$3)</f>
        <v>0</v>
      </c>
      <c r="C10" s="373">
        <f>sumifs('KIDS&amp;ADULTS'!$Z$3:$Z$1015,'KIDS&amp;ADULTS'!$V$3:$V$1015,A10,'KIDS&amp;ADULTS'!$M$3:$M$1015,"phương")</f>
        <v>0</v>
      </c>
      <c r="D10" s="373">
        <f>sumifs('KIDS&amp;ADULTS'!$Z$3:$Z$1015,'KIDS&amp;ADULTS'!$V$3:$V$1015,A10,'KIDS&amp;ADULTS'!$M$3:$M$1015,$D$3)</f>
        <v>5205400</v>
      </c>
      <c r="E10" s="373">
        <f>sumifs('KIDS&amp;ADULTS'!$Z$3:$Z$1015,'KIDS&amp;ADULTS'!$V$3:$V$1015,A10,'KIDS&amp;ADULTS'!$M$3:$M$1015,"Ánh")</f>
        <v>13135980</v>
      </c>
      <c r="F10" s="373">
        <f>sumifs('KIDS&amp;ADULTS'!$Z$3:$Z$1015,'KIDS&amp;ADULTS'!$V$3:$V$1015,A10,'KIDS&amp;ADULTS'!$M$3:$M$1015,"Loan")</f>
        <v>0</v>
      </c>
      <c r="G10" s="373">
        <f t="shared" si="1"/>
        <v>18341380</v>
      </c>
      <c r="J10" s="372">
        <v>45114.0</v>
      </c>
      <c r="K10" s="374">
        <f>COUNTIFS('KIDS&amp;ADULTS'!$A$3:$A$12008,J10,'KIDS&amp;ADULTS'!$B$3:$B$12008,$K$3)</f>
        <v>0</v>
      </c>
      <c r="L10" s="374">
        <f>COUNTIFS('KIDS&amp;ADULTS'!$A$3:$A$12008,J10,'KIDS&amp;ADULTS'!$B$3:$B$12008,$L$3)</f>
        <v>0</v>
      </c>
      <c r="M10" s="374">
        <f>COUNTIFS('KIDS&amp;ADULTS'!$A$3:$A$12008,K10,'KIDS&amp;ADULTS'!$B$3:$B$12008,$M$3)</f>
        <v>0</v>
      </c>
      <c r="N10" s="375">
        <f>COUNTIFS('KIDS&amp;ADULTS'!$A$3:$A$12008,J10,'KIDS&amp;ADULTS'!$B$3:$B$12008,$N$3)</f>
        <v>0</v>
      </c>
      <c r="O10" s="375">
        <f>COUNTIFS('KIDS&amp;ADULTS'!$A$3:$A$12008,J10,'KIDS&amp;ADULTS'!$B$3:$B$12008,$O$3)</f>
        <v>2</v>
      </c>
      <c r="P10" s="375">
        <f>COUNTIFS('KIDS&amp;ADULTS'!$A$3:$A$12008,J10,'KIDS&amp;ADULTS'!$B$3:$B$12008,$P$3)</f>
        <v>0</v>
      </c>
      <c r="Q10" s="375">
        <f>COUNTIFS('KIDS&amp;ADULTS'!$A$3:$A$1008,J10,'KIDS&amp;ADULTS'!$B$3:$B$1008,$Q$3)</f>
        <v>4</v>
      </c>
      <c r="R10" s="374">
        <f>COUNTIFS('KIDS&amp;ADULTS'!$A$3:$A$12008,J10,'KIDS&amp;ADULTS'!$B$3:$B$12008,$R$3)</f>
        <v>0</v>
      </c>
      <c r="U10" s="372">
        <v>45114.0</v>
      </c>
      <c r="V10" s="376">
        <f>COUNTIFS('KIDS&amp;ADULTS'!$V$3:$V$12006,U10,'KIDS&amp;ADULTS'!$B$3:$B$12006,$K$3,'KIDS&amp;ADULTS'!$N$3:$N$12006,"Đã đóng học phí")</f>
        <v>0</v>
      </c>
      <c r="W10" s="376">
        <f>COUNTIFS('KIDS&amp;ADULTS'!$V$3:$V$12006,U10,'KIDS&amp;ADULTS'!$B$3:$B12012,$W$3,'KIDS&amp;ADULTS'!$N$3:$N$12006,"Đã đóng học phí")</f>
        <v>0</v>
      </c>
      <c r="X10" s="376">
        <f>COUNTIFS('KIDS&amp;ADULTS'!$V$3:$V$12006,U10,'KIDS&amp;ADULTS'!$B$3:$B$12006,$X$3,'KIDS&amp;ADULTS'!$N$3:$N$12006,"Đã đóng học phí")</f>
        <v>0</v>
      </c>
      <c r="Y10" s="376">
        <f>COUNTIFS('KIDS&amp;ADULTS'!$V$3:$V$12006,U10,'KIDS&amp;ADULTS'!$B$3:$B$12006,$Y$3,'KIDS&amp;ADULTS'!$N$3:$N$12006,"Đã đóng học phí")</f>
        <v>0</v>
      </c>
      <c r="Z10" s="376">
        <f>COUNTIFS('KIDS&amp;ADULTS'!$V$3:$V$12006,U10,'KIDS&amp;ADULTS'!$B$3:$B$12006,$Z$3,'KIDS&amp;ADULTS'!$N$3:$N$12006,"Đã đóng học phí")</f>
        <v>0</v>
      </c>
      <c r="AA10" s="376">
        <f>COUNTIFS('KIDS&amp;ADULTS'!$V$3:$V$12006,U10,'KIDS&amp;ADULTS'!$B$3:$B$12006,$AA$3,'KIDS&amp;ADULTS'!$N$3:$N$12006,"Đã đóng học phí")</f>
        <v>0</v>
      </c>
      <c r="AB10" s="376">
        <f>COUNTIFS('KIDS&amp;ADULTS'!$V$3:$V$12006,U10,'KIDS&amp;ADULTS'!$B$3:$B$12006,$AB$3,'KIDS&amp;ADULTS'!$N$3:$N$12006,"Đã đóng học phí")</f>
        <v>2</v>
      </c>
      <c r="AC10" s="376">
        <f>COUNTIFS('KIDS&amp;ADULTS'!$V$3:$V$12006,U10,'KIDS&amp;ADULTS'!$B$3:$B$12006,$AC$3,'KIDS&amp;ADULTS'!$N$3:$N$12006,"Đã đóng học phí")</f>
        <v>0</v>
      </c>
      <c r="AF10" s="381" t="s">
        <v>4622</v>
      </c>
      <c r="AG10" s="382">
        <f t="shared" ref="AG10:AN10" si="3">V70</f>
        <v>0</v>
      </c>
      <c r="AH10" s="382">
        <f t="shared" si="3"/>
        <v>0</v>
      </c>
      <c r="AI10" s="382">
        <f t="shared" si="3"/>
        <v>5022000</v>
      </c>
      <c r="AJ10" s="382">
        <f t="shared" si="3"/>
        <v>57177240</v>
      </c>
      <c r="AK10" s="382">
        <f t="shared" si="3"/>
        <v>24181900</v>
      </c>
      <c r="AL10" s="382">
        <f t="shared" si="3"/>
        <v>19909500</v>
      </c>
      <c r="AM10" s="382">
        <f t="shared" si="3"/>
        <v>15751080</v>
      </c>
      <c r="AN10" s="382">
        <f t="shared" si="3"/>
        <v>0</v>
      </c>
    </row>
    <row r="11" ht="15.75" customHeight="1">
      <c r="A11" s="372">
        <v>45115.0</v>
      </c>
      <c r="B11" s="373">
        <f>sumifs('KIDS&amp;ADULTS'!$Z$3:$Z$1015,'KIDS&amp;ADULTS'!$V$3:$V$1015,A11,'KIDS&amp;ADULTS'!$M$3:$M$1015,$B$3)</f>
        <v>0</v>
      </c>
      <c r="C11" s="373">
        <f>sumifs('KIDS&amp;ADULTS'!$Z$3:$Z$1015,'KIDS&amp;ADULTS'!$V$3:$V$1015,A11,'KIDS&amp;ADULTS'!$M$3:$M$1015,"phương")</f>
        <v>0</v>
      </c>
      <c r="D11" s="373">
        <f>sumifs('KIDS&amp;ADULTS'!$Z$3:$Z$1015,'KIDS&amp;ADULTS'!$V$3:$V$1015,A11,'KIDS&amp;ADULTS'!$M$3:$M$1015,$D$3)</f>
        <v>0</v>
      </c>
      <c r="E11" s="373">
        <f>sumifs('KIDS&amp;ADULTS'!$Z$3:$Z$1015,'KIDS&amp;ADULTS'!$V$3:$V$1015,A11,'KIDS&amp;ADULTS'!$M$3:$M$1015,"Ánh")</f>
        <v>0</v>
      </c>
      <c r="F11" s="373">
        <f>sumifs('KIDS&amp;ADULTS'!$Z$3:$Z$1015,'KIDS&amp;ADULTS'!$V$3:$V$1015,A11,'KIDS&amp;ADULTS'!$M$3:$M$1015,"Loan")</f>
        <v>0</v>
      </c>
      <c r="G11" s="373">
        <f t="shared" si="1"/>
        <v>0</v>
      </c>
      <c r="J11" s="372">
        <v>45115.0</v>
      </c>
      <c r="K11" s="374">
        <f>COUNTIFS('KIDS&amp;ADULTS'!$A$3:$A$12008,J11,'KIDS&amp;ADULTS'!$B$3:$B$12008,$K$3)</f>
        <v>0</v>
      </c>
      <c r="L11" s="374">
        <f>COUNTIFS('KIDS&amp;ADULTS'!$A$3:$A$12008,J11,'KIDS&amp;ADULTS'!$B$3:$B$12008,$L$3)</f>
        <v>0</v>
      </c>
      <c r="M11" s="374">
        <f>COUNTIFS('KIDS&amp;ADULTS'!$A$3:$A$12008,K11,'KIDS&amp;ADULTS'!$B$3:$B$12008,$M$3)</f>
        <v>0</v>
      </c>
      <c r="N11" s="375">
        <f>COUNTIFS('KIDS&amp;ADULTS'!$A$3:$A$12008,J11,'KIDS&amp;ADULTS'!$B$3:$B$12008,$N$3)</f>
        <v>0</v>
      </c>
      <c r="O11" s="375">
        <f>COUNTIFS('KIDS&amp;ADULTS'!$A$3:$A$12008,J11,'KIDS&amp;ADULTS'!$B$3:$B$12008,$O$3)</f>
        <v>0</v>
      </c>
      <c r="P11" s="375">
        <f>COUNTIFS('KIDS&amp;ADULTS'!$A$3:$A$12008,J11,'KIDS&amp;ADULTS'!$B$3:$B$12008,$P$3)</f>
        <v>0</v>
      </c>
      <c r="Q11" s="375">
        <f>COUNTIFS('KIDS&amp;ADULTS'!$A$3:$A$1008,J11,'KIDS&amp;ADULTS'!$B$3:$B$1008,$Q$3)</f>
        <v>0</v>
      </c>
      <c r="R11" s="374">
        <f>COUNTIFS('KIDS&amp;ADULTS'!$A$3:$A$12008,J11,'KIDS&amp;ADULTS'!$B$3:$B$12008,$R$3)</f>
        <v>0</v>
      </c>
      <c r="U11" s="372">
        <v>45115.0</v>
      </c>
      <c r="V11" s="376">
        <f>COUNTIFS('KIDS&amp;ADULTS'!$V$3:$V$12006,U11,'KIDS&amp;ADULTS'!$B$3:$B$12006,$K$3,'KIDS&amp;ADULTS'!$N$3:$N$12006,"Đã đóng học phí")</f>
        <v>0</v>
      </c>
      <c r="W11" s="376">
        <f>COUNTIFS('KIDS&amp;ADULTS'!$V$3:$V$12006,U11,'KIDS&amp;ADULTS'!$B$3:$B12013,$W$3,'KIDS&amp;ADULTS'!$N$3:$N$12006,"Đã đóng học phí")</f>
        <v>0</v>
      </c>
      <c r="X11" s="376">
        <f>COUNTIFS('KIDS&amp;ADULTS'!$V$3:$V$12006,U11,'KIDS&amp;ADULTS'!$B$3:$B$12006,$X$3,'KIDS&amp;ADULTS'!$N$3:$N$12006,"Đã đóng học phí")</f>
        <v>0</v>
      </c>
      <c r="Y11" s="376">
        <f>COUNTIFS('KIDS&amp;ADULTS'!$V$3:$V$12006,U11,'KIDS&amp;ADULTS'!$B$3:$B$12006,$Y$3,'KIDS&amp;ADULTS'!$N$3:$N$12006,"Đã đóng học phí")</f>
        <v>0</v>
      </c>
      <c r="Z11" s="376">
        <f>COUNTIFS('KIDS&amp;ADULTS'!$V$3:$V$12006,U11,'KIDS&amp;ADULTS'!$B$3:$B$12006,$Z$3,'KIDS&amp;ADULTS'!$N$3:$N$12006,"Đã đóng học phí")</f>
        <v>0</v>
      </c>
      <c r="AA11" s="376">
        <f>COUNTIFS('KIDS&amp;ADULTS'!$V$3:$V$12006,U11,'KIDS&amp;ADULTS'!$B$3:$B$12006,$AA$3,'KIDS&amp;ADULTS'!$N$3:$N$12006,"Đã đóng học phí")</f>
        <v>0</v>
      </c>
      <c r="AB11" s="376">
        <f>COUNTIFS('KIDS&amp;ADULTS'!$V$3:$V$12006,U11,'KIDS&amp;ADULTS'!$B$3:$B$12006,$AB$3,'KIDS&amp;ADULTS'!$N$3:$N$12006,"Đã đóng học phí")</f>
        <v>0</v>
      </c>
      <c r="AC11" s="376">
        <f>COUNTIFS('KIDS&amp;ADULTS'!$V$3:$V$12006,U11,'KIDS&amp;ADULTS'!$B$3:$B$12006,$AC$3,'KIDS&amp;ADULTS'!$N$3:$N$12006,"Đã đóng học phí")</f>
        <v>0</v>
      </c>
    </row>
    <row r="12" ht="15.75" customHeight="1">
      <c r="A12" s="372">
        <v>45116.0</v>
      </c>
      <c r="B12" s="373">
        <f>sumifs('KIDS&amp;ADULTS'!$Z$3:$Z$1015,'KIDS&amp;ADULTS'!$V$3:$V$1015,A12,'KIDS&amp;ADULTS'!$M$3:$M$1015,$B$3)</f>
        <v>0</v>
      </c>
      <c r="C12" s="373">
        <f>sumifs('KIDS&amp;ADULTS'!$Z$3:$Z$1015,'KIDS&amp;ADULTS'!$V$3:$V$1015,A12,'KIDS&amp;ADULTS'!$M$3:$M$1015,"phương")</f>
        <v>0</v>
      </c>
      <c r="D12" s="373">
        <f>sumifs('KIDS&amp;ADULTS'!$Z$3:$Z$1015,'KIDS&amp;ADULTS'!$V$3:$V$1015,A12,'KIDS&amp;ADULTS'!$M$3:$M$1015,$D$3)</f>
        <v>0</v>
      </c>
      <c r="E12" s="373">
        <f>sumifs('KIDS&amp;ADULTS'!$Z$3:$Z$1015,'KIDS&amp;ADULTS'!$V$3:$V$1015,A12,'KIDS&amp;ADULTS'!$M$3:$M$1015,"Ánh")</f>
        <v>0</v>
      </c>
      <c r="F12" s="373">
        <f>sumifs('KIDS&amp;ADULTS'!$Z$3:$Z$1015,'KIDS&amp;ADULTS'!$V$3:$V$1015,A12,'KIDS&amp;ADULTS'!$M$3:$M$1015,"Loan")</f>
        <v>0</v>
      </c>
      <c r="G12" s="373">
        <f t="shared" si="1"/>
        <v>0</v>
      </c>
      <c r="J12" s="372">
        <v>45116.0</v>
      </c>
      <c r="K12" s="374">
        <f>COUNTIFS('KIDS&amp;ADULTS'!$A$3:$A$12008,J12,'KIDS&amp;ADULTS'!$B$3:$B$12008,$K$3)</f>
        <v>0</v>
      </c>
      <c r="L12" s="374">
        <f>COUNTIFS('KIDS&amp;ADULTS'!$A$3:$A$12008,J12,'KIDS&amp;ADULTS'!$B$3:$B$12008,$L$3)</f>
        <v>0</v>
      </c>
      <c r="M12" s="374">
        <f>COUNTIFS('KIDS&amp;ADULTS'!$A$3:$A$12008,K12,'KIDS&amp;ADULTS'!$B$3:$B$12008,$M$3)</f>
        <v>0</v>
      </c>
      <c r="N12" s="375">
        <f>COUNTIFS('KIDS&amp;ADULTS'!$A$3:$A$12008,J12,'KIDS&amp;ADULTS'!$B$3:$B$12008,$N$3)</f>
        <v>0</v>
      </c>
      <c r="O12" s="375">
        <f>COUNTIFS('KIDS&amp;ADULTS'!$A$3:$A$12008,J12,'KIDS&amp;ADULTS'!$B$3:$B$12008,$O$3)</f>
        <v>0</v>
      </c>
      <c r="P12" s="375">
        <f>COUNTIFS('KIDS&amp;ADULTS'!$A$3:$A$12008,J12,'KIDS&amp;ADULTS'!$B$3:$B$12008,$P$3)</f>
        <v>0</v>
      </c>
      <c r="Q12" s="375">
        <f>COUNTIFS('KIDS&amp;ADULTS'!$A$3:$A$1008,J12,'KIDS&amp;ADULTS'!$B$3:$B$1008,$Q$3)</f>
        <v>0</v>
      </c>
      <c r="R12" s="374">
        <f>COUNTIFS('KIDS&amp;ADULTS'!$A$3:$A$12008,J12,'KIDS&amp;ADULTS'!$B$3:$B$12008,$R$3)</f>
        <v>0</v>
      </c>
      <c r="U12" s="372">
        <v>45116.0</v>
      </c>
      <c r="V12" s="376">
        <f>COUNTIFS('KIDS&amp;ADULTS'!$V$3:$V$12006,U12,'KIDS&amp;ADULTS'!$B$3:$B$12006,$K$3,'KIDS&amp;ADULTS'!$N$3:$N$12006,"Đã đóng học phí")</f>
        <v>0</v>
      </c>
      <c r="W12" s="376">
        <f>COUNTIFS('KIDS&amp;ADULTS'!$V$3:$V$12006,U12,'KIDS&amp;ADULTS'!$B$3:$B12014,$W$3,'KIDS&amp;ADULTS'!$N$3:$N$12006,"Đã đóng học phí")</f>
        <v>0</v>
      </c>
      <c r="X12" s="376">
        <f>COUNTIFS('KIDS&amp;ADULTS'!$V$3:$V$12006,U12,'KIDS&amp;ADULTS'!$B$3:$B$12006,$X$3,'KIDS&amp;ADULTS'!$N$3:$N$12006,"Đã đóng học phí")</f>
        <v>0</v>
      </c>
      <c r="Y12" s="376">
        <f>COUNTIFS('KIDS&amp;ADULTS'!$V$3:$V$12006,U12,'KIDS&amp;ADULTS'!$B$3:$B$12006,$Y$3,'KIDS&amp;ADULTS'!$N$3:$N$12006,"Đã đóng học phí")</f>
        <v>0</v>
      </c>
      <c r="Z12" s="376">
        <f>COUNTIFS('KIDS&amp;ADULTS'!$V$3:$V$12006,U12,'KIDS&amp;ADULTS'!$B$3:$B$12006,$Z$3,'KIDS&amp;ADULTS'!$N$3:$N$12006,"Đã đóng học phí")</f>
        <v>0</v>
      </c>
      <c r="AA12" s="376">
        <f>COUNTIFS('KIDS&amp;ADULTS'!$V$3:$V$12006,U12,'KIDS&amp;ADULTS'!$B$3:$B$12006,$AA$3,'KIDS&amp;ADULTS'!$N$3:$N$12006,"Đã đóng học phí")</f>
        <v>0</v>
      </c>
      <c r="AB12" s="376">
        <f>COUNTIFS('KIDS&amp;ADULTS'!$V$3:$V$12006,U12,'KIDS&amp;ADULTS'!$B$3:$B$12006,$AB$3,'KIDS&amp;ADULTS'!$N$3:$N$12006,"Đã đóng học phí")</f>
        <v>0</v>
      </c>
      <c r="AC12" s="376">
        <f>COUNTIFS('KIDS&amp;ADULTS'!$V$3:$V$12006,U12,'KIDS&amp;ADULTS'!$B$3:$B$12006,$AC$3,'KIDS&amp;ADULTS'!$N$3:$N$12006,"Đã đóng học phí")</f>
        <v>0</v>
      </c>
    </row>
    <row r="13" ht="15.75" customHeight="1">
      <c r="A13" s="372">
        <v>45117.0</v>
      </c>
      <c r="B13" s="373">
        <f>sumifs('KIDS&amp;ADULTS'!$Z$3:$Z$1015,'KIDS&amp;ADULTS'!$V$3:$V$1015,A13,'KIDS&amp;ADULTS'!$M$3:$M$1015,$B$3)</f>
        <v>0</v>
      </c>
      <c r="C13" s="373">
        <f>sumifs('KIDS&amp;ADULTS'!$Z$3:$Z$1015,'KIDS&amp;ADULTS'!$V$3:$V$1015,A13,'KIDS&amp;ADULTS'!$M$3:$M$1015,"phương")</f>
        <v>0</v>
      </c>
      <c r="D13" s="373">
        <f>sumifs('KIDS&amp;ADULTS'!$Z$3:$Z$1015,'KIDS&amp;ADULTS'!$V$3:$V$1015,A13,'KIDS&amp;ADULTS'!$M$3:$M$1015,$D$3)</f>
        <v>7950000</v>
      </c>
      <c r="E13" s="373">
        <f>sumifs('KIDS&amp;ADULTS'!$Z$3:$Z$1015,'KIDS&amp;ADULTS'!$V$3:$V$1015,A13,'KIDS&amp;ADULTS'!$M$3:$M$1015,"Ánh")</f>
        <v>0</v>
      </c>
      <c r="F13" s="373">
        <f>sumifs('KIDS&amp;ADULTS'!$Z$3:$Z$1015,'KIDS&amp;ADULTS'!$V$3:$V$1015,A13,'KIDS&amp;ADULTS'!$M$3:$M$1015,"Loan")</f>
        <v>0</v>
      </c>
      <c r="G13" s="373">
        <f t="shared" si="1"/>
        <v>7950000</v>
      </c>
      <c r="J13" s="372">
        <v>45117.0</v>
      </c>
      <c r="K13" s="374">
        <f>COUNTIFS('KIDS&amp;ADULTS'!$A$3:$A$12008,J13,'KIDS&amp;ADULTS'!$B$3:$B$12008,$K$3)</f>
        <v>0</v>
      </c>
      <c r="L13" s="374">
        <f>COUNTIFS('KIDS&amp;ADULTS'!$A$3:$A$12008,J13,'KIDS&amp;ADULTS'!$B$3:$B$12008,$L$3)</f>
        <v>0</v>
      </c>
      <c r="M13" s="374">
        <f>COUNTIFS('KIDS&amp;ADULTS'!$A$3:$A$12008,K13,'KIDS&amp;ADULTS'!$B$3:$B$12008,$M$3)</f>
        <v>0</v>
      </c>
      <c r="N13" s="375">
        <f>COUNTIFS('KIDS&amp;ADULTS'!$A$3:$A$12008,J13,'KIDS&amp;ADULTS'!$B$3:$B$12008,$N$3)</f>
        <v>0</v>
      </c>
      <c r="O13" s="375">
        <f>COUNTIFS('KIDS&amp;ADULTS'!$A$3:$A$12008,J13,'KIDS&amp;ADULTS'!$B$3:$B$12008,$O$3)</f>
        <v>0</v>
      </c>
      <c r="P13" s="375">
        <f>COUNTIFS('KIDS&amp;ADULTS'!$A$3:$A$12008,J13,'KIDS&amp;ADULTS'!$B$3:$B$12008,$P$3)</f>
        <v>0</v>
      </c>
      <c r="Q13" s="375">
        <f>COUNTIFS('KIDS&amp;ADULTS'!$A$3:$A$1008,J13,'KIDS&amp;ADULTS'!$B$3:$B$1008,$Q$3)</f>
        <v>1</v>
      </c>
      <c r="R13" s="374">
        <f>COUNTIFS('KIDS&amp;ADULTS'!$A$3:$A$12008,J13,'KIDS&amp;ADULTS'!$B$3:$B$12008,$R$3)</f>
        <v>35</v>
      </c>
      <c r="U13" s="372">
        <v>45117.0</v>
      </c>
      <c r="V13" s="376">
        <f>COUNTIFS('KIDS&amp;ADULTS'!$V$3:$V$12006,U13,'KIDS&amp;ADULTS'!$B$3:$B$12006,$K$3,'KIDS&amp;ADULTS'!$N$3:$N$12006,"Đã đóng học phí")</f>
        <v>0</v>
      </c>
      <c r="W13" s="376">
        <f>COUNTIFS('KIDS&amp;ADULTS'!$V$3:$V$12006,U13,'KIDS&amp;ADULTS'!$B$3:$B12015,$W$3,'KIDS&amp;ADULTS'!$N$3:$N$12006,"Đã đóng học phí")</f>
        <v>0</v>
      </c>
      <c r="X13" s="376">
        <f>COUNTIFS('KIDS&amp;ADULTS'!$V$3:$V$12006,U13,'KIDS&amp;ADULTS'!$B$3:$B$12006,$X$3,'KIDS&amp;ADULTS'!$N$3:$N$12006,"Đã đóng học phí")</f>
        <v>0</v>
      </c>
      <c r="Y13" s="376">
        <f>COUNTIFS('KIDS&amp;ADULTS'!$V$3:$V$12006,U13,'KIDS&amp;ADULTS'!$B$3:$B$12006,$Y$3,'KIDS&amp;ADULTS'!$N$3:$N$12006,"Đã đóng học phí")</f>
        <v>0</v>
      </c>
      <c r="Z13" s="376">
        <f>COUNTIFS('KIDS&amp;ADULTS'!$V$3:$V$12006,U13,'KIDS&amp;ADULTS'!$B$3:$B$12006,$Z$3,'KIDS&amp;ADULTS'!$N$3:$N$12006,"Đã đóng học phí")</f>
        <v>0</v>
      </c>
      <c r="AA13" s="376">
        <f>COUNTIFS('KIDS&amp;ADULTS'!$V$3:$V$12006,U13,'KIDS&amp;ADULTS'!$B$3:$B$12006,$AA$3,'KIDS&amp;ADULTS'!$N$3:$N$12006,"Đã đóng học phí")</f>
        <v>0</v>
      </c>
      <c r="AB13" s="376">
        <f>COUNTIFS('KIDS&amp;ADULTS'!$V$3:$V$12006,U13,'KIDS&amp;ADULTS'!$B$3:$B$12006,$AB$3,'KIDS&amp;ADULTS'!$N$3:$N$12006,"Đã đóng học phí")</f>
        <v>0</v>
      </c>
      <c r="AC13" s="376">
        <f>COUNTIFS('KIDS&amp;ADULTS'!$V$3:$V$12006,U13,'KIDS&amp;ADULTS'!$B$3:$B$12006,$AC$3,'KIDS&amp;ADULTS'!$N$3:$N$12006,"Đã đóng học phí")</f>
        <v>0</v>
      </c>
    </row>
    <row r="14" ht="15.75" customHeight="1">
      <c r="A14" s="372">
        <v>45118.0</v>
      </c>
      <c r="B14" s="373">
        <f>sumifs('KIDS&amp;ADULTS'!$Z$3:$Z$1015,'KIDS&amp;ADULTS'!$V$3:$V$1015,A14,'KIDS&amp;ADULTS'!$M$3:$M$1015,$B$3)</f>
        <v>0</v>
      </c>
      <c r="C14" s="373">
        <f>sumifs('KIDS&amp;ADULTS'!$Z$3:$Z$1015,'KIDS&amp;ADULTS'!$V$3:$V$1015,A14,'KIDS&amp;ADULTS'!$M$3:$M$1015,"phương")</f>
        <v>0</v>
      </c>
      <c r="D14" s="373">
        <f>sumifs('KIDS&amp;ADULTS'!$Z$3:$Z$1015,'KIDS&amp;ADULTS'!$V$3:$V$1015,A14,'KIDS&amp;ADULTS'!$M$3:$M$1015,$D$3)</f>
        <v>0</v>
      </c>
      <c r="E14" s="373">
        <f>sumifs('KIDS&amp;ADULTS'!$Z$3:$Z$1015,'KIDS&amp;ADULTS'!$V$3:$V$1015,A14,'KIDS&amp;ADULTS'!$M$3:$M$1015,"Ánh")</f>
        <v>3062000</v>
      </c>
      <c r="F14" s="373">
        <f>sumifs('KIDS&amp;ADULTS'!$Z$3:$Z$1015,'KIDS&amp;ADULTS'!$V$3:$V$1015,A14,'KIDS&amp;ADULTS'!$M$3:$M$1015,"Loan")</f>
        <v>0</v>
      </c>
      <c r="G14" s="373">
        <f t="shared" si="1"/>
        <v>3062000</v>
      </c>
      <c r="J14" s="372">
        <v>45118.0</v>
      </c>
      <c r="K14" s="374">
        <f>COUNTIFS('KIDS&amp;ADULTS'!$A$3:$A$12008,J14,'KIDS&amp;ADULTS'!$B$3:$B$12008,$K$3)</f>
        <v>0</v>
      </c>
      <c r="L14" s="374">
        <f>COUNTIFS('KIDS&amp;ADULTS'!$A$3:$A$12008,J14,'KIDS&amp;ADULTS'!$B$3:$B$12008,$L$3)</f>
        <v>0</v>
      </c>
      <c r="M14" s="374">
        <f>COUNTIFS('KIDS&amp;ADULTS'!$A$3:$A$12008,K14,'KIDS&amp;ADULTS'!$B$3:$B$12008,$M$3)</f>
        <v>0</v>
      </c>
      <c r="N14" s="375">
        <f>COUNTIFS('KIDS&amp;ADULTS'!$A$3:$A$12008,J14,'KIDS&amp;ADULTS'!$B$3:$B$12008,$N$3)</f>
        <v>2</v>
      </c>
      <c r="O14" s="375">
        <f>COUNTIFS('KIDS&amp;ADULTS'!$A$3:$A$12008,J14,'KIDS&amp;ADULTS'!$B$3:$B$12008,$O$3)</f>
        <v>0</v>
      </c>
      <c r="P14" s="375">
        <f>COUNTIFS('KIDS&amp;ADULTS'!$A$3:$A$12008,J14,'KIDS&amp;ADULTS'!$B$3:$B$12008,$P$3)</f>
        <v>0</v>
      </c>
      <c r="Q14" s="375">
        <f>COUNTIFS('KIDS&amp;ADULTS'!$A$3:$A$1008,J14,'KIDS&amp;ADULTS'!$B$3:$B$1008,$Q$3)</f>
        <v>0</v>
      </c>
      <c r="R14" s="374">
        <f>COUNTIFS('KIDS&amp;ADULTS'!$A$3:$A$12008,J14,'KIDS&amp;ADULTS'!$B$3:$B$12008,$R$3)</f>
        <v>0</v>
      </c>
      <c r="U14" s="372">
        <v>45118.0</v>
      </c>
      <c r="V14" s="376">
        <f>COUNTIFS('KIDS&amp;ADULTS'!$V$3:$V$12006,U14,'KIDS&amp;ADULTS'!$B$3:$B$12006,$K$3,'KIDS&amp;ADULTS'!$N$3:$N$12006,"Đã đóng học phí")</f>
        <v>0</v>
      </c>
      <c r="W14" s="376">
        <f>COUNTIFS('KIDS&amp;ADULTS'!$V$3:$V$12006,U14,'KIDS&amp;ADULTS'!$B$3:$B12016,$W$3,'KIDS&amp;ADULTS'!$N$3:$N$12006,"Đã đóng học phí")</f>
        <v>0</v>
      </c>
      <c r="X14" s="376">
        <f>COUNTIFS('KIDS&amp;ADULTS'!$V$3:$V$12006,U14,'KIDS&amp;ADULTS'!$B$3:$B$12006,$X$3,'KIDS&amp;ADULTS'!$N$3:$N$12006,"Đã đóng học phí")</f>
        <v>0</v>
      </c>
      <c r="Y14" s="376">
        <f>COUNTIFS('KIDS&amp;ADULTS'!$V$3:$V$12006,U14,'KIDS&amp;ADULTS'!$B$3:$B$12006,$Y$3,'KIDS&amp;ADULTS'!$N$3:$N$12006,"Đã đóng học phí")</f>
        <v>0</v>
      </c>
      <c r="Z14" s="376">
        <f>COUNTIFS('KIDS&amp;ADULTS'!$V$3:$V$12006,U14,'KIDS&amp;ADULTS'!$B$3:$B$12006,$Z$3,'KIDS&amp;ADULTS'!$N$3:$N$12006,"Đã đóng học phí")</f>
        <v>0</v>
      </c>
      <c r="AA14" s="376">
        <f>COUNTIFS('KIDS&amp;ADULTS'!$V$3:$V$12006,U14,'KIDS&amp;ADULTS'!$B$3:$B$12006,$AA$3,'KIDS&amp;ADULTS'!$N$3:$N$12006,"Đã đóng học phí")</f>
        <v>0</v>
      </c>
      <c r="AB14" s="376">
        <f>COUNTIFS('KIDS&amp;ADULTS'!$V$3:$V$12006,U14,'KIDS&amp;ADULTS'!$B$3:$B$12006,$AB$3,'KIDS&amp;ADULTS'!$N$3:$N$12006,"Đã đóng học phí")</f>
        <v>0</v>
      </c>
      <c r="AC14" s="376">
        <f>COUNTIFS('KIDS&amp;ADULTS'!$V$3:$V$12006,U14,'KIDS&amp;ADULTS'!$B$3:$B$12006,$AC$3,'KIDS&amp;ADULTS'!$N$3:$N$12006,"Đã đóng học phí")</f>
        <v>0</v>
      </c>
    </row>
    <row r="15" ht="15.75" customHeight="1">
      <c r="A15" s="372">
        <v>45119.0</v>
      </c>
      <c r="B15" s="373">
        <f>sumifs('KIDS&amp;ADULTS'!$Z$3:$Z$1015,'KIDS&amp;ADULTS'!$V$3:$V$1015,A15,'KIDS&amp;ADULTS'!$M$3:$M$1015,$B$3)</f>
        <v>0</v>
      </c>
      <c r="C15" s="373">
        <f>sumifs('KIDS&amp;ADULTS'!$Z$3:$Z$1015,'KIDS&amp;ADULTS'!$V$3:$V$1015,A15,'KIDS&amp;ADULTS'!$M$3:$M$1015,"phương")</f>
        <v>0</v>
      </c>
      <c r="D15" s="373">
        <f>sumifs('KIDS&amp;ADULTS'!$Z$3:$Z$1015,'KIDS&amp;ADULTS'!$V$3:$V$1015,A15,'KIDS&amp;ADULTS'!$M$3:$M$1015,$D$3)</f>
        <v>3062000</v>
      </c>
      <c r="E15" s="373">
        <f>sumifs('KIDS&amp;ADULTS'!$Z$3:$Z$1015,'KIDS&amp;ADULTS'!$V$3:$V$1015,A15,'KIDS&amp;ADULTS'!$M$3:$M$1015,"Ánh")</f>
        <v>3062000</v>
      </c>
      <c r="F15" s="373">
        <f>sumifs('KIDS&amp;ADULTS'!$Z$3:$Z$1015,'KIDS&amp;ADULTS'!$V$3:$V$1015,A15,'KIDS&amp;ADULTS'!$M$3:$M$1015,"Loan")</f>
        <v>0</v>
      </c>
      <c r="G15" s="373">
        <f t="shared" si="1"/>
        <v>6124000</v>
      </c>
      <c r="J15" s="372">
        <v>45119.0</v>
      </c>
      <c r="K15" s="374">
        <f>COUNTIFS('KIDS&amp;ADULTS'!$A$3:$A$12008,J15,'KIDS&amp;ADULTS'!$B$3:$B$12008,$K$3)</f>
        <v>0</v>
      </c>
      <c r="L15" s="374">
        <f>COUNTIFS('KIDS&amp;ADULTS'!$A$3:$A$12008,J15,'KIDS&amp;ADULTS'!$B$3:$B$12008,$L$3)</f>
        <v>0</v>
      </c>
      <c r="M15" s="374">
        <f>COUNTIFS('KIDS&amp;ADULTS'!$A$3:$A$12008,K15,'KIDS&amp;ADULTS'!$B$3:$B$12008,$M$3)</f>
        <v>0</v>
      </c>
      <c r="N15" s="375">
        <f>COUNTIFS('KIDS&amp;ADULTS'!$A$3:$A$12008,J15,'KIDS&amp;ADULTS'!$B$3:$B$12008,$N$3)</f>
        <v>5</v>
      </c>
      <c r="O15" s="375">
        <f>COUNTIFS('KIDS&amp;ADULTS'!$A$3:$A$12008,J15,'KIDS&amp;ADULTS'!$B$3:$B$12008,$O$3)</f>
        <v>0</v>
      </c>
      <c r="P15" s="375">
        <f>COUNTIFS('KIDS&amp;ADULTS'!$A$3:$A$12008,J15,'KIDS&amp;ADULTS'!$B$3:$B$12008,$P$3)</f>
        <v>0</v>
      </c>
      <c r="Q15" s="375">
        <f>COUNTIFS('KIDS&amp;ADULTS'!$A$3:$A$1008,J15,'KIDS&amp;ADULTS'!$B$3:$B$1008,$Q$3)</f>
        <v>8</v>
      </c>
      <c r="R15" s="374">
        <f>COUNTIFS('KIDS&amp;ADULTS'!$A$3:$A$12008,J15,'KIDS&amp;ADULTS'!$B$3:$B$12008,$R$3)</f>
        <v>0</v>
      </c>
      <c r="U15" s="372">
        <v>45119.0</v>
      </c>
      <c r="V15" s="376">
        <f>COUNTIFS('KIDS&amp;ADULTS'!$V$3:$V$12006,U15,'KIDS&amp;ADULTS'!$B$3:$B$12006,$K$3,'KIDS&amp;ADULTS'!$N$3:$N$12006,"Đã đóng học phí")</f>
        <v>0</v>
      </c>
      <c r="W15" s="376">
        <f>COUNTIFS('KIDS&amp;ADULTS'!$V$3:$V$12006,U15,'KIDS&amp;ADULTS'!$B$3:$B12017,$W$3,'KIDS&amp;ADULTS'!$N$3:$N$12006,"Đã đóng học phí")</f>
        <v>0</v>
      </c>
      <c r="X15" s="376">
        <f>COUNTIFS('KIDS&amp;ADULTS'!$V$3:$V$12006,U15,'KIDS&amp;ADULTS'!$B$3:$B$12006,$X$3,'KIDS&amp;ADULTS'!$N$3:$N$12006,"Đã đóng học phí")</f>
        <v>0</v>
      </c>
      <c r="Y15" s="376">
        <f>COUNTIFS('KIDS&amp;ADULTS'!$V$3:$V$12006,U15,'KIDS&amp;ADULTS'!$B$3:$B$12006,$Y$3,'KIDS&amp;ADULTS'!$N$3:$N$12006,"Đã đóng học phí")</f>
        <v>0</v>
      </c>
      <c r="Z15" s="376">
        <f>COUNTIFS('KIDS&amp;ADULTS'!$V$3:$V$12006,U15,'KIDS&amp;ADULTS'!$B$3:$B$12006,$Z$3,'KIDS&amp;ADULTS'!$N$3:$N$12006,"Đã đóng học phí")</f>
        <v>2</v>
      </c>
      <c r="AA15" s="376">
        <f>COUNTIFS('KIDS&amp;ADULTS'!$V$3:$V$12006,U15,'KIDS&amp;ADULTS'!$B$3:$B$12006,$AA$3,'KIDS&amp;ADULTS'!$N$3:$N$12006,"Đã đóng học phí")</f>
        <v>0</v>
      </c>
      <c r="AB15" s="376">
        <f>COUNTIFS('KIDS&amp;ADULTS'!$V$3:$V$12006,U15,'KIDS&amp;ADULTS'!$B$3:$B$12006,$AB$3,'KIDS&amp;ADULTS'!$N$3:$N$12006,"Đã đóng học phí")</f>
        <v>0</v>
      </c>
      <c r="AC15" s="376">
        <f>COUNTIFS('KIDS&amp;ADULTS'!$V$3:$V$12006,U15,'KIDS&amp;ADULTS'!$B$3:$B$12006,$AC$3,'KIDS&amp;ADULTS'!$N$3:$N$12006,"Đã đóng học phí")</f>
        <v>0</v>
      </c>
    </row>
    <row r="16" ht="15.75" customHeight="1">
      <c r="A16" s="372">
        <v>45120.0</v>
      </c>
      <c r="B16" s="373">
        <f>sumifs('KIDS&amp;ADULTS'!$Z$3:$Z$1015,'KIDS&amp;ADULTS'!$V$3:$V$1015,A16,'KIDS&amp;ADULTS'!$M$3:$M$1015,$B$3)</f>
        <v>0</v>
      </c>
      <c r="C16" s="373">
        <f>sumifs('KIDS&amp;ADULTS'!$Z$3:$Z$1015,'KIDS&amp;ADULTS'!$V$3:$V$1015,A16,'KIDS&amp;ADULTS'!$M$3:$M$1015,"phương")</f>
        <v>0</v>
      </c>
      <c r="D16" s="373">
        <f>sumifs('KIDS&amp;ADULTS'!$Z$3:$Z$1015,'KIDS&amp;ADULTS'!$V$3:$V$1015,A16,'KIDS&amp;ADULTS'!$M$3:$M$1015,$D$3)</f>
        <v>0</v>
      </c>
      <c r="E16" s="373">
        <f>sumifs('KIDS&amp;ADULTS'!$Z$3:$Z$1015,'KIDS&amp;ADULTS'!$V$3:$V$1015,A16,'KIDS&amp;ADULTS'!$M$3:$M$1015,"Ánh")</f>
        <v>5524000</v>
      </c>
      <c r="F16" s="373">
        <f>sumifs('KIDS&amp;ADULTS'!$Z$3:$Z$1015,'KIDS&amp;ADULTS'!$V$3:$V$1015,A16,'KIDS&amp;ADULTS'!$M$3:$M$1015,"Loan")</f>
        <v>0</v>
      </c>
      <c r="G16" s="373">
        <f t="shared" si="1"/>
        <v>5524000</v>
      </c>
      <c r="J16" s="372">
        <v>45120.0</v>
      </c>
      <c r="K16" s="374">
        <f>COUNTIFS('KIDS&amp;ADULTS'!$A$3:$A$12008,J16,'KIDS&amp;ADULTS'!$B$3:$B$12008,$K$3)</f>
        <v>0</v>
      </c>
      <c r="L16" s="374">
        <f>COUNTIFS('KIDS&amp;ADULTS'!$A$3:$A$12008,J16,'KIDS&amp;ADULTS'!$B$3:$B$12008,$L$3)</f>
        <v>0</v>
      </c>
      <c r="M16" s="374">
        <f>COUNTIFS('KIDS&amp;ADULTS'!$A$3:$A$12008,K16,'KIDS&amp;ADULTS'!$B$3:$B$12008,$M$3)</f>
        <v>0</v>
      </c>
      <c r="N16" s="375">
        <f>COUNTIFS('KIDS&amp;ADULTS'!$A$3:$A$12008,J16,'KIDS&amp;ADULTS'!$B$3:$B$12008,$N$3)</f>
        <v>1</v>
      </c>
      <c r="O16" s="375">
        <f>COUNTIFS('KIDS&amp;ADULTS'!$A$3:$A$12008,J16,'KIDS&amp;ADULTS'!$B$3:$B$12008,$O$3)</f>
        <v>0</v>
      </c>
      <c r="P16" s="375">
        <f>COUNTIFS('KIDS&amp;ADULTS'!$A$3:$A$12008,J16,'KIDS&amp;ADULTS'!$B$3:$B$12008,$P$3)</f>
        <v>1</v>
      </c>
      <c r="Q16" s="375">
        <f>COUNTIFS('KIDS&amp;ADULTS'!$A$3:$A$1008,J16,'KIDS&amp;ADULTS'!$B$3:$B$1008,$Q$3)</f>
        <v>1</v>
      </c>
      <c r="R16" s="374">
        <f>COUNTIFS('KIDS&amp;ADULTS'!$A$3:$A$12008,J16,'KIDS&amp;ADULTS'!$B$3:$B$12008,$R$3)</f>
        <v>0</v>
      </c>
      <c r="U16" s="372">
        <v>45120.0</v>
      </c>
      <c r="V16" s="376">
        <f>COUNTIFS('KIDS&amp;ADULTS'!$V$3:$V$12006,U16,'KIDS&amp;ADULTS'!$B$3:$B$12006,$K$3,'KIDS&amp;ADULTS'!$N$3:$N$12006,"Đã đóng học phí")</f>
        <v>0</v>
      </c>
      <c r="W16" s="376">
        <f>COUNTIFS('KIDS&amp;ADULTS'!$V$3:$V$12006,U16,'KIDS&amp;ADULTS'!$B$3:$B12018,$W$3,'KIDS&amp;ADULTS'!$N$3:$N$12006,"Đã đóng học phí")</f>
        <v>0</v>
      </c>
      <c r="X16" s="376">
        <f>COUNTIFS('KIDS&amp;ADULTS'!$V$3:$V$12006,U16,'KIDS&amp;ADULTS'!$B$3:$B$12006,$X$3,'KIDS&amp;ADULTS'!$N$3:$N$12006,"Đã đóng học phí")</f>
        <v>0</v>
      </c>
      <c r="Y16" s="376">
        <f>COUNTIFS('KIDS&amp;ADULTS'!$V$3:$V$12006,U16,'KIDS&amp;ADULTS'!$B$3:$B$12006,$Y$3,'KIDS&amp;ADULTS'!$N$3:$N$12006,"Đã đóng học phí")</f>
        <v>1</v>
      </c>
      <c r="Z16" s="376">
        <f>COUNTIFS('KIDS&amp;ADULTS'!$V$3:$V$12006,U16,'KIDS&amp;ADULTS'!$B$3:$B$12006,$Z$3,'KIDS&amp;ADULTS'!$N$3:$N$12006,"Đã đóng học phí")</f>
        <v>0</v>
      </c>
      <c r="AA16" s="376">
        <f>COUNTIFS('KIDS&amp;ADULTS'!$V$3:$V$12006,U16,'KIDS&amp;ADULTS'!$B$3:$B$12006,$AA$3,'KIDS&amp;ADULTS'!$N$3:$N$12006,"Đã đóng học phí")</f>
        <v>0</v>
      </c>
      <c r="AB16" s="376">
        <f>COUNTIFS('KIDS&amp;ADULTS'!$V$3:$V$12006,U16,'KIDS&amp;ADULTS'!$B$3:$B$12006,$AB$3,'KIDS&amp;ADULTS'!$N$3:$N$12006,"Đã đóng học phí")</f>
        <v>0</v>
      </c>
      <c r="AC16" s="376">
        <f>COUNTIFS('KIDS&amp;ADULTS'!$V$3:$V$12006,U16,'KIDS&amp;ADULTS'!$B$3:$B$12006,$AC$3,'KIDS&amp;ADULTS'!$N$3:$N$12006,"Đã đóng học phí")</f>
        <v>0</v>
      </c>
    </row>
    <row r="17" ht="15.75" customHeight="1">
      <c r="A17" s="372">
        <v>45121.0</v>
      </c>
      <c r="B17" s="373">
        <f>sumifs('KIDS&amp;ADULTS'!$Z$3:$Z$1015,'KIDS&amp;ADULTS'!$V$3:$V$1015,A17,'KIDS&amp;ADULTS'!$M$3:$M$1015,$B$3)</f>
        <v>0</v>
      </c>
      <c r="C17" s="373">
        <f>sumifs('KIDS&amp;ADULTS'!$Z$3:$Z$1015,'KIDS&amp;ADULTS'!$V$3:$V$1015,A17,'KIDS&amp;ADULTS'!$M$3:$M$1015,"phương")</f>
        <v>0</v>
      </c>
      <c r="D17" s="373">
        <f>sumifs('KIDS&amp;ADULTS'!$Z$3:$Z$1015,'KIDS&amp;ADULTS'!$V$3:$V$1015,A17,'KIDS&amp;ADULTS'!$M$3:$M$1015,$D$3)</f>
        <v>6049000</v>
      </c>
      <c r="E17" s="373">
        <f>sumifs('KIDS&amp;ADULTS'!$Z$3:$Z$1015,'KIDS&amp;ADULTS'!$V$3:$V$1015,A17,'KIDS&amp;ADULTS'!$M$3:$M$1015,"Ánh")</f>
        <v>0</v>
      </c>
      <c r="F17" s="373">
        <f>sumifs('KIDS&amp;ADULTS'!$Z$3:$Z$1015,'KIDS&amp;ADULTS'!$V$3:$V$1015,A17,'KIDS&amp;ADULTS'!$M$3:$M$1015,"Loan")</f>
        <v>0</v>
      </c>
      <c r="G17" s="373">
        <f t="shared" si="1"/>
        <v>6049000</v>
      </c>
      <c r="J17" s="372">
        <v>45121.0</v>
      </c>
      <c r="K17" s="374">
        <f>COUNTIFS('KIDS&amp;ADULTS'!$A$3:$A$12008,J17,'KIDS&amp;ADULTS'!$B$3:$B$12008,$K$3)</f>
        <v>0</v>
      </c>
      <c r="L17" s="374">
        <f>COUNTIFS('KIDS&amp;ADULTS'!$A$3:$A$12008,J17,'KIDS&amp;ADULTS'!$B$3:$B$12008,$L$3)</f>
        <v>0</v>
      </c>
      <c r="M17" s="374">
        <f>COUNTIFS('KIDS&amp;ADULTS'!$A$3:$A$12008,K17,'KIDS&amp;ADULTS'!$B$3:$B$12008,$M$3)</f>
        <v>0</v>
      </c>
      <c r="N17" s="375">
        <f>COUNTIFS('KIDS&amp;ADULTS'!$A$3:$A$12008,J17,'KIDS&amp;ADULTS'!$B$3:$B$12008,$N$3)</f>
        <v>0</v>
      </c>
      <c r="O17" s="375">
        <f>COUNTIFS('KIDS&amp;ADULTS'!$A$3:$A$12008,J17,'KIDS&amp;ADULTS'!$B$3:$B$12008,$O$3)</f>
        <v>1</v>
      </c>
      <c r="P17" s="375">
        <f>COUNTIFS('KIDS&amp;ADULTS'!$A$3:$A$12008,J17,'KIDS&amp;ADULTS'!$B$3:$B$12008,$P$3)</f>
        <v>0</v>
      </c>
      <c r="Q17" s="375">
        <f>COUNTIFS('KIDS&amp;ADULTS'!$A$3:$A$1008,J17,'KIDS&amp;ADULTS'!$B$3:$B$1008,$Q$3)</f>
        <v>0</v>
      </c>
      <c r="R17" s="374">
        <f>COUNTIFS('KIDS&amp;ADULTS'!$A$3:$A$12008,J17,'KIDS&amp;ADULTS'!$B$3:$B$12008,$R$3)</f>
        <v>0</v>
      </c>
      <c r="U17" s="372">
        <v>45121.0</v>
      </c>
      <c r="V17" s="376">
        <f>COUNTIFS('KIDS&amp;ADULTS'!$V$3:$V$12006,U17,'KIDS&amp;ADULTS'!$B$3:$B$12006,$K$3,'KIDS&amp;ADULTS'!$N$3:$N$12006,"Đã đóng học phí")</f>
        <v>0</v>
      </c>
      <c r="W17" s="376">
        <f>COUNTIFS('KIDS&amp;ADULTS'!$V$3:$V$12006,U17,'KIDS&amp;ADULTS'!$B$3:$B12019,$W$3,'KIDS&amp;ADULTS'!$N$3:$N$12006,"Đã đóng học phí")</f>
        <v>0</v>
      </c>
      <c r="X17" s="376">
        <f>COUNTIFS('KIDS&amp;ADULTS'!$V$3:$V$12006,U17,'KIDS&amp;ADULTS'!$B$3:$B$12006,$X$3,'KIDS&amp;ADULTS'!$N$3:$N$12006,"Đã đóng học phí")</f>
        <v>0</v>
      </c>
      <c r="Y17" s="376">
        <f>COUNTIFS('KIDS&amp;ADULTS'!$V$3:$V$12006,U17,'KIDS&amp;ADULTS'!$B$3:$B$12006,$Y$3,'KIDS&amp;ADULTS'!$N$3:$N$12006,"Đã đóng học phí")</f>
        <v>0</v>
      </c>
      <c r="Z17" s="376">
        <f>COUNTIFS('KIDS&amp;ADULTS'!$V$3:$V$12006,U17,'KIDS&amp;ADULTS'!$B$3:$B$12006,$Z$3,'KIDS&amp;ADULTS'!$N$3:$N$12006,"Đã đóng học phí")</f>
        <v>0</v>
      </c>
      <c r="AA17" s="376">
        <f>COUNTIFS('KIDS&amp;ADULTS'!$V$3:$V$12006,U17,'KIDS&amp;ADULTS'!$B$3:$B$12006,$AA$3,'KIDS&amp;ADULTS'!$N$3:$N$12006,"Đã đóng học phí")</f>
        <v>0</v>
      </c>
      <c r="AB17" s="376">
        <f>COUNTIFS('KIDS&amp;ADULTS'!$V$3:$V$12006,U17,'KIDS&amp;ADULTS'!$B$3:$B$12006,$AB$3,'KIDS&amp;ADULTS'!$N$3:$N$12006,"Đã đóng học phí")</f>
        <v>1</v>
      </c>
      <c r="AC17" s="376">
        <f>COUNTIFS('KIDS&amp;ADULTS'!$V$3:$V$12006,U17,'KIDS&amp;ADULTS'!$B$3:$B$12006,$AC$3,'KIDS&amp;ADULTS'!$N$3:$N$12006,"Đã đóng học phí")</f>
        <v>0</v>
      </c>
    </row>
    <row r="18" ht="15.75" customHeight="1">
      <c r="A18" s="372">
        <v>45122.0</v>
      </c>
      <c r="B18" s="373">
        <f>sumifs('KIDS&amp;ADULTS'!$Z$3:$Z$1015,'KIDS&amp;ADULTS'!$V$3:$V$1015,A18,'KIDS&amp;ADULTS'!$M$3:$M$1015,$B$3)</f>
        <v>0</v>
      </c>
      <c r="C18" s="373">
        <f>sumifs('KIDS&amp;ADULTS'!$Z$3:$Z$1015,'KIDS&amp;ADULTS'!$V$3:$V$1015,A18,'KIDS&amp;ADULTS'!$M$3:$M$1015,"phương")</f>
        <v>0</v>
      </c>
      <c r="D18" s="373">
        <f>sumifs('KIDS&amp;ADULTS'!$Z$3:$Z$1015,'KIDS&amp;ADULTS'!$V$3:$V$1015,A18,'KIDS&amp;ADULTS'!$M$3:$M$1015,$D$3)</f>
        <v>5358280</v>
      </c>
      <c r="E18" s="373">
        <f>sumifs('KIDS&amp;ADULTS'!$Z$3:$Z$1015,'KIDS&amp;ADULTS'!$V$3:$V$1015,A18,'KIDS&amp;ADULTS'!$M$3:$M$1015,"Ánh")</f>
        <v>0</v>
      </c>
      <c r="F18" s="373">
        <f>sumifs('KIDS&amp;ADULTS'!$Z$3:$Z$1015,'KIDS&amp;ADULTS'!$V$3:$V$1015,A18,'KIDS&amp;ADULTS'!$M$3:$M$1015,"Loan")</f>
        <v>0</v>
      </c>
      <c r="G18" s="373">
        <f t="shared" si="1"/>
        <v>5358280</v>
      </c>
      <c r="J18" s="372">
        <v>45122.0</v>
      </c>
      <c r="K18" s="374">
        <f>COUNTIFS('KIDS&amp;ADULTS'!$A$3:$A$12008,J18,'KIDS&amp;ADULTS'!$B$3:$B$12008,$K$3)</f>
        <v>0</v>
      </c>
      <c r="L18" s="374">
        <f>COUNTIFS('KIDS&amp;ADULTS'!$A$3:$A$12008,J18,'KIDS&amp;ADULTS'!$B$3:$B$12008,$L$3)</f>
        <v>0</v>
      </c>
      <c r="M18" s="374">
        <f>COUNTIFS('KIDS&amp;ADULTS'!$A$3:$A$12008,K18,'KIDS&amp;ADULTS'!$B$3:$B$12008,$M$3)</f>
        <v>0</v>
      </c>
      <c r="N18" s="375">
        <f>COUNTIFS('KIDS&amp;ADULTS'!$A$3:$A$12008,J18,'KIDS&amp;ADULTS'!$B$3:$B$12008,$N$3)</f>
        <v>0</v>
      </c>
      <c r="O18" s="375">
        <f>COUNTIFS('KIDS&amp;ADULTS'!$A$3:$A$12008,J18,'KIDS&amp;ADULTS'!$B$3:$B$12008,$O$3)</f>
        <v>0</v>
      </c>
      <c r="P18" s="375">
        <f>COUNTIFS('KIDS&amp;ADULTS'!$A$3:$A$12008,J18,'KIDS&amp;ADULTS'!$B$3:$B$12008,$P$3)</f>
        <v>1</v>
      </c>
      <c r="Q18" s="375">
        <f>COUNTIFS('KIDS&amp;ADULTS'!$A$3:$A$1008,J18,'KIDS&amp;ADULTS'!$B$3:$B$1008,$Q$3)</f>
        <v>3</v>
      </c>
      <c r="R18" s="374">
        <f>COUNTIFS('KIDS&amp;ADULTS'!$A$3:$A$12008,J18,'KIDS&amp;ADULTS'!$B$3:$B$12008,$R$3)</f>
        <v>0</v>
      </c>
      <c r="U18" s="372">
        <v>45122.0</v>
      </c>
      <c r="V18" s="376">
        <f>COUNTIFS('KIDS&amp;ADULTS'!$V$3:$V$12006,U18,'KIDS&amp;ADULTS'!$B$3:$B$12006,$K$3,'KIDS&amp;ADULTS'!$N$3:$N$12006,"Đã đóng học phí")</f>
        <v>0</v>
      </c>
      <c r="W18" s="376">
        <f>COUNTIFS('KIDS&amp;ADULTS'!$V$3:$V$12006,U18,'KIDS&amp;ADULTS'!$B$3:$B12020,$W$3,'KIDS&amp;ADULTS'!$N$3:$N$12006,"Đã đóng học phí")</f>
        <v>0</v>
      </c>
      <c r="X18" s="376">
        <f>COUNTIFS('KIDS&amp;ADULTS'!$V$3:$V$12006,U18,'KIDS&amp;ADULTS'!$B$3:$B$12006,$X$3,'KIDS&amp;ADULTS'!$N$3:$N$12006,"Đã đóng học phí")</f>
        <v>0</v>
      </c>
      <c r="Y18" s="376">
        <f>COUNTIFS('KIDS&amp;ADULTS'!$V$3:$V$12006,U18,'KIDS&amp;ADULTS'!$B$3:$B$12006,$Y$3,'KIDS&amp;ADULTS'!$N$3:$N$12006,"Đã đóng học phí")</f>
        <v>1</v>
      </c>
      <c r="Z18" s="376">
        <f>COUNTIFS('KIDS&amp;ADULTS'!$V$3:$V$12006,U18,'KIDS&amp;ADULTS'!$B$3:$B$12006,$Z$3,'KIDS&amp;ADULTS'!$N$3:$N$12006,"Đã đóng học phí")</f>
        <v>0</v>
      </c>
      <c r="AA18" s="376">
        <f>COUNTIFS('KIDS&amp;ADULTS'!$V$3:$V$12006,U18,'KIDS&amp;ADULTS'!$B$3:$B$12006,$AA$3,'KIDS&amp;ADULTS'!$N$3:$N$12006,"Đã đóng học phí")</f>
        <v>0</v>
      </c>
      <c r="AB18" s="376">
        <f>COUNTIFS('KIDS&amp;ADULTS'!$V$3:$V$12006,U18,'KIDS&amp;ADULTS'!$B$3:$B$12006,$AB$3,'KIDS&amp;ADULTS'!$N$3:$N$12006,"Đã đóng học phí")</f>
        <v>0</v>
      </c>
      <c r="AC18" s="376">
        <f>COUNTIFS('KIDS&amp;ADULTS'!$V$3:$V$12006,U18,'KIDS&amp;ADULTS'!$B$3:$B$12006,$AC$3,'KIDS&amp;ADULTS'!$N$3:$N$12006,"Đã đóng học phí")</f>
        <v>0</v>
      </c>
    </row>
    <row r="19" ht="15.75" customHeight="1">
      <c r="A19" s="372">
        <v>45123.0</v>
      </c>
      <c r="B19" s="373">
        <f>sumifs('KIDS&amp;ADULTS'!$Z$3:$Z$1015,'KIDS&amp;ADULTS'!$V$3:$V$1015,A19,'KIDS&amp;ADULTS'!$M$3:$M$1015,$B$3)</f>
        <v>0</v>
      </c>
      <c r="C19" s="373">
        <f>sumifs('KIDS&amp;ADULTS'!$Z$3:$Z$1015,'KIDS&amp;ADULTS'!$V$3:$V$1015,A19,'KIDS&amp;ADULTS'!$M$3:$M$1015,"phương")</f>
        <v>0</v>
      </c>
      <c r="D19" s="373">
        <f>sumifs('KIDS&amp;ADULTS'!$Z$3:$Z$1015,'KIDS&amp;ADULTS'!$V$3:$V$1015,A19,'KIDS&amp;ADULTS'!$M$3:$M$1015,$D$3)</f>
        <v>2558000</v>
      </c>
      <c r="E19" s="373">
        <f>sumifs('KIDS&amp;ADULTS'!$Z$3:$Z$1015,'KIDS&amp;ADULTS'!$V$3:$V$1015,A19,'KIDS&amp;ADULTS'!$M$3:$M$1015,"Ánh")</f>
        <v>0</v>
      </c>
      <c r="F19" s="373">
        <f>sumifs('KIDS&amp;ADULTS'!$Z$3:$Z$1015,'KIDS&amp;ADULTS'!$V$3:$V$1015,A19,'KIDS&amp;ADULTS'!$M$3:$M$1015,"Loan")</f>
        <v>0</v>
      </c>
      <c r="G19" s="373">
        <f t="shared" si="1"/>
        <v>2558000</v>
      </c>
      <c r="J19" s="372">
        <v>45123.0</v>
      </c>
      <c r="K19" s="374">
        <f>COUNTIFS('KIDS&amp;ADULTS'!$A$3:$A$12008,J19,'KIDS&amp;ADULTS'!$B$3:$B$12008,$K$3)</f>
        <v>0</v>
      </c>
      <c r="L19" s="374">
        <f>COUNTIFS('KIDS&amp;ADULTS'!$A$3:$A$12008,J19,'KIDS&amp;ADULTS'!$B$3:$B$12008,$L$3)</f>
        <v>0</v>
      </c>
      <c r="M19" s="374">
        <f>COUNTIFS('KIDS&amp;ADULTS'!$A$3:$A$12008,K19,'KIDS&amp;ADULTS'!$B$3:$B$12008,$M$3)</f>
        <v>0</v>
      </c>
      <c r="N19" s="375">
        <f>COUNTIFS('KIDS&amp;ADULTS'!$A$3:$A$12008,J19,'KIDS&amp;ADULTS'!$B$3:$B$12008,$N$3)</f>
        <v>0</v>
      </c>
      <c r="O19" s="375">
        <f>COUNTIFS('KIDS&amp;ADULTS'!$A$3:$A$12008,J19,'KIDS&amp;ADULTS'!$B$3:$B$12008,$O$3)</f>
        <v>0</v>
      </c>
      <c r="P19" s="375">
        <f>COUNTIFS('KIDS&amp;ADULTS'!$A$3:$A$12008,J19,'KIDS&amp;ADULTS'!$B$3:$B$12008,$P$3)</f>
        <v>0</v>
      </c>
      <c r="Q19" s="375">
        <f>COUNTIFS('KIDS&amp;ADULTS'!$A$3:$A$1008,J19,'KIDS&amp;ADULTS'!$B$3:$B$1008,$Q$3)</f>
        <v>0</v>
      </c>
      <c r="R19" s="374">
        <f>COUNTIFS('KIDS&amp;ADULTS'!$A$3:$A$12008,J19,'KIDS&amp;ADULTS'!$B$3:$B$12008,$R$3)</f>
        <v>0</v>
      </c>
      <c r="U19" s="372">
        <v>45123.0</v>
      </c>
      <c r="V19" s="376">
        <f>COUNTIFS('KIDS&amp;ADULTS'!$V$3:$V$12006,U19,'KIDS&amp;ADULTS'!$B$3:$B$12006,$K$3,'KIDS&amp;ADULTS'!$N$3:$N$12006,"Đã đóng học phí")</f>
        <v>0</v>
      </c>
      <c r="W19" s="376">
        <f>COUNTIFS('KIDS&amp;ADULTS'!$V$3:$V$12006,U19,'KIDS&amp;ADULTS'!$B$3:$B12021,$W$3,'KIDS&amp;ADULTS'!$N$3:$N$12006,"Đã đóng học phí")</f>
        <v>0</v>
      </c>
      <c r="X19" s="376">
        <f>COUNTIFS('KIDS&amp;ADULTS'!$V$3:$V$12006,U19,'KIDS&amp;ADULTS'!$B$3:$B$12006,$X$3,'KIDS&amp;ADULTS'!$N$3:$N$12006,"Đã đóng học phí")</f>
        <v>0</v>
      </c>
      <c r="Y19" s="376">
        <f>COUNTIFS('KIDS&amp;ADULTS'!$V$3:$V$12006,U19,'KIDS&amp;ADULTS'!$B$3:$B$12006,$Y$3,'KIDS&amp;ADULTS'!$N$3:$N$12006,"Đã đóng học phí")</f>
        <v>0</v>
      </c>
      <c r="Z19" s="376">
        <f>COUNTIFS('KIDS&amp;ADULTS'!$V$3:$V$12006,U19,'KIDS&amp;ADULTS'!$B$3:$B$12006,$Z$3,'KIDS&amp;ADULTS'!$N$3:$N$12006,"Đã đóng học phí")</f>
        <v>0</v>
      </c>
      <c r="AA19" s="376">
        <f>COUNTIFS('KIDS&amp;ADULTS'!$V$3:$V$12006,U19,'KIDS&amp;ADULTS'!$B$3:$B$12006,$AA$3,'KIDS&amp;ADULTS'!$N$3:$N$12006,"Đã đóng học phí")</f>
        <v>0</v>
      </c>
      <c r="AB19" s="376">
        <f>COUNTIFS('KIDS&amp;ADULTS'!$V$3:$V$12006,U19,'KIDS&amp;ADULTS'!$B$3:$B$12006,$AB$3,'KIDS&amp;ADULTS'!$N$3:$N$12006,"Đã đóng học phí")</f>
        <v>0</v>
      </c>
      <c r="AC19" s="376">
        <f>COUNTIFS('KIDS&amp;ADULTS'!$V$3:$V$12006,U19,'KIDS&amp;ADULTS'!$B$3:$B$12006,$AC$3,'KIDS&amp;ADULTS'!$N$3:$N$12006,"Đã đóng học phí")</f>
        <v>0</v>
      </c>
    </row>
    <row r="20" ht="15.75" customHeight="1">
      <c r="A20" s="372">
        <v>45124.0</v>
      </c>
      <c r="B20" s="373">
        <f>sumifs('KIDS&amp;ADULTS'!$Z$3:$Z$1015,'KIDS&amp;ADULTS'!$V$3:$V$1015,A20,'KIDS&amp;ADULTS'!$M$3:$M$1015,$B$3)</f>
        <v>0</v>
      </c>
      <c r="C20" s="373">
        <f>sumifs('KIDS&amp;ADULTS'!$Z$3:$Z$1015,'KIDS&amp;ADULTS'!$V$3:$V$1015,A20,'KIDS&amp;ADULTS'!$M$3:$M$1015,"phương")</f>
        <v>0</v>
      </c>
      <c r="D20" s="373">
        <f>sumifs('KIDS&amp;ADULTS'!$Z$3:$Z$1015,'KIDS&amp;ADULTS'!$V$3:$V$1015,A20,'KIDS&amp;ADULTS'!$M$3:$M$1015,$D$3)</f>
        <v>7711500</v>
      </c>
      <c r="E20" s="373">
        <f>sumifs('KIDS&amp;ADULTS'!$Z$3:$Z$1015,'KIDS&amp;ADULTS'!$V$3:$V$1015,A20,'KIDS&amp;ADULTS'!$M$3:$M$1015,"Ánh")</f>
        <v>3062000</v>
      </c>
      <c r="F20" s="373">
        <f>sumifs('KIDS&amp;ADULTS'!$Z$3:$Z$1015,'KIDS&amp;ADULTS'!$V$3:$V$1015,A20,'KIDS&amp;ADULTS'!$M$3:$M$1015,"Loan")</f>
        <v>0</v>
      </c>
      <c r="G20" s="373">
        <f t="shared" si="1"/>
        <v>10773500</v>
      </c>
      <c r="J20" s="372">
        <v>45124.0</v>
      </c>
      <c r="K20" s="374">
        <f>COUNTIFS('KIDS&amp;ADULTS'!$A$3:$A$12008,J20,'KIDS&amp;ADULTS'!$B$3:$B$12008,$K$3)</f>
        <v>0</v>
      </c>
      <c r="L20" s="374">
        <f>COUNTIFS('KIDS&amp;ADULTS'!$A$3:$A$12008,J20,'KIDS&amp;ADULTS'!$B$3:$B$12008,$L$3)</f>
        <v>0</v>
      </c>
      <c r="M20" s="374">
        <f>COUNTIFS('KIDS&amp;ADULTS'!$A$3:$A$12008,K20,'KIDS&amp;ADULTS'!$B$3:$B$12008,$M$3)</f>
        <v>0</v>
      </c>
      <c r="N20" s="375">
        <f>COUNTIFS('KIDS&amp;ADULTS'!$A$3:$A$12008,J20,'KIDS&amp;ADULTS'!$B$3:$B$12008,$N$3)</f>
        <v>0</v>
      </c>
      <c r="O20" s="375">
        <f>COUNTIFS('KIDS&amp;ADULTS'!$A$3:$A$12008,J20,'KIDS&amp;ADULTS'!$B$3:$B$12008,$O$3)</f>
        <v>0</v>
      </c>
      <c r="P20" s="375">
        <f>COUNTIFS('KIDS&amp;ADULTS'!$A$3:$A$12008,J20,'KIDS&amp;ADULTS'!$B$3:$B$12008,$P$3)</f>
        <v>4</v>
      </c>
      <c r="Q20" s="375">
        <f>COUNTIFS('KIDS&amp;ADULTS'!$A$3:$A$1008,J20,'KIDS&amp;ADULTS'!$B$3:$B$1008,$Q$3)</f>
        <v>4</v>
      </c>
      <c r="R20" s="374">
        <f>COUNTIFS('KIDS&amp;ADULTS'!$A$3:$A$12008,J20,'KIDS&amp;ADULTS'!$B$3:$B$12008,$R$3)</f>
        <v>0</v>
      </c>
      <c r="U20" s="372">
        <v>45124.0</v>
      </c>
      <c r="V20" s="376">
        <f>COUNTIFS('KIDS&amp;ADULTS'!$V$3:$V$12006,U20,'KIDS&amp;ADULTS'!$B$3:$B$12006,$K$3,'KIDS&amp;ADULTS'!$N$3:$N$12006,"Đã đóng học phí")</f>
        <v>0</v>
      </c>
      <c r="W20" s="376">
        <f>COUNTIFS('KIDS&amp;ADULTS'!$V$3:$V$12006,U20,'KIDS&amp;ADULTS'!$B$3:$B12022,$W$3,'KIDS&amp;ADULTS'!$N$3:$N$12006,"Đã đóng học phí")</f>
        <v>0</v>
      </c>
      <c r="X20" s="376">
        <f>COUNTIFS('KIDS&amp;ADULTS'!$V$3:$V$12006,U20,'KIDS&amp;ADULTS'!$B$3:$B$12006,$X$3,'KIDS&amp;ADULTS'!$N$3:$N$12006,"Đã đóng học phí")</f>
        <v>0</v>
      </c>
      <c r="Y20" s="376">
        <f>COUNTIFS('KIDS&amp;ADULTS'!$V$3:$V$12006,U20,'KIDS&amp;ADULTS'!$B$3:$B$12006,$Y$3,'KIDS&amp;ADULTS'!$N$3:$N$12006,"Đã đóng học phí")</f>
        <v>1</v>
      </c>
      <c r="Z20" s="376">
        <f>COUNTIFS('KIDS&amp;ADULTS'!$V$3:$V$12006,U20,'KIDS&amp;ADULTS'!$B$3:$B$12006,$Z$3,'KIDS&amp;ADULTS'!$N$3:$N$12006,"Đã đóng học phí")</f>
        <v>0</v>
      </c>
      <c r="AA20" s="376">
        <f>COUNTIFS('KIDS&amp;ADULTS'!$V$3:$V$12006,U20,'KIDS&amp;ADULTS'!$B$3:$B$12006,$AA$3,'KIDS&amp;ADULTS'!$N$3:$N$12006,"Đã đóng học phí")</f>
        <v>1</v>
      </c>
      <c r="AB20" s="376">
        <f>COUNTIFS('KIDS&amp;ADULTS'!$V$3:$V$12006,U20,'KIDS&amp;ADULTS'!$B$3:$B$12006,$AB$3,'KIDS&amp;ADULTS'!$N$3:$N$12006,"Đã đóng học phí")</f>
        <v>0</v>
      </c>
      <c r="AC20" s="376">
        <f>COUNTIFS('KIDS&amp;ADULTS'!$V$3:$V$12006,U20,'KIDS&amp;ADULTS'!$B$3:$B$12006,$AC$3,'KIDS&amp;ADULTS'!$N$3:$N$12006,"Đã đóng học phí")</f>
        <v>0</v>
      </c>
    </row>
    <row r="21" ht="15.75" customHeight="1">
      <c r="A21" s="372">
        <v>45125.0</v>
      </c>
      <c r="B21" s="373">
        <f>sumifs('KIDS&amp;ADULTS'!$Z$3:$Z$1015,'KIDS&amp;ADULTS'!$V$3:$V$1015,A21,'KIDS&amp;ADULTS'!$M$3:$M$1015,$B$3)</f>
        <v>0</v>
      </c>
      <c r="C21" s="373">
        <f>sumifs('KIDS&amp;ADULTS'!$Z$3:$Z$1015,'KIDS&amp;ADULTS'!$V$3:$V$1015,A21,'KIDS&amp;ADULTS'!$M$3:$M$1015,"phương")</f>
        <v>0</v>
      </c>
      <c r="D21" s="373">
        <f>sumifs('KIDS&amp;ADULTS'!$Z$3:$Z$1015,'KIDS&amp;ADULTS'!$V$3:$V$1015,A21,'KIDS&amp;ADULTS'!$M$3:$M$1015,$D$3)</f>
        <v>0</v>
      </c>
      <c r="E21" s="373">
        <f>sumifs('KIDS&amp;ADULTS'!$Z$3:$Z$1015,'KIDS&amp;ADULTS'!$V$3:$V$1015,A21,'KIDS&amp;ADULTS'!$M$3:$M$1015,"Ánh")</f>
        <v>0</v>
      </c>
      <c r="F21" s="373">
        <f>sumifs('KIDS&amp;ADULTS'!$Z$3:$Z$1015,'KIDS&amp;ADULTS'!$V$3:$V$1015,A21,'KIDS&amp;ADULTS'!$M$3:$M$1015,"Loan")</f>
        <v>0</v>
      </c>
      <c r="G21" s="373">
        <f t="shared" si="1"/>
        <v>0</v>
      </c>
      <c r="J21" s="372">
        <v>45125.0</v>
      </c>
      <c r="K21" s="374">
        <f>COUNTIFS('KIDS&amp;ADULTS'!$A$3:$A$12008,J21,'KIDS&amp;ADULTS'!$B$3:$B$12008,$K$3)</f>
        <v>0</v>
      </c>
      <c r="L21" s="374">
        <f>COUNTIFS('KIDS&amp;ADULTS'!$A$3:$A$12008,J21,'KIDS&amp;ADULTS'!$B$3:$B$12008,$L$3)</f>
        <v>0</v>
      </c>
      <c r="M21" s="374">
        <f>COUNTIFS('KIDS&amp;ADULTS'!$A$3:$A$12008,K21,'KIDS&amp;ADULTS'!$B$3:$B$12008,$M$3)</f>
        <v>0</v>
      </c>
      <c r="N21" s="375">
        <f>COUNTIFS('KIDS&amp;ADULTS'!$A$3:$A$12008,J21,'KIDS&amp;ADULTS'!$B$3:$B$12008,$N$3)</f>
        <v>1</v>
      </c>
      <c r="O21" s="375">
        <f>COUNTIFS('KIDS&amp;ADULTS'!$A$3:$A$12008,J21,'KIDS&amp;ADULTS'!$B$3:$B$12008,$O$3)</f>
        <v>0</v>
      </c>
      <c r="P21" s="375">
        <f>COUNTIFS('KIDS&amp;ADULTS'!$A$3:$A$12008,J21,'KIDS&amp;ADULTS'!$B$3:$B$12008,$P$3)</f>
        <v>0</v>
      </c>
      <c r="Q21" s="375">
        <f>COUNTIFS('KIDS&amp;ADULTS'!$A$3:$A$1008,J21,'KIDS&amp;ADULTS'!$B$3:$B$1008,$Q$3)</f>
        <v>6</v>
      </c>
      <c r="R21" s="374">
        <f>COUNTIFS('KIDS&amp;ADULTS'!$A$3:$A$12008,J21,'KIDS&amp;ADULTS'!$B$3:$B$12008,$R$3)</f>
        <v>0</v>
      </c>
      <c r="U21" s="372">
        <v>45125.0</v>
      </c>
      <c r="V21" s="376">
        <f>COUNTIFS('KIDS&amp;ADULTS'!$V$3:$V$12006,U21,'KIDS&amp;ADULTS'!$B$3:$B$12006,$K$3,'KIDS&amp;ADULTS'!$N$3:$N$12006,"Đã đóng học phí")</f>
        <v>0</v>
      </c>
      <c r="W21" s="376">
        <f>COUNTIFS('KIDS&amp;ADULTS'!$V$3:$V$12006,U21,'KIDS&amp;ADULTS'!$B$3:$B12023,$W$3,'KIDS&amp;ADULTS'!$N$3:$N$12006,"Đã đóng học phí")</f>
        <v>0</v>
      </c>
      <c r="X21" s="376">
        <f>COUNTIFS('KIDS&amp;ADULTS'!$V$3:$V$12006,U21,'KIDS&amp;ADULTS'!$B$3:$B$12006,$X$3,'KIDS&amp;ADULTS'!$N$3:$N$12006,"Đã đóng học phí")</f>
        <v>0</v>
      </c>
      <c r="Y21" s="376">
        <f>COUNTIFS('KIDS&amp;ADULTS'!$V$3:$V$12006,U21,'KIDS&amp;ADULTS'!$B$3:$B$12006,$Y$3,'KIDS&amp;ADULTS'!$N$3:$N$12006,"Đã đóng học phí")</f>
        <v>0</v>
      </c>
      <c r="Z21" s="376">
        <f>COUNTIFS('KIDS&amp;ADULTS'!$V$3:$V$12006,U21,'KIDS&amp;ADULTS'!$B$3:$B$12006,$Z$3,'KIDS&amp;ADULTS'!$N$3:$N$12006,"Đã đóng học phí")</f>
        <v>0</v>
      </c>
      <c r="AA21" s="376">
        <f>COUNTIFS('KIDS&amp;ADULTS'!$V$3:$V$12006,U21,'KIDS&amp;ADULTS'!$B$3:$B$12006,$AA$3,'KIDS&amp;ADULTS'!$N$3:$N$12006,"Đã đóng học phí")</f>
        <v>0</v>
      </c>
      <c r="AB21" s="376">
        <f>COUNTIFS('KIDS&amp;ADULTS'!$V$3:$V$12006,U21,'KIDS&amp;ADULTS'!$B$3:$B$12006,$AB$3,'KIDS&amp;ADULTS'!$N$3:$N$12006,"Đã đóng học phí")</f>
        <v>0</v>
      </c>
      <c r="AC21" s="376">
        <f>COUNTIFS('KIDS&amp;ADULTS'!$V$3:$V$12006,U21,'KIDS&amp;ADULTS'!$B$3:$B$12006,$AC$3,'KIDS&amp;ADULTS'!$N$3:$N$12006,"Đã đóng học phí")</f>
        <v>0</v>
      </c>
    </row>
    <row r="22" ht="15.75" customHeight="1">
      <c r="A22" s="372">
        <v>45126.0</v>
      </c>
      <c r="B22" s="373">
        <f>sumifs('KIDS&amp;ADULTS'!$Z$3:$Z$1015,'KIDS&amp;ADULTS'!$V$3:$V$1015,A22,'KIDS&amp;ADULTS'!$M$3:$M$1015,$B$3)</f>
        <v>0</v>
      </c>
      <c r="C22" s="373">
        <f>sumifs('KIDS&amp;ADULTS'!$Z$3:$Z$1015,'KIDS&amp;ADULTS'!$V$3:$V$1015,A22,'KIDS&amp;ADULTS'!$M$3:$M$1015,"phương")</f>
        <v>0</v>
      </c>
      <c r="D22" s="373">
        <f>sumifs('KIDS&amp;ADULTS'!$Z$3:$Z$1015,'KIDS&amp;ADULTS'!$V$3:$V$1015,A22,'KIDS&amp;ADULTS'!$M$3:$M$1015,$D$3)</f>
        <v>4375000</v>
      </c>
      <c r="E22" s="373">
        <f>sumifs('KIDS&amp;ADULTS'!$Z$3:$Z$1015,'KIDS&amp;ADULTS'!$V$3:$V$1015,A22,'KIDS&amp;ADULTS'!$M$3:$M$1015,"Ánh")</f>
        <v>7174000</v>
      </c>
      <c r="F22" s="373">
        <f>sumifs('KIDS&amp;ADULTS'!$Z$3:$Z$1015,'KIDS&amp;ADULTS'!$V$3:$V$1015,A22,'KIDS&amp;ADULTS'!$M$3:$M$1015,"Loan")</f>
        <v>0</v>
      </c>
      <c r="G22" s="373">
        <f t="shared" si="1"/>
        <v>11549000</v>
      </c>
      <c r="J22" s="372">
        <v>45126.0</v>
      </c>
      <c r="K22" s="374">
        <f>COUNTIFS('KIDS&amp;ADULTS'!$A$3:$A$12008,J22,'KIDS&amp;ADULTS'!$B$3:$B$12008,$K$3)</f>
        <v>0</v>
      </c>
      <c r="L22" s="374">
        <f>COUNTIFS('KIDS&amp;ADULTS'!$A$3:$A$12008,J22,'KIDS&amp;ADULTS'!$B$3:$B$12008,$L$3)</f>
        <v>0</v>
      </c>
      <c r="M22" s="374">
        <f>COUNTIFS('KIDS&amp;ADULTS'!$A$3:$A$12008,K22,'KIDS&amp;ADULTS'!$B$3:$B$12008,$M$3)</f>
        <v>0</v>
      </c>
      <c r="N22" s="375">
        <f>COUNTIFS('KIDS&amp;ADULTS'!$A$3:$A$12008,J22,'KIDS&amp;ADULTS'!$B$3:$B$12008,$N$3)</f>
        <v>1</v>
      </c>
      <c r="O22" s="375">
        <f>COUNTIFS('KIDS&amp;ADULTS'!$A$3:$A$12008,J22,'KIDS&amp;ADULTS'!$B$3:$B$12008,$O$3)</f>
        <v>0</v>
      </c>
      <c r="P22" s="375">
        <f>COUNTIFS('KIDS&amp;ADULTS'!$A$3:$A$12008,J22,'KIDS&amp;ADULTS'!$B$3:$B$12008,$P$3)</f>
        <v>0</v>
      </c>
      <c r="Q22" s="375">
        <f>COUNTIFS('KIDS&amp;ADULTS'!$A$3:$A$1008,J22,'KIDS&amp;ADULTS'!$B$3:$B$1008,$Q$3)</f>
        <v>0</v>
      </c>
      <c r="R22" s="374">
        <f>COUNTIFS('KIDS&amp;ADULTS'!$A$3:$A$12008,J22,'KIDS&amp;ADULTS'!$B$3:$B$12008,$R$3)</f>
        <v>0</v>
      </c>
      <c r="U22" s="372">
        <v>45126.0</v>
      </c>
      <c r="V22" s="376">
        <f>COUNTIFS('KIDS&amp;ADULTS'!$V$3:$V$12006,U22,'KIDS&amp;ADULTS'!$B$3:$B$12006,$K$3,'KIDS&amp;ADULTS'!$N$3:$N$12006,"Đã đóng học phí")-1</f>
        <v>-1</v>
      </c>
      <c r="W22" s="376">
        <f>COUNTIFS('KIDS&amp;ADULTS'!$V$3:$V$12006,U22,'KIDS&amp;ADULTS'!$B$3:$B12024,$W$3,'KIDS&amp;ADULTS'!$N$3:$N$12006,"Đã đóng học phí")</f>
        <v>0</v>
      </c>
      <c r="X22" s="376">
        <f>COUNTIFS('KIDS&amp;ADULTS'!$V$3:$V$12006,U22,'KIDS&amp;ADULTS'!$B$3:$B$12006,$X$3,'KIDS&amp;ADULTS'!$N$3:$N$12006,"Đã đóng học phí")</f>
        <v>0</v>
      </c>
      <c r="Y22" s="376">
        <f>COUNTIFS('KIDS&amp;ADULTS'!$V$3:$V$12006,U22,'KIDS&amp;ADULTS'!$B$3:$B$12006,$Y$3,'KIDS&amp;ADULTS'!$N$3:$N$12006,"Đã đóng học phí")</f>
        <v>1</v>
      </c>
      <c r="Z22" s="376">
        <f>COUNTIFS('KIDS&amp;ADULTS'!$V$3:$V$12006,U22,'KIDS&amp;ADULTS'!$B$3:$B$12006,$Z$3,'KIDS&amp;ADULTS'!$N$3:$N$12006,"Đã đóng học phí")</f>
        <v>0</v>
      </c>
      <c r="AA22" s="376">
        <f>COUNTIFS('KIDS&amp;ADULTS'!$V$3:$V$12006,U22,'KIDS&amp;ADULTS'!$B$3:$B$12006,$AA$3,'KIDS&amp;ADULTS'!$N$3:$N$12006,"Đã đóng học phí")</f>
        <v>0</v>
      </c>
      <c r="AB22" s="376">
        <f>COUNTIFS('KIDS&amp;ADULTS'!$V$3:$V$12006,U22,'KIDS&amp;ADULTS'!$B$3:$B$12006,$AB$3,'KIDS&amp;ADULTS'!$N$3:$N$12006,"Đã đóng học phí")</f>
        <v>0</v>
      </c>
      <c r="AC22" s="376">
        <f>COUNTIFS('KIDS&amp;ADULTS'!$V$3:$V$12006,U22,'KIDS&amp;ADULTS'!$B$3:$B$12006,$AC$3,'KIDS&amp;ADULTS'!$N$3:$N$12006,"Đã đóng học phí")</f>
        <v>0</v>
      </c>
    </row>
    <row r="23" ht="15.75" customHeight="1">
      <c r="A23" s="372">
        <v>45127.0</v>
      </c>
      <c r="B23" s="373">
        <f>sumifs('KIDS&amp;ADULTS'!$Z$3:$Z$1015,'KIDS&amp;ADULTS'!$V$3:$V$1015,A23,'KIDS&amp;ADULTS'!$M$3:$M$1015,$B$3)</f>
        <v>0</v>
      </c>
      <c r="C23" s="373">
        <f>sumifs('KIDS&amp;ADULTS'!$Z$3:$Z$1015,'KIDS&amp;ADULTS'!$V$3:$V$1015,A23,'KIDS&amp;ADULTS'!$M$3:$M$1015,"phương")</f>
        <v>0</v>
      </c>
      <c r="D23" s="373">
        <f>sumifs('KIDS&amp;ADULTS'!$Z$3:$Z$1015,'KIDS&amp;ADULTS'!$V$3:$V$1015,A23,'KIDS&amp;ADULTS'!$M$3:$M$1015,$D$3)</f>
        <v>2558000</v>
      </c>
      <c r="E23" s="373">
        <f>sumifs('KIDS&amp;ADULTS'!$Z$3:$Z$1015,'KIDS&amp;ADULTS'!$V$3:$V$1015,A23,'KIDS&amp;ADULTS'!$M$3:$M$1015,"Ánh")</f>
        <v>5360000</v>
      </c>
      <c r="F23" s="373">
        <f>sumifs('KIDS&amp;ADULTS'!$Z$3:$Z$1015,'KIDS&amp;ADULTS'!$V$3:$V$1015,A23,'KIDS&amp;ADULTS'!$M$3:$M$1015,"Loan")</f>
        <v>0</v>
      </c>
      <c r="G23" s="373">
        <f t="shared" si="1"/>
        <v>7918000</v>
      </c>
      <c r="J23" s="372">
        <v>45127.0</v>
      </c>
      <c r="K23" s="374">
        <f>COUNTIFS('KIDS&amp;ADULTS'!$A$3:$A$12008,J23,'KIDS&amp;ADULTS'!$B$3:$B$12008,$K$3)</f>
        <v>0</v>
      </c>
      <c r="L23" s="374">
        <f>COUNTIFS('KIDS&amp;ADULTS'!$A$3:$A$12008,J23,'KIDS&amp;ADULTS'!$B$3:$B$12008,$L$3)</f>
        <v>0</v>
      </c>
      <c r="M23" s="374">
        <f>COUNTIFS('KIDS&amp;ADULTS'!$A$3:$A$12008,K23,'KIDS&amp;ADULTS'!$B$3:$B$12008,$M$3)</f>
        <v>0</v>
      </c>
      <c r="N23" s="375">
        <f>COUNTIFS('KIDS&amp;ADULTS'!$A$3:$A$12008,J23,'KIDS&amp;ADULTS'!$B$3:$B$12008,$N$3)</f>
        <v>0</v>
      </c>
      <c r="O23" s="375">
        <f>COUNTIFS('KIDS&amp;ADULTS'!$A$3:$A$12008,J23,'KIDS&amp;ADULTS'!$B$3:$B$12008,$O$3)</f>
        <v>0</v>
      </c>
      <c r="P23" s="375">
        <f>COUNTIFS('KIDS&amp;ADULTS'!$A$3:$A$12008,J23,'KIDS&amp;ADULTS'!$B$3:$B$12008,$P$3)</f>
        <v>1</v>
      </c>
      <c r="Q23" s="375">
        <f>COUNTIFS('KIDS&amp;ADULTS'!$A$3:$A$1008,J23,'KIDS&amp;ADULTS'!$B$3:$B$1008,$Q$3)</f>
        <v>1</v>
      </c>
      <c r="R23" s="374">
        <f>COUNTIFS('KIDS&amp;ADULTS'!$A$3:$A$12008,J23,'KIDS&amp;ADULTS'!$B$3:$B$12008,$R$3)</f>
        <v>0</v>
      </c>
      <c r="U23" s="372">
        <v>45127.0</v>
      </c>
      <c r="V23" s="376">
        <f>COUNTIFS('KIDS&amp;ADULTS'!$V$3:$V$12006,U23,'KIDS&amp;ADULTS'!$B$3:$B$12006,$K$3,'KIDS&amp;ADULTS'!$N$3:$N$12006,"Đã đóng học phí")</f>
        <v>0</v>
      </c>
      <c r="W23" s="376">
        <f>COUNTIFS('KIDS&amp;ADULTS'!$V$3:$V$12006,U23,'KIDS&amp;ADULTS'!$B$3:$B12025,$W$3,'KIDS&amp;ADULTS'!$N$3:$N$12006,"Đã đóng học phí")</f>
        <v>0</v>
      </c>
      <c r="X23" s="376">
        <f>COUNTIFS('KIDS&amp;ADULTS'!$V$3:$V$12006,U23,'KIDS&amp;ADULTS'!$B$3:$B$12006,$X$3,'KIDS&amp;ADULTS'!$N$3:$N$12006,"Đã đóng học phí")</f>
        <v>0</v>
      </c>
      <c r="Y23" s="376">
        <f>COUNTIFS('KIDS&amp;ADULTS'!$V$3:$V$12006,U23,'KIDS&amp;ADULTS'!$B$3:$B$12006,$Y$3,'KIDS&amp;ADULTS'!$N$3:$N$12006,"Đã đóng học phí")</f>
        <v>0</v>
      </c>
      <c r="Z23" s="376">
        <f>COUNTIFS('KIDS&amp;ADULTS'!$V$3:$V$12006,U23,'KIDS&amp;ADULTS'!$B$3:$B$12006,$Z$3,'KIDS&amp;ADULTS'!$N$3:$N$12006,"Đã đóng học phí")</f>
        <v>0</v>
      </c>
      <c r="AA23" s="376">
        <f>COUNTIFS('KIDS&amp;ADULTS'!$V$3:$V$12006,U23,'KIDS&amp;ADULTS'!$B$3:$B$12006,$AA$3,'KIDS&amp;ADULTS'!$N$3:$N$12006,"Đã đóng học phí")</f>
        <v>2</v>
      </c>
      <c r="AB23" s="376">
        <f>COUNTIFS('KIDS&amp;ADULTS'!$V$3:$V$12006,U23,'KIDS&amp;ADULTS'!$B$3:$B$12006,$AB$3,'KIDS&amp;ADULTS'!$N$3:$N$12006,"Đã đóng học phí")</f>
        <v>0</v>
      </c>
      <c r="AC23" s="376">
        <f>COUNTIFS('KIDS&amp;ADULTS'!$V$3:$V$12006,U23,'KIDS&amp;ADULTS'!$B$3:$B$12006,$AC$3,'KIDS&amp;ADULTS'!$N$3:$N$12006,"Đã đóng học phí")</f>
        <v>0</v>
      </c>
    </row>
    <row r="24" ht="15.75" customHeight="1">
      <c r="A24" s="372">
        <v>45128.0</v>
      </c>
      <c r="B24" s="373">
        <f>sumifs('KIDS&amp;ADULTS'!$Z$3:$Z$1015,'KIDS&amp;ADULTS'!$V$3:$V$1015,A24,'KIDS&amp;ADULTS'!$M$3:$M$1015,$B$3)</f>
        <v>0</v>
      </c>
      <c r="C24" s="373">
        <f>sumifs('KIDS&amp;ADULTS'!$Z$3:$Z$1015,'KIDS&amp;ADULTS'!$V$3:$V$1015,A24,'KIDS&amp;ADULTS'!$M$3:$M$1015,"phương")</f>
        <v>0</v>
      </c>
      <c r="D24" s="373">
        <f>sumifs('KIDS&amp;ADULTS'!$Z$3:$Z$1015,'KIDS&amp;ADULTS'!$V$3:$V$1015,A24,'KIDS&amp;ADULTS'!$M$3:$M$1015,$D$3)</f>
        <v>11991500</v>
      </c>
      <c r="E24" s="373">
        <f>sumifs('KIDS&amp;ADULTS'!$Z$3:$Z$1015,'KIDS&amp;ADULTS'!$V$3:$V$1015,A24,'KIDS&amp;ADULTS'!$M$3:$M$1015,"Ánh")</f>
        <v>10378280</v>
      </c>
      <c r="F24" s="373">
        <f>sumifs('KIDS&amp;ADULTS'!$Z$3:$Z$1015,'KIDS&amp;ADULTS'!$V$3:$V$1015,A24,'KIDS&amp;ADULTS'!$M$3:$M$1015,"Loan")</f>
        <v>0</v>
      </c>
      <c r="G24" s="373">
        <f t="shared" si="1"/>
        <v>22369780</v>
      </c>
      <c r="J24" s="372">
        <v>45128.0</v>
      </c>
      <c r="K24" s="374">
        <f>COUNTIFS('KIDS&amp;ADULTS'!$A$3:$A$12008,J24,'KIDS&amp;ADULTS'!$B$3:$B$12008,$K$3)</f>
        <v>0</v>
      </c>
      <c r="L24" s="374">
        <f>COUNTIFS('KIDS&amp;ADULTS'!$A$3:$A$12008,J24,'KIDS&amp;ADULTS'!$B$3:$B$12008,$L$3)</f>
        <v>0</v>
      </c>
      <c r="M24" s="374">
        <f>COUNTIFS('KIDS&amp;ADULTS'!$A$3:$A$12008,K24,'KIDS&amp;ADULTS'!$B$3:$B$12008,$M$3)</f>
        <v>0</v>
      </c>
      <c r="N24" s="375">
        <f>COUNTIFS('KIDS&amp;ADULTS'!$A$3:$A$12008,J24,'KIDS&amp;ADULTS'!$B$3:$B$12008,$N$3)</f>
        <v>4</v>
      </c>
      <c r="O24" s="375">
        <f>COUNTIFS('KIDS&amp;ADULTS'!$A$3:$A$12008,J24,'KIDS&amp;ADULTS'!$B$3:$B$12008,$O$3)</f>
        <v>0</v>
      </c>
      <c r="P24" s="375">
        <f>COUNTIFS('KIDS&amp;ADULTS'!$A$3:$A$12008,J24,'KIDS&amp;ADULTS'!$B$3:$B$12008,$P$3)</f>
        <v>0</v>
      </c>
      <c r="Q24" s="375">
        <f>COUNTIFS('KIDS&amp;ADULTS'!$A$3:$A$1008,J24,'KIDS&amp;ADULTS'!$B$3:$B$1008,$Q$3)</f>
        <v>0</v>
      </c>
      <c r="R24" s="374">
        <f>COUNTIFS('KIDS&amp;ADULTS'!$A$3:$A$12008,J24,'KIDS&amp;ADULTS'!$B$3:$B$12008,$R$3)</f>
        <v>0</v>
      </c>
      <c r="U24" s="372">
        <v>45128.0</v>
      </c>
      <c r="V24" s="376">
        <f>COUNTIFS('KIDS&amp;ADULTS'!$V$3:$V$12006,U24,'KIDS&amp;ADULTS'!$B$3:$B$12006,$K$3,'KIDS&amp;ADULTS'!$N$3:$N$12006,"Đã đóng học phí")</f>
        <v>0</v>
      </c>
      <c r="W24" s="376">
        <f>COUNTIFS('KIDS&amp;ADULTS'!$V$3:$V$12006,U24,'KIDS&amp;ADULTS'!$B$3:$B12026,$W$3,'KIDS&amp;ADULTS'!$N$3:$N$12006,"Đã đóng học phí")</f>
        <v>0</v>
      </c>
      <c r="X24" s="376">
        <f>COUNTIFS('KIDS&amp;ADULTS'!$V$3:$V$12006,U24,'KIDS&amp;ADULTS'!$B$3:$B$12006,$X$3,'KIDS&amp;ADULTS'!$N$3:$N$12006,"Đã đóng học phí")</f>
        <v>0</v>
      </c>
      <c r="Y24" s="376">
        <f>COUNTIFS('KIDS&amp;ADULTS'!$V$3:$V$12006,U24,'KIDS&amp;ADULTS'!$B$3:$B$12006,$Y$3,'KIDS&amp;ADULTS'!$N$3:$N$12006,"Đã đóng học phí")</f>
        <v>1</v>
      </c>
      <c r="Z24" s="376">
        <f>COUNTIFS('KIDS&amp;ADULTS'!$V$3:$V$12006,U24,'KIDS&amp;ADULTS'!$B$3:$B$12006,$Z$3,'KIDS&amp;ADULTS'!$N$3:$N$12006,"Đã đóng học phí")</f>
        <v>0</v>
      </c>
      <c r="AA24" s="376">
        <f>COUNTIFS('KIDS&amp;ADULTS'!$V$3:$V$12006,U24,'KIDS&amp;ADULTS'!$B$3:$B$12006,$AA$3,'KIDS&amp;ADULTS'!$N$3:$N$12006,"Đã đóng học phí")</f>
        <v>1</v>
      </c>
      <c r="AB24" s="376">
        <f>COUNTIFS('KIDS&amp;ADULTS'!$V$3:$V$12006,U24,'KIDS&amp;ADULTS'!$B$3:$B$12006,$AB$3,'KIDS&amp;ADULTS'!$N$3:$N$12006,"Đã đóng học phí")</f>
        <v>0</v>
      </c>
      <c r="AC24" s="376">
        <f>COUNTIFS('KIDS&amp;ADULTS'!$V$3:$V$12006,U24,'KIDS&amp;ADULTS'!$B$3:$B$12006,$AC$3,'KIDS&amp;ADULTS'!$N$3:$N$12006,"Đã đóng học phí")</f>
        <v>0</v>
      </c>
    </row>
    <row r="25" ht="15.75" customHeight="1">
      <c r="A25" s="372">
        <v>45129.0</v>
      </c>
      <c r="B25" s="373">
        <f>sumifs('KIDS&amp;ADULTS'!$Z$3:$Z$1015,'KIDS&amp;ADULTS'!$V$3:$V$1015,A25,'KIDS&amp;ADULTS'!$M$3:$M$1015,$B$3)</f>
        <v>0</v>
      </c>
      <c r="C25" s="373">
        <f>sumifs('KIDS&amp;ADULTS'!$Z$3:$Z$1015,'KIDS&amp;ADULTS'!$V$3:$V$1015,A25,'KIDS&amp;ADULTS'!$M$3:$M$1015,"phương")</f>
        <v>0</v>
      </c>
      <c r="D25" s="373">
        <f>sumifs('KIDS&amp;ADULTS'!$Z$3:$Z$1015,'KIDS&amp;ADULTS'!$V$3:$V$1015,A25,'KIDS&amp;ADULTS'!$M$3:$M$1015,$D$3)</f>
        <v>0</v>
      </c>
      <c r="E25" s="373">
        <f>sumifs('KIDS&amp;ADULTS'!$Z$3:$Z$1015,'KIDS&amp;ADULTS'!$V$3:$V$1015,A25,'KIDS&amp;ADULTS'!$M$3:$M$1015,"Ánh")</f>
        <v>2000000</v>
      </c>
      <c r="F25" s="373">
        <f>sumifs('KIDS&amp;ADULTS'!$Z$3:$Z$1015,'KIDS&amp;ADULTS'!$V$3:$V$1015,A25,'KIDS&amp;ADULTS'!$M$3:$M$1015,"Loan")</f>
        <v>0</v>
      </c>
      <c r="G25" s="373">
        <f t="shared" si="1"/>
        <v>2000000</v>
      </c>
      <c r="J25" s="372">
        <v>45129.0</v>
      </c>
      <c r="K25" s="374">
        <f>COUNTIFS('KIDS&amp;ADULTS'!$A$3:$A$12008,J25,'KIDS&amp;ADULTS'!$B$3:$B$12008,$K$3)</f>
        <v>0</v>
      </c>
      <c r="L25" s="374">
        <f>COUNTIFS('KIDS&amp;ADULTS'!$A$3:$A$12008,J25,'KIDS&amp;ADULTS'!$B$3:$B$12008,$L$3)</f>
        <v>0</v>
      </c>
      <c r="M25" s="374">
        <f>COUNTIFS('KIDS&amp;ADULTS'!$A$3:$A$12008,K25,'KIDS&amp;ADULTS'!$B$3:$B$12008,$M$3)</f>
        <v>0</v>
      </c>
      <c r="N25" s="375">
        <f>COUNTIFS('KIDS&amp;ADULTS'!$A$3:$A$12008,J25,'KIDS&amp;ADULTS'!$B$3:$B$12008,$N$3)</f>
        <v>0</v>
      </c>
      <c r="O25" s="375">
        <f>COUNTIFS('KIDS&amp;ADULTS'!$A$3:$A$12008,J25,'KIDS&amp;ADULTS'!$B$3:$B$12008,$O$3)</f>
        <v>0</v>
      </c>
      <c r="P25" s="375">
        <f>COUNTIFS('KIDS&amp;ADULTS'!$A$3:$A$12008,J25,'KIDS&amp;ADULTS'!$B$3:$B$12008,$P$3)</f>
        <v>1</v>
      </c>
      <c r="Q25" s="375">
        <f>COUNTIFS('KIDS&amp;ADULTS'!$A$3:$A$1008,J25,'KIDS&amp;ADULTS'!$B$3:$B$1008,$Q$3)</f>
        <v>0</v>
      </c>
      <c r="R25" s="374">
        <f>COUNTIFS('KIDS&amp;ADULTS'!$A$3:$A$12008,J25,'KIDS&amp;ADULTS'!$B$3:$B$12008,$R$3)</f>
        <v>0</v>
      </c>
      <c r="U25" s="372">
        <v>45129.0</v>
      </c>
      <c r="V25" s="376">
        <f>COUNTIFS('KIDS&amp;ADULTS'!$V$3:$V$12006,U25,'KIDS&amp;ADULTS'!$B$3:$B$12006,$K$3,'KIDS&amp;ADULTS'!$N$3:$N$12006,"Đã đóng học phí")</f>
        <v>0</v>
      </c>
      <c r="W25" s="376">
        <f>COUNTIFS('KIDS&amp;ADULTS'!$V$3:$V$12006,U25,'KIDS&amp;ADULTS'!$B$3:$B12027,$W$3,'KIDS&amp;ADULTS'!$N$3:$N$12006,"Đã đóng học phí")</f>
        <v>0</v>
      </c>
      <c r="X25" s="376">
        <f>COUNTIFS('KIDS&amp;ADULTS'!$V$3:$V$12006,U25,'KIDS&amp;ADULTS'!$B$3:$B$12006,$X$3,'KIDS&amp;ADULTS'!$N$3:$N$12006,"Đã đóng học phí")</f>
        <v>0</v>
      </c>
      <c r="Y25" s="376">
        <f>COUNTIFS('KIDS&amp;ADULTS'!$V$3:$V$12006,U25,'KIDS&amp;ADULTS'!$B$3:$B$12006,$Y$3,'KIDS&amp;ADULTS'!$N$3:$N$12006,"Đã đóng học phí")</f>
        <v>1</v>
      </c>
      <c r="Z25" s="376">
        <f>COUNTIFS('KIDS&amp;ADULTS'!$V$3:$V$12006,U25,'KIDS&amp;ADULTS'!$B$3:$B$12006,$Z$3,'KIDS&amp;ADULTS'!$N$3:$N$12006,"Đã đóng học phí")</f>
        <v>0</v>
      </c>
      <c r="AA25" s="376">
        <f>COUNTIFS('KIDS&amp;ADULTS'!$V$3:$V$12006,U25,'KIDS&amp;ADULTS'!$B$3:$B$12006,$AA$3,'KIDS&amp;ADULTS'!$N$3:$N$12006,"Đã đóng học phí")</f>
        <v>0</v>
      </c>
      <c r="AB25" s="376">
        <f>COUNTIFS('KIDS&amp;ADULTS'!$V$3:$V$12006,U25,'KIDS&amp;ADULTS'!$B$3:$B$12006,$AB$3,'KIDS&amp;ADULTS'!$N$3:$N$12006,"Đã đóng học phí")</f>
        <v>0</v>
      </c>
      <c r="AC25" s="376">
        <f>COUNTIFS('KIDS&amp;ADULTS'!$V$3:$V$12006,U25,'KIDS&amp;ADULTS'!$B$3:$B$12006,$AC$3,'KIDS&amp;ADULTS'!$N$3:$N$12006,"Đã đóng học phí")</f>
        <v>0</v>
      </c>
    </row>
    <row r="26" ht="15.75" customHeight="1">
      <c r="A26" s="372">
        <v>45130.0</v>
      </c>
      <c r="B26" s="373">
        <f>sumifs('KIDS&amp;ADULTS'!$Z$3:$Z$1015,'KIDS&amp;ADULTS'!$V$3:$V$1015,A26,'KIDS&amp;ADULTS'!$M$3:$M$1015,$B$3)</f>
        <v>0</v>
      </c>
      <c r="C26" s="373">
        <f>sumifs('KIDS&amp;ADULTS'!$Z$3:$Z$1015,'KIDS&amp;ADULTS'!$V$3:$V$1015,A26,'KIDS&amp;ADULTS'!$M$3:$M$1015,"phương")</f>
        <v>0</v>
      </c>
      <c r="D26" s="373">
        <f>sumifs('KIDS&amp;ADULTS'!$Z$3:$Z$1015,'KIDS&amp;ADULTS'!$V$3:$V$1015,A26,'KIDS&amp;ADULTS'!$M$3:$M$1015,$D$3)</f>
        <v>5358280</v>
      </c>
      <c r="E26" s="373">
        <f>sumifs('KIDS&amp;ADULTS'!$Z$3:$Z$1015,'KIDS&amp;ADULTS'!$V$3:$V$1015,A26,'KIDS&amp;ADULTS'!$M$3:$M$1015,"Ánh")</f>
        <v>0</v>
      </c>
      <c r="F26" s="373">
        <f>sumifs('KIDS&amp;ADULTS'!$Z$3:$Z$1015,'KIDS&amp;ADULTS'!$V$3:$V$1015,A26,'KIDS&amp;ADULTS'!$M$3:$M$1015,"Loan")</f>
        <v>0</v>
      </c>
      <c r="G26" s="373">
        <f t="shared" si="1"/>
        <v>5358280</v>
      </c>
      <c r="J26" s="372">
        <v>45130.0</v>
      </c>
      <c r="K26" s="374">
        <f>COUNTIFS('KIDS&amp;ADULTS'!$A$3:$A$12008,J26,'KIDS&amp;ADULTS'!$B$3:$B$12008,$K$3)</f>
        <v>0</v>
      </c>
      <c r="L26" s="374">
        <f>COUNTIFS('KIDS&amp;ADULTS'!$A$3:$A$12008,J26,'KIDS&amp;ADULTS'!$B$3:$B$12008,$L$3)</f>
        <v>0</v>
      </c>
      <c r="M26" s="374">
        <f>COUNTIFS('KIDS&amp;ADULTS'!$A$3:$A$12008,K26,'KIDS&amp;ADULTS'!$B$3:$B$12008,$M$3)</f>
        <v>0</v>
      </c>
      <c r="N26" s="375">
        <f>COUNTIFS('KIDS&amp;ADULTS'!$A$3:$A$12008,J26,'KIDS&amp;ADULTS'!$B$3:$B$12008,$N$3)</f>
        <v>0</v>
      </c>
      <c r="O26" s="375">
        <f>COUNTIFS('KIDS&amp;ADULTS'!$A$3:$A$12008,J26,'KIDS&amp;ADULTS'!$B$3:$B$12008,$O$3)</f>
        <v>2</v>
      </c>
      <c r="P26" s="375">
        <f>COUNTIFS('KIDS&amp;ADULTS'!$A$3:$A$12008,J26,'KIDS&amp;ADULTS'!$B$3:$B$12008,$P$3)</f>
        <v>0</v>
      </c>
      <c r="Q26" s="375">
        <f>COUNTIFS('KIDS&amp;ADULTS'!$A$3:$A$1008,J26,'KIDS&amp;ADULTS'!$B$3:$B$1008,$Q$3)</f>
        <v>0</v>
      </c>
      <c r="R26" s="374">
        <f>COUNTIFS('KIDS&amp;ADULTS'!$A$3:$A$12008,J26,'KIDS&amp;ADULTS'!$B$3:$B$12008,$R$3)</f>
        <v>0</v>
      </c>
      <c r="U26" s="372">
        <v>45130.0</v>
      </c>
      <c r="V26" s="376">
        <f>COUNTIFS('KIDS&amp;ADULTS'!$V$3:$V$12006,U26,'KIDS&amp;ADULTS'!$B$3:$B$12006,$K$3,'KIDS&amp;ADULTS'!$N$3:$N$12006,"Đã đóng học phí")</f>
        <v>0</v>
      </c>
      <c r="W26" s="376">
        <f>COUNTIFS('KIDS&amp;ADULTS'!$V$3:$V$12006,U26,'KIDS&amp;ADULTS'!$B$3:$B12028,$W$3,'KIDS&amp;ADULTS'!$N$3:$N$12006,"Đã đóng học phí")</f>
        <v>0</v>
      </c>
      <c r="X26" s="376">
        <f>COUNTIFS('KIDS&amp;ADULTS'!$V$3:$V$12006,U26,'KIDS&amp;ADULTS'!$B$3:$B$12006,$X$3,'KIDS&amp;ADULTS'!$N$3:$N$12006,"Đã đóng học phí")</f>
        <v>0</v>
      </c>
      <c r="Y26" s="376">
        <f>COUNTIFS('KIDS&amp;ADULTS'!$V$3:$V$12006,U26,'KIDS&amp;ADULTS'!$B$3:$B$12006,$Y$3,'KIDS&amp;ADULTS'!$N$3:$N$12006,"Đã đóng học phí")</f>
        <v>1</v>
      </c>
      <c r="Z26" s="376">
        <f>COUNTIFS('KIDS&amp;ADULTS'!$V$3:$V$12006,U26,'KIDS&amp;ADULTS'!$B$3:$B$12006,$Z$3,'KIDS&amp;ADULTS'!$N$3:$N$12006,"Đã đóng học phí")</f>
        <v>0</v>
      </c>
      <c r="AA26" s="376">
        <f>COUNTIFS('KIDS&amp;ADULTS'!$V$3:$V$12006,U26,'KIDS&amp;ADULTS'!$B$3:$B$12006,$AA$3,'KIDS&amp;ADULTS'!$N$3:$N$12006,"Đã đóng học phí")</f>
        <v>0</v>
      </c>
      <c r="AB26" s="376">
        <f>COUNTIFS('KIDS&amp;ADULTS'!$V$3:$V$12006,U26,'KIDS&amp;ADULTS'!$B$3:$B$12006,$AB$3,'KIDS&amp;ADULTS'!$N$3:$N$12006,"Đã đóng học phí")</f>
        <v>0</v>
      </c>
      <c r="AC26" s="376">
        <f>COUNTIFS('KIDS&amp;ADULTS'!$V$3:$V$12006,U26,'KIDS&amp;ADULTS'!$B$3:$B$12006,$AC$3,'KIDS&amp;ADULTS'!$N$3:$N$12006,"Đã đóng học phí")</f>
        <v>0</v>
      </c>
    </row>
    <row r="27" ht="15.75" customHeight="1">
      <c r="A27" s="372">
        <v>45131.0</v>
      </c>
      <c r="B27" s="373">
        <f>sumifs('KIDS&amp;ADULTS'!$Z$3:$Z$1015,'KIDS&amp;ADULTS'!$V$3:$V$1015,A27,'KIDS&amp;ADULTS'!$M$3:$M$1015,$B$3)</f>
        <v>0</v>
      </c>
      <c r="C27" s="373">
        <f>sumifs('KIDS&amp;ADULTS'!$Z$3:$Z$1015,'KIDS&amp;ADULTS'!$V$3:$V$1015,A27,'KIDS&amp;ADULTS'!$M$3:$M$1015,"phương")</f>
        <v>0</v>
      </c>
      <c r="D27" s="373">
        <f>sumifs('KIDS&amp;ADULTS'!$Z$3:$Z$1015,'KIDS&amp;ADULTS'!$V$3:$V$1015,A27,'KIDS&amp;ADULTS'!$M$3:$M$1015,$D$3)</f>
        <v>0</v>
      </c>
      <c r="E27" s="373">
        <f>sumifs('KIDS&amp;ADULTS'!$Z$3:$Z$1015,'KIDS&amp;ADULTS'!$V$3:$V$1015,A27,'KIDS&amp;ADULTS'!$M$3:$M$1015,"Ánh")</f>
        <v>7712000</v>
      </c>
      <c r="F27" s="373">
        <f>sumifs('KIDS&amp;ADULTS'!$Z$3:$Z$1015,'KIDS&amp;ADULTS'!$V$3:$V$1015,A27,'KIDS&amp;ADULTS'!$M$3:$M$1015,"Loan")</f>
        <v>0</v>
      </c>
      <c r="G27" s="373">
        <f t="shared" si="1"/>
        <v>7712000</v>
      </c>
      <c r="J27" s="372">
        <v>45131.0</v>
      </c>
      <c r="K27" s="374">
        <f>COUNTIFS('KIDS&amp;ADULTS'!$A$3:$A$12008,J27,'KIDS&amp;ADULTS'!$B$3:$B$12008,$K$3)</f>
        <v>0</v>
      </c>
      <c r="L27" s="374">
        <f>COUNTIFS('KIDS&amp;ADULTS'!$A$3:$A$12008,J27,'KIDS&amp;ADULTS'!$B$3:$B$12008,$L$3)</f>
        <v>0</v>
      </c>
      <c r="M27" s="374">
        <f>COUNTIFS('KIDS&amp;ADULTS'!$A$3:$A$12008,K27,'KIDS&amp;ADULTS'!$B$3:$B$12008,$M$3)</f>
        <v>0</v>
      </c>
      <c r="N27" s="375">
        <f>COUNTIFS('KIDS&amp;ADULTS'!$A$3:$A$12008,J27,'KIDS&amp;ADULTS'!$B$3:$B$12008,$N$3)</f>
        <v>1</v>
      </c>
      <c r="O27" s="375">
        <f>COUNTIFS('KIDS&amp;ADULTS'!$A$3:$A$12008,J27,'KIDS&amp;ADULTS'!$B$3:$B$12008,$O$3)</f>
        <v>0</v>
      </c>
      <c r="P27" s="375">
        <f>COUNTIFS('KIDS&amp;ADULTS'!$A$3:$A$12008,J27,'KIDS&amp;ADULTS'!$B$3:$B$12008,$P$3)</f>
        <v>0</v>
      </c>
      <c r="Q27" s="375">
        <f>COUNTIFS('KIDS&amp;ADULTS'!$A$3:$A$1008,J27,'KIDS&amp;ADULTS'!$B$3:$B$1008,$Q$3)</f>
        <v>0</v>
      </c>
      <c r="R27" s="374">
        <f>COUNTIFS('KIDS&amp;ADULTS'!$A$3:$A$12008,J27,'KIDS&amp;ADULTS'!$B$3:$B$12008,$R$3)</f>
        <v>0</v>
      </c>
      <c r="U27" s="372">
        <v>45131.0</v>
      </c>
      <c r="V27" s="376">
        <f>COUNTIFS('KIDS&amp;ADULTS'!$V$3:$V$12006,U27,'KIDS&amp;ADULTS'!$B$3:$B$12006,$K$3,'KIDS&amp;ADULTS'!$N$3:$N$12006,"Đã đóng học phí")</f>
        <v>0</v>
      </c>
      <c r="W27" s="376">
        <f>COUNTIFS('KIDS&amp;ADULTS'!$V$3:$V$12006,U27,'KIDS&amp;ADULTS'!$B$3:$B12029,$W$3,'KIDS&amp;ADULTS'!$N$3:$N$12006,"Đã đóng học phí")</f>
        <v>0</v>
      </c>
      <c r="X27" s="376">
        <f>COUNTIFS('KIDS&amp;ADULTS'!$V$3:$V$12006,U27,'KIDS&amp;ADULTS'!$B$3:$B$12006,$X$3,'KIDS&amp;ADULTS'!$N$3:$N$12006,"Đã đóng học phí")</f>
        <v>0</v>
      </c>
      <c r="Y27" s="376">
        <f>COUNTIFS('KIDS&amp;ADULTS'!$V$3:$V$12006,U27,'KIDS&amp;ADULTS'!$B$3:$B$12006,$Y$3,'KIDS&amp;ADULTS'!$N$3:$N$12006,"Đã đóng học phí")</f>
        <v>1</v>
      </c>
      <c r="Z27" s="376">
        <f>COUNTIFS('KIDS&amp;ADULTS'!$V$3:$V$12006,U27,'KIDS&amp;ADULTS'!$B$3:$B$12006,$Z$3,'KIDS&amp;ADULTS'!$N$3:$N$12006,"Đã đóng học phí")</f>
        <v>0</v>
      </c>
      <c r="AA27" s="376">
        <f>COUNTIFS('KIDS&amp;ADULTS'!$V$3:$V$12006,U27,'KIDS&amp;ADULTS'!$B$3:$B$12006,$AA$3,'KIDS&amp;ADULTS'!$N$3:$N$12006,"Đã đóng học phí")</f>
        <v>0</v>
      </c>
      <c r="AB27" s="376">
        <f>COUNTIFS('KIDS&amp;ADULTS'!$V$3:$V$12006,U27,'KIDS&amp;ADULTS'!$B$3:$B$12006,$AB$3,'KIDS&amp;ADULTS'!$N$3:$N$12006,"Đã đóng học phí")</f>
        <v>0</v>
      </c>
      <c r="AC27" s="376">
        <f>COUNTIFS('KIDS&amp;ADULTS'!$V$3:$V$12006,U27,'KIDS&amp;ADULTS'!$B$3:$B$12006,$AC$3,'KIDS&amp;ADULTS'!$N$3:$N$12006,"Đã đóng học phí")</f>
        <v>0</v>
      </c>
    </row>
    <row r="28" ht="15.75" customHeight="1">
      <c r="A28" s="372">
        <v>45132.0</v>
      </c>
      <c r="B28" s="373">
        <f>sumifs('KIDS&amp;ADULTS'!$Z$3:$Z$1015,'KIDS&amp;ADULTS'!$V$3:$V$1015,A28,'KIDS&amp;ADULTS'!$M$3:$M$1015,$B$3)</f>
        <v>0</v>
      </c>
      <c r="C28" s="373">
        <f>sumifs('KIDS&amp;ADULTS'!$Z$3:$Z$1015,'KIDS&amp;ADULTS'!$V$3:$V$1015,A28,'KIDS&amp;ADULTS'!$M$3:$M$1015,"phương")</f>
        <v>0</v>
      </c>
      <c r="D28" s="373">
        <f>sumifs('KIDS&amp;ADULTS'!$Z$3:$Z$1015,'KIDS&amp;ADULTS'!$V$3:$V$1015,A28,'KIDS&amp;ADULTS'!$M$3:$M$1015,$D$3)</f>
        <v>0</v>
      </c>
      <c r="E28" s="373">
        <f>sumifs('KIDS&amp;ADULTS'!$Z$3:$Z$1015,'KIDS&amp;ADULTS'!$V$3:$V$1015,A28,'KIDS&amp;ADULTS'!$M$3:$M$1015,"Ánh")</f>
        <v>0</v>
      </c>
      <c r="F28" s="373">
        <f>sumifs('KIDS&amp;ADULTS'!$Z$3:$Z$1015,'KIDS&amp;ADULTS'!$V$3:$V$1015,A28,'KIDS&amp;ADULTS'!$M$3:$M$1015,"Loan")</f>
        <v>0</v>
      </c>
      <c r="G28" s="373">
        <f t="shared" si="1"/>
        <v>0</v>
      </c>
      <c r="J28" s="372">
        <v>45132.0</v>
      </c>
      <c r="K28" s="374">
        <f>COUNTIFS('KIDS&amp;ADULTS'!$A$3:$A$12008,J28,'KIDS&amp;ADULTS'!$B$3:$B$12008,$K$3)</f>
        <v>0</v>
      </c>
      <c r="L28" s="374">
        <f>COUNTIFS('KIDS&amp;ADULTS'!$A$3:$A$12008,J28,'KIDS&amp;ADULTS'!$B$3:$B$12008,$L$3)</f>
        <v>0</v>
      </c>
      <c r="M28" s="374">
        <f>COUNTIFS('KIDS&amp;ADULTS'!$A$3:$A$12008,K28,'KIDS&amp;ADULTS'!$B$3:$B$12008,$M$3)</f>
        <v>0</v>
      </c>
      <c r="N28" s="375">
        <f>COUNTIFS('KIDS&amp;ADULTS'!$A$3:$A$12008,J28,'KIDS&amp;ADULTS'!$B$3:$B$12008,$N$3)</f>
        <v>1</v>
      </c>
      <c r="O28" s="375">
        <f>COUNTIFS('KIDS&amp;ADULTS'!$A$3:$A$12008,J28,'KIDS&amp;ADULTS'!$B$3:$B$12008,$O$3)</f>
        <v>0</v>
      </c>
      <c r="P28" s="375">
        <f>COUNTIFS('KIDS&amp;ADULTS'!$A$3:$A$12008,J28,'KIDS&amp;ADULTS'!$B$3:$B$12008,$P$3)</f>
        <v>0</v>
      </c>
      <c r="Q28" s="375">
        <f>COUNTIFS('KIDS&amp;ADULTS'!$A$3:$A$1008,J28,'KIDS&amp;ADULTS'!$B$3:$B$1008,$Q$3)</f>
        <v>0</v>
      </c>
      <c r="R28" s="374">
        <f>COUNTIFS('KIDS&amp;ADULTS'!$A$3:$A$12008,J28,'KIDS&amp;ADULTS'!$B$3:$B$12008,$R$3)</f>
        <v>0</v>
      </c>
      <c r="U28" s="372">
        <v>45132.0</v>
      </c>
      <c r="V28" s="376">
        <f>COUNTIFS('KIDS&amp;ADULTS'!$V$3:$V$12006,U28,'KIDS&amp;ADULTS'!$B$3:$B$12006,$K$3,'KIDS&amp;ADULTS'!$N$3:$N$12006,"Đã đóng học phí")</f>
        <v>0</v>
      </c>
      <c r="W28" s="376">
        <f>COUNTIFS('KIDS&amp;ADULTS'!$V$3:$V$12006,U28,'KIDS&amp;ADULTS'!$B$3:$B12030,$W$3,'KIDS&amp;ADULTS'!$N$3:$N$12006,"Đã đóng học phí")</f>
        <v>0</v>
      </c>
      <c r="X28" s="376">
        <f>COUNTIFS('KIDS&amp;ADULTS'!$V$3:$V$12006,U28,'KIDS&amp;ADULTS'!$B$3:$B$12006,$X$3,'KIDS&amp;ADULTS'!$N$3:$N$12006,"Đã đóng học phí")</f>
        <v>0</v>
      </c>
      <c r="Y28" s="376">
        <f>COUNTIFS('KIDS&amp;ADULTS'!$V$3:$V$12006,U28,'KIDS&amp;ADULTS'!$B$3:$B$12006,$Y$3,'KIDS&amp;ADULTS'!$N$3:$N$12006,"Đã đóng học phí")</f>
        <v>0</v>
      </c>
      <c r="Z28" s="376">
        <f>COUNTIFS('KIDS&amp;ADULTS'!$V$3:$V$12006,U28,'KIDS&amp;ADULTS'!$B$3:$B$12006,$Z$3,'KIDS&amp;ADULTS'!$N$3:$N$12006,"Đã đóng học phí")</f>
        <v>0</v>
      </c>
      <c r="AA28" s="376">
        <f>COUNTIFS('KIDS&amp;ADULTS'!$V$3:$V$12006,U28,'KIDS&amp;ADULTS'!$B$3:$B$12006,$AA$3,'KIDS&amp;ADULTS'!$N$3:$N$12006,"Đã đóng học phí")</f>
        <v>0</v>
      </c>
      <c r="AB28" s="376">
        <f>COUNTIFS('KIDS&amp;ADULTS'!$V$3:$V$12006,U28,'KIDS&amp;ADULTS'!$B$3:$B$12006,$AB$3,'KIDS&amp;ADULTS'!$N$3:$N$12006,"Đã đóng học phí")</f>
        <v>0</v>
      </c>
      <c r="AC28" s="376">
        <f>COUNTIFS('KIDS&amp;ADULTS'!$V$3:$V$12006,U28,'KIDS&amp;ADULTS'!$B$3:$B$12006,$AC$3,'KIDS&amp;ADULTS'!$N$3:$N$12006,"Đã đóng học phí")</f>
        <v>0</v>
      </c>
    </row>
    <row r="29" ht="15.75" customHeight="1">
      <c r="A29" s="372">
        <v>45133.0</v>
      </c>
      <c r="B29" s="373">
        <f>sumifs('KIDS&amp;ADULTS'!$Z$3:$Z$1015,'KIDS&amp;ADULTS'!$V$3:$V$1015,A29,'KIDS&amp;ADULTS'!$M$3:$M$1015,$B$3)</f>
        <v>0</v>
      </c>
      <c r="C29" s="373">
        <f>sumifs('KIDS&amp;ADULTS'!$Z$3:$Z$1015,'KIDS&amp;ADULTS'!$V$3:$V$1015,A29,'KIDS&amp;ADULTS'!$M$3:$M$1015,"phương")</f>
        <v>0</v>
      </c>
      <c r="D29" s="373">
        <f>sumifs('KIDS&amp;ADULTS'!$Z$3:$Z$1015,'KIDS&amp;ADULTS'!$V$3:$V$1015,A29,'KIDS&amp;ADULTS'!$M$3:$M$1015,$D$3)</f>
        <v>0</v>
      </c>
      <c r="E29" s="373">
        <f>sumifs('KIDS&amp;ADULTS'!$Z$3:$Z$1015,'KIDS&amp;ADULTS'!$V$3:$V$1015,A29,'KIDS&amp;ADULTS'!$M$3:$M$1015,"Ánh")</f>
        <v>0</v>
      </c>
      <c r="F29" s="373">
        <f>sumifs('KIDS&amp;ADULTS'!$Z$3:$Z$1015,'KIDS&amp;ADULTS'!$V$3:$V$1015,A29,'KIDS&amp;ADULTS'!$M$3:$M$1015,"Loan")</f>
        <v>0</v>
      </c>
      <c r="G29" s="373">
        <f t="shared" si="1"/>
        <v>0</v>
      </c>
      <c r="J29" s="372">
        <v>45133.0</v>
      </c>
      <c r="K29" s="374">
        <f>COUNTIFS('KIDS&amp;ADULTS'!$A$3:$A$12008,J29,'KIDS&amp;ADULTS'!$B$3:$B$12008,$K$3)</f>
        <v>0</v>
      </c>
      <c r="L29" s="374">
        <f>COUNTIFS('KIDS&amp;ADULTS'!$A$3:$A$12008,J29,'KIDS&amp;ADULTS'!$B$3:$B$12008,$L$3)</f>
        <v>0</v>
      </c>
      <c r="M29" s="374">
        <f>COUNTIFS('KIDS&amp;ADULTS'!$A$3:$A$12008,K29,'KIDS&amp;ADULTS'!$B$3:$B$12008,$M$3)</f>
        <v>0</v>
      </c>
      <c r="N29" s="375">
        <f>COUNTIFS('KIDS&amp;ADULTS'!$A$3:$A$12008,J29,'KIDS&amp;ADULTS'!$B$3:$B$12008,$N$3)</f>
        <v>0</v>
      </c>
      <c r="O29" s="375">
        <f>COUNTIFS('KIDS&amp;ADULTS'!$A$3:$A$12008,J29,'KIDS&amp;ADULTS'!$B$3:$B$12008,$O$3)</f>
        <v>0</v>
      </c>
      <c r="P29" s="375">
        <f>COUNTIFS('KIDS&amp;ADULTS'!$A$3:$A$12008,J29,'KIDS&amp;ADULTS'!$B$3:$B$12008,$P$3)</f>
        <v>0</v>
      </c>
      <c r="Q29" s="375">
        <f>COUNTIFS('KIDS&amp;ADULTS'!$A$3:$A$1008,J29,'KIDS&amp;ADULTS'!$B$3:$B$1008,$Q$3)</f>
        <v>0</v>
      </c>
      <c r="R29" s="374">
        <f>COUNTIFS('KIDS&amp;ADULTS'!$A$3:$A$12008,J29,'KIDS&amp;ADULTS'!$B$3:$B$12008,$R$3)</f>
        <v>0</v>
      </c>
      <c r="U29" s="372">
        <v>45133.0</v>
      </c>
      <c r="V29" s="376">
        <f>COUNTIFS('KIDS&amp;ADULTS'!$V$3:$V$12006,U29,'KIDS&amp;ADULTS'!$B$3:$B$12006,$K$3,'KIDS&amp;ADULTS'!$N$3:$N$12006,"Đã đóng học phí")</f>
        <v>0</v>
      </c>
      <c r="W29" s="376">
        <f>COUNTIFS('KIDS&amp;ADULTS'!$V$3:$V$12006,U29,'KIDS&amp;ADULTS'!$B$3:$B12031,$W$3,'KIDS&amp;ADULTS'!$N$3:$N$12006,"Đã đóng học phí")</f>
        <v>0</v>
      </c>
      <c r="X29" s="376">
        <f>COUNTIFS('KIDS&amp;ADULTS'!$V$3:$V$12006,U29,'KIDS&amp;ADULTS'!$B$3:$B$12006,$X$3,'KIDS&amp;ADULTS'!$N$3:$N$12006,"Đã đóng học phí")</f>
        <v>0</v>
      </c>
      <c r="Y29" s="376">
        <f>COUNTIFS('KIDS&amp;ADULTS'!$V$3:$V$12006,U29,'KIDS&amp;ADULTS'!$B$3:$B$12006,$Y$3,'KIDS&amp;ADULTS'!$N$3:$N$12006,"Đã đóng học phí")</f>
        <v>0</v>
      </c>
      <c r="Z29" s="376">
        <f>COUNTIFS('KIDS&amp;ADULTS'!$V$3:$V$12006,U29,'KIDS&amp;ADULTS'!$B$3:$B$12006,$Z$3,'KIDS&amp;ADULTS'!$N$3:$N$12006,"Đã đóng học phí")</f>
        <v>0</v>
      </c>
      <c r="AA29" s="376">
        <f>COUNTIFS('KIDS&amp;ADULTS'!$V$3:$V$12006,U29,'KIDS&amp;ADULTS'!$B$3:$B$12006,$AA$3,'KIDS&amp;ADULTS'!$N$3:$N$12006,"Đã đóng học phí")</f>
        <v>0</v>
      </c>
      <c r="AB29" s="376">
        <f>COUNTIFS('KIDS&amp;ADULTS'!$V$3:$V$12006,U29,'KIDS&amp;ADULTS'!$B$3:$B$12006,$AB$3,'KIDS&amp;ADULTS'!$N$3:$N$12006,"Đã đóng học phí")</f>
        <v>0</v>
      </c>
      <c r="AC29" s="376">
        <f>COUNTIFS('KIDS&amp;ADULTS'!$V$3:$V$12006,U29,'KIDS&amp;ADULTS'!$B$3:$B$12006,$AC$3,'KIDS&amp;ADULTS'!$N$3:$N$12006,"Đã đóng học phí")</f>
        <v>0</v>
      </c>
    </row>
    <row r="30" ht="15.75" customHeight="1">
      <c r="A30" s="372">
        <v>45134.0</v>
      </c>
      <c r="B30" s="373">
        <f>sumifs('KIDS&amp;ADULTS'!$Z$3:$Z$1015,'KIDS&amp;ADULTS'!$V$3:$V$1015,A30,'KIDS&amp;ADULTS'!$M$3:$M$1015,$B$3)</f>
        <v>0</v>
      </c>
      <c r="C30" s="373">
        <f>sumifs('KIDS&amp;ADULTS'!$Z$3:$Z$1015,'KIDS&amp;ADULTS'!$V$3:$V$1015,A30,'KIDS&amp;ADULTS'!$M$3:$M$1015,"phương")</f>
        <v>0</v>
      </c>
      <c r="D30" s="373">
        <f>sumifs('KIDS&amp;ADULTS'!$Z$3:$Z$1015,'KIDS&amp;ADULTS'!$V$3:$V$1015,A30,'KIDS&amp;ADULTS'!$M$3:$M$1015,$D$3)</f>
        <v>5360000</v>
      </c>
      <c r="E30" s="373">
        <f>sumifs('KIDS&amp;ADULTS'!$Z$3:$Z$1015,'KIDS&amp;ADULTS'!$V$3:$V$1015,A30,'KIDS&amp;ADULTS'!$M$3:$M$1015,"Ánh")</f>
        <v>13235500</v>
      </c>
      <c r="F30" s="373">
        <f>sumifs('KIDS&amp;ADULTS'!$Z$3:$Z$1015,'KIDS&amp;ADULTS'!$V$3:$V$1015,A30,'KIDS&amp;ADULTS'!$M$3:$M$1015,"Loan")</f>
        <v>0</v>
      </c>
      <c r="G30" s="373">
        <f t="shared" si="1"/>
        <v>18595500</v>
      </c>
      <c r="J30" s="372">
        <v>45134.0</v>
      </c>
      <c r="K30" s="374">
        <f>COUNTIFS('KIDS&amp;ADULTS'!$A$3:$A$12008,J30,'KIDS&amp;ADULTS'!$B$3:$B$12008,$K$3)</f>
        <v>0</v>
      </c>
      <c r="L30" s="374">
        <f>COUNTIFS('KIDS&amp;ADULTS'!$A$3:$A$12008,J30,'KIDS&amp;ADULTS'!$B$3:$B$12008,$L$3)</f>
        <v>0</v>
      </c>
      <c r="M30" s="374">
        <f>COUNTIFS('KIDS&amp;ADULTS'!$A$3:$A$12008,K30,'KIDS&amp;ADULTS'!$B$3:$B$12008,$M$3)</f>
        <v>0</v>
      </c>
      <c r="N30" s="375">
        <f>COUNTIFS('KIDS&amp;ADULTS'!$A$3:$A$12008,J30,'KIDS&amp;ADULTS'!$B$3:$B$12008,$N$3)</f>
        <v>0</v>
      </c>
      <c r="O30" s="375">
        <f>COUNTIFS('KIDS&amp;ADULTS'!$A$3:$A$12008,J30,'KIDS&amp;ADULTS'!$B$3:$B$12008,$O$3)</f>
        <v>0</v>
      </c>
      <c r="P30" s="375">
        <f>COUNTIFS('KIDS&amp;ADULTS'!$A$3:$A$12008,J30,'KIDS&amp;ADULTS'!$B$3:$B$12008,$P$3)</f>
        <v>0</v>
      </c>
      <c r="Q30" s="375">
        <f>COUNTIFS('KIDS&amp;ADULTS'!$A$3:$A$1008,J30,'KIDS&amp;ADULTS'!$B$3:$B$1008,$Q$3)</f>
        <v>0</v>
      </c>
      <c r="R30" s="374">
        <f>COUNTIFS('KIDS&amp;ADULTS'!$A$3:$A$12008,J30,'KIDS&amp;ADULTS'!$B$3:$B$12008,$R$3)</f>
        <v>0</v>
      </c>
      <c r="U30" s="372">
        <v>45134.0</v>
      </c>
      <c r="V30" s="376">
        <f>COUNTIFS('KIDS&amp;ADULTS'!$V$3:$V$12006,U30,'KIDS&amp;ADULTS'!$B$3:$B$12006,$K$3,'KIDS&amp;ADULTS'!$N$3:$N$12006,"Đã đóng học phí")</f>
        <v>0</v>
      </c>
      <c r="W30" s="376">
        <f>COUNTIFS('KIDS&amp;ADULTS'!$V$3:$V$12006,U30,'KIDS&amp;ADULTS'!$B$3:$B12032,$W$3,'KIDS&amp;ADULTS'!$N$3:$N$12006,"Đã đóng học phí")</f>
        <v>0</v>
      </c>
      <c r="X30" s="376">
        <f>COUNTIFS('KIDS&amp;ADULTS'!$V$3:$V$12006,U30,'KIDS&amp;ADULTS'!$B$3:$B$12006,$X$3,'KIDS&amp;ADULTS'!$N$3:$N$12006,"Đã đóng học phí")</f>
        <v>0</v>
      </c>
      <c r="Y30" s="376">
        <f>COUNTIFS('KIDS&amp;ADULTS'!$V$3:$V$12006,U30,'KIDS&amp;ADULTS'!$B$3:$B$12006,$Y$3,'KIDS&amp;ADULTS'!$N$3:$N$12006,"Đã đóng học phí")</f>
        <v>2</v>
      </c>
      <c r="Z30" s="376">
        <f>COUNTIFS('KIDS&amp;ADULTS'!$V$3:$V$12006,U30,'KIDS&amp;ADULTS'!$B$3:$B$12006,$Z$3,'KIDS&amp;ADULTS'!$N$3:$N$12006,"Đã đóng học phí")</f>
        <v>1</v>
      </c>
      <c r="AA30" s="376">
        <f>COUNTIFS('KIDS&amp;ADULTS'!$V$3:$V$12006,U30,'KIDS&amp;ADULTS'!$B$3:$B$12006,$AA$3,'KIDS&amp;ADULTS'!$N$3:$N$12006,"Đã đóng học phí")</f>
        <v>0</v>
      </c>
      <c r="AB30" s="376">
        <f>COUNTIFS('KIDS&amp;ADULTS'!$V$3:$V$12006,U30,'KIDS&amp;ADULTS'!$B$3:$B$12006,$AB$3,'KIDS&amp;ADULTS'!$N$3:$N$12006,"Đã đóng học phí")</f>
        <v>0</v>
      </c>
      <c r="AC30" s="376">
        <f>COUNTIFS('KIDS&amp;ADULTS'!$V$3:$V$12006,U30,'KIDS&amp;ADULTS'!$B$3:$B$12006,$AC$3,'KIDS&amp;ADULTS'!$N$3:$N$12006,"Đã đóng học phí")</f>
        <v>0</v>
      </c>
    </row>
    <row r="31" ht="15.75" customHeight="1">
      <c r="A31" s="372">
        <v>45135.0</v>
      </c>
      <c r="B31" s="373">
        <f>sumifs('KIDS&amp;ADULTS'!$Z$3:$Z$1015,'KIDS&amp;ADULTS'!$V$3:$V$1015,A31,'KIDS&amp;ADULTS'!$M$3:$M$1015,$B$3)</f>
        <v>0</v>
      </c>
      <c r="C31" s="373">
        <f>sumifs('KIDS&amp;ADULTS'!$Z$3:$Z$1015,'KIDS&amp;ADULTS'!$V$3:$V$1015,A31,'KIDS&amp;ADULTS'!$M$3:$M$1015,"phương")</f>
        <v>0</v>
      </c>
      <c r="D31" s="373">
        <f>sumifs('KIDS&amp;ADULTS'!$Z$3:$Z$1015,'KIDS&amp;ADULTS'!$V$3:$V$1015,A31,'KIDS&amp;ADULTS'!$M$3:$M$1015,$D$3)</f>
        <v>5524000</v>
      </c>
      <c r="E31" s="373">
        <f>sumifs('KIDS&amp;ADULTS'!$Z$3:$Z$1015,'KIDS&amp;ADULTS'!$V$3:$V$1015,A31,'KIDS&amp;ADULTS'!$M$3:$M$1015,"Ánh")</f>
        <v>0</v>
      </c>
      <c r="F31" s="373">
        <f>sumifs('KIDS&amp;ADULTS'!$Z$3:$Z$1015,'KIDS&amp;ADULTS'!$V$3:$V$1015,A31,'KIDS&amp;ADULTS'!$M$3:$M$1015,"Loan")</f>
        <v>0</v>
      </c>
      <c r="G31" s="373">
        <f t="shared" si="1"/>
        <v>5524000</v>
      </c>
      <c r="J31" s="372">
        <v>45135.0</v>
      </c>
      <c r="K31" s="374">
        <f>COUNTIFS('KIDS&amp;ADULTS'!$A$3:$A$12008,J31,'KIDS&amp;ADULTS'!$B$3:$B$12008,$K$3)</f>
        <v>0</v>
      </c>
      <c r="L31" s="374">
        <f>COUNTIFS('KIDS&amp;ADULTS'!$A$3:$A$12008,J31,'KIDS&amp;ADULTS'!$B$3:$B$12008,$L$3)</f>
        <v>0</v>
      </c>
      <c r="M31" s="374">
        <f>COUNTIFS('KIDS&amp;ADULTS'!$A$3:$A$12008,K31,'KIDS&amp;ADULTS'!$B$3:$B$12008,$M$3)</f>
        <v>0</v>
      </c>
      <c r="N31" s="375">
        <f>COUNTIFS('KIDS&amp;ADULTS'!$A$3:$A$12008,J31,'KIDS&amp;ADULTS'!$B$3:$B$12008,$N$3)</f>
        <v>1</v>
      </c>
      <c r="O31" s="375">
        <f>COUNTIFS('KIDS&amp;ADULTS'!$A$3:$A$12008,J31,'KIDS&amp;ADULTS'!$B$3:$B$12008,$O$3)</f>
        <v>0</v>
      </c>
      <c r="P31" s="375">
        <f>COUNTIFS('KIDS&amp;ADULTS'!$A$3:$A$12008,J31,'KIDS&amp;ADULTS'!$B$3:$B$12008,$P$3)</f>
        <v>0</v>
      </c>
      <c r="Q31" s="375">
        <f>COUNTIFS('KIDS&amp;ADULTS'!$A$3:$A$1008,J31,'KIDS&amp;ADULTS'!$B$3:$B$1008,$Q$3)</f>
        <v>0</v>
      </c>
      <c r="R31" s="374">
        <f>COUNTIFS('KIDS&amp;ADULTS'!$A$3:$A$12008,J31,'KIDS&amp;ADULTS'!$B$3:$B$12008,$R$3)</f>
        <v>0</v>
      </c>
      <c r="U31" s="372">
        <v>45135.0</v>
      </c>
      <c r="V31" s="376">
        <f>COUNTIFS('KIDS&amp;ADULTS'!$V$3:$V$12006,U31,'KIDS&amp;ADULTS'!$B$3:$B$12006,$K$3,'KIDS&amp;ADULTS'!$N$3:$N$12006,"Đã đóng học phí")</f>
        <v>0</v>
      </c>
      <c r="W31" s="376">
        <f>COUNTIFS('KIDS&amp;ADULTS'!$V$3:$V$12006,U31,'KIDS&amp;ADULTS'!$B$3:$B12033,$W$3,'KIDS&amp;ADULTS'!$N$3:$N$12006,"Đã đóng học phí")</f>
        <v>0</v>
      </c>
      <c r="X31" s="376">
        <f>COUNTIFS('KIDS&amp;ADULTS'!$V$3:$V$12006,U31,'KIDS&amp;ADULTS'!$B$3:$B$12006,$X$3,'KIDS&amp;ADULTS'!$N$3:$N$12006,"Đã đóng học phí")</f>
        <v>0</v>
      </c>
      <c r="Y31" s="376">
        <f>COUNTIFS('KIDS&amp;ADULTS'!$V$3:$V$12006,U31,'KIDS&amp;ADULTS'!$B$3:$B$12006,$Y$3,'KIDS&amp;ADULTS'!$N$3:$N$12006,"Đã đóng học phí")</f>
        <v>0</v>
      </c>
      <c r="Z31" s="376">
        <f>COUNTIFS('KIDS&amp;ADULTS'!$V$3:$V$12006,U31,'KIDS&amp;ADULTS'!$B$3:$B$12006,$Z$3,'KIDS&amp;ADULTS'!$N$3:$N$12006,"Đã đóng học phí")</f>
        <v>0</v>
      </c>
      <c r="AA31" s="376">
        <f>COUNTIFS('KIDS&amp;ADULTS'!$V$3:$V$12006,U31,'KIDS&amp;ADULTS'!$B$3:$B$12006,$AA$3,'KIDS&amp;ADULTS'!$N$3:$N$12006,"Đã đóng học phí")</f>
        <v>0</v>
      </c>
      <c r="AB31" s="376">
        <f>COUNTIFS('KIDS&amp;ADULTS'!$V$3:$V$12006,U31,'KIDS&amp;ADULTS'!$B$3:$B$12006,$AB$3,'KIDS&amp;ADULTS'!$N$3:$N$12006,"Đã đóng học phí")</f>
        <v>0</v>
      </c>
      <c r="AC31" s="376">
        <f>COUNTIFS('KIDS&amp;ADULTS'!$V$3:$V$12006,U31,'KIDS&amp;ADULTS'!$B$3:$B$12006,$AC$3,'KIDS&amp;ADULTS'!$N$3:$N$12006,"Đã đóng học phí")</f>
        <v>0</v>
      </c>
    </row>
    <row r="32" ht="15.75" customHeight="1">
      <c r="A32" s="372">
        <v>45136.0</v>
      </c>
      <c r="B32" s="373">
        <f>sumifs('KIDS&amp;ADULTS'!$Z$3:$Z$1015,'KIDS&amp;ADULTS'!$V$3:$V$1015,A32,'KIDS&amp;ADULTS'!$M$3:$M$1015,$B$3)</f>
        <v>0</v>
      </c>
      <c r="C32" s="373">
        <f>sumifs('KIDS&amp;ADULTS'!$Z$3:$Z$1015,'KIDS&amp;ADULTS'!$V$3:$V$1015,A32,'KIDS&amp;ADULTS'!$M$3:$M$1015,"phương")</f>
        <v>0</v>
      </c>
      <c r="D32" s="373">
        <f>sumifs('KIDS&amp;ADULTS'!$Z$3:$Z$1015,'KIDS&amp;ADULTS'!$V$3:$V$1015,A32,'KIDS&amp;ADULTS'!$M$3:$M$1015,$D$3)</f>
        <v>3050000</v>
      </c>
      <c r="E32" s="373">
        <f>sumifs('KIDS&amp;ADULTS'!$Z$3:$Z$1015,'KIDS&amp;ADULTS'!$V$3:$V$1015,A32,'KIDS&amp;ADULTS'!$M$3:$M$1015,"Ánh")</f>
        <v>0</v>
      </c>
      <c r="F32" s="373">
        <f>sumifs('KIDS&amp;ADULTS'!$Z$3:$Z$1015,'KIDS&amp;ADULTS'!$V$3:$V$1015,A32,'KIDS&amp;ADULTS'!$M$3:$M$1015,"Loan")</f>
        <v>0</v>
      </c>
      <c r="G32" s="373">
        <f t="shared" si="1"/>
        <v>3050000</v>
      </c>
      <c r="J32" s="372">
        <v>45136.0</v>
      </c>
      <c r="K32" s="374">
        <f>COUNTIFS('KIDS&amp;ADULTS'!$A$3:$A$12008,J32,'KIDS&amp;ADULTS'!$B$3:$B$12008,$K$3)</f>
        <v>0</v>
      </c>
      <c r="L32" s="374">
        <f>COUNTIFS('KIDS&amp;ADULTS'!$A$3:$A$12008,J32,'KIDS&amp;ADULTS'!$B$3:$B$12008,$L$3)</f>
        <v>0</v>
      </c>
      <c r="M32" s="374">
        <f>COUNTIFS('KIDS&amp;ADULTS'!$A$3:$A$12008,K32,'KIDS&amp;ADULTS'!$B$3:$B$12008,$M$3)</f>
        <v>0</v>
      </c>
      <c r="N32" s="375">
        <f>COUNTIFS('KIDS&amp;ADULTS'!$A$3:$A$12008,J32,'KIDS&amp;ADULTS'!$B$3:$B$12008,$N$3)</f>
        <v>1</v>
      </c>
      <c r="O32" s="375">
        <f>COUNTIFS('KIDS&amp;ADULTS'!$A$3:$A$12008,J32,'KIDS&amp;ADULTS'!$B$3:$B$12008,$O$3)</f>
        <v>1</v>
      </c>
      <c r="P32" s="375">
        <f>COUNTIFS('KIDS&amp;ADULTS'!$A$3:$A$12008,J32,'KIDS&amp;ADULTS'!$B$3:$B$12008,$P$3)</f>
        <v>0</v>
      </c>
      <c r="Q32" s="375">
        <f>COUNTIFS('KIDS&amp;ADULTS'!$A$3:$A$1008,J32,'KIDS&amp;ADULTS'!$B$3:$B$1008,$Q$3)</f>
        <v>0</v>
      </c>
      <c r="R32" s="374">
        <f>COUNTIFS('KIDS&amp;ADULTS'!$A$3:$A$12008,J32,'KIDS&amp;ADULTS'!$B$3:$B$12008,$R$3)</f>
        <v>0</v>
      </c>
      <c r="U32" s="372">
        <v>45136.0</v>
      </c>
      <c r="V32" s="376">
        <f>COUNTIFS('KIDS&amp;ADULTS'!$V$3:$V$12006,U32,'KIDS&amp;ADULTS'!$B$3:$B$12006,$K$3,'KIDS&amp;ADULTS'!$N$3:$N$12006,"Đã đóng học phí")</f>
        <v>0</v>
      </c>
      <c r="W32" s="376">
        <f>COUNTIFS('KIDS&amp;ADULTS'!$V$3:$V$12006,U32,'KIDS&amp;ADULTS'!$B$3:$B12034,$W$3,'KIDS&amp;ADULTS'!$N$3:$N$12006,"Đã đóng học phí")</f>
        <v>0</v>
      </c>
      <c r="X32" s="376">
        <f>COUNTIFS('KIDS&amp;ADULTS'!$V$3:$V$12006,U32,'KIDS&amp;ADULTS'!$B$3:$B$12006,$X$3,'KIDS&amp;ADULTS'!$N$3:$N$12006,"Đã đóng học phí")</f>
        <v>0</v>
      </c>
      <c r="Y32" s="376">
        <f>COUNTIFS('KIDS&amp;ADULTS'!$V$3:$V$12006,U32,'KIDS&amp;ADULTS'!$B$3:$B$12006,$Y$3,'KIDS&amp;ADULTS'!$N$3:$N$12006,"Đã đóng học phí")</f>
        <v>0</v>
      </c>
      <c r="Z32" s="376">
        <f>COUNTIFS('KIDS&amp;ADULTS'!$V$3:$V$12006,U32,'KIDS&amp;ADULTS'!$B$3:$B$12006,$Z$3,'KIDS&amp;ADULTS'!$N$3:$N$12006,"Đã đóng học phí")</f>
        <v>0</v>
      </c>
      <c r="AA32" s="376">
        <f>COUNTIFS('KIDS&amp;ADULTS'!$V$3:$V$12006,U32,'KIDS&amp;ADULTS'!$B$3:$B$12006,$AA$3,'KIDS&amp;ADULTS'!$N$3:$N$12006,"Đã đóng học phí")</f>
        <v>0</v>
      </c>
      <c r="AB32" s="376">
        <f>COUNTIFS('KIDS&amp;ADULTS'!$V$3:$V$12006,U32,'KIDS&amp;ADULTS'!$B$3:$B$12006,$AB$3,'KIDS&amp;ADULTS'!$N$3:$N$12006,"Đã đóng học phí")</f>
        <v>0</v>
      </c>
      <c r="AC32" s="376">
        <f>COUNTIFS('KIDS&amp;ADULTS'!$V$3:$V$12006,U32,'KIDS&amp;ADULTS'!$B$3:$B$12006,$AC$3,'KIDS&amp;ADULTS'!$N$3:$N$12006,"Đã đóng học phí")</f>
        <v>0</v>
      </c>
    </row>
    <row r="33" ht="15.75" customHeight="1">
      <c r="A33" s="372">
        <v>45137.0</v>
      </c>
      <c r="B33" s="373">
        <f>sumifs('KIDS&amp;ADULTS'!$Z$3:$Z$1015,'KIDS&amp;ADULTS'!$V$3:$V$1015,A33,'KIDS&amp;ADULTS'!$M$3:$M$1015,$B$3)</f>
        <v>0</v>
      </c>
      <c r="C33" s="373">
        <f>sumifs('KIDS&amp;ADULTS'!$Z$3:$Z$1015,'KIDS&amp;ADULTS'!$V$3:$V$1015,A33,'KIDS&amp;ADULTS'!$M$3:$M$1015,"phương")</f>
        <v>0</v>
      </c>
      <c r="D33" s="373">
        <f>sumifs('KIDS&amp;ADULTS'!$Z$3:$Z$1015,'KIDS&amp;ADULTS'!$V$3:$V$1015,A33,'KIDS&amp;ADULTS'!$M$3:$M$1015,$D$3)</f>
        <v>0</v>
      </c>
      <c r="E33" s="373">
        <f>sumifs('KIDS&amp;ADULTS'!$Z$3:$Z$1015,'KIDS&amp;ADULTS'!$V$3:$V$1015,A33,'KIDS&amp;ADULTS'!$M$3:$M$1015,"Ánh")</f>
        <v>0</v>
      </c>
      <c r="F33" s="373">
        <f>sumifs('KIDS&amp;ADULTS'!$Z$3:$Z$1015,'KIDS&amp;ADULTS'!$V$3:$V$1015,A33,'KIDS&amp;ADULTS'!$M$3:$M$1015,"Loan")</f>
        <v>0</v>
      </c>
      <c r="G33" s="373">
        <f t="shared" si="1"/>
        <v>0</v>
      </c>
      <c r="J33" s="372">
        <v>45137.0</v>
      </c>
      <c r="K33" s="374">
        <f>COUNTIFS('KIDS&amp;ADULTS'!$A$3:$A$12008,J33,'KIDS&amp;ADULTS'!$B$3:$B$12008,$K$3)</f>
        <v>0</v>
      </c>
      <c r="L33" s="374">
        <f>COUNTIFS('KIDS&amp;ADULTS'!$A$3:$A$12008,J33,'KIDS&amp;ADULTS'!$B$3:$B$12008,$L$3)</f>
        <v>0</v>
      </c>
      <c r="M33" s="374">
        <f>COUNTIFS('KIDS&amp;ADULTS'!$A$3:$A$12008,K33,'KIDS&amp;ADULTS'!$B$3:$B$12008,$M$3)</f>
        <v>0</v>
      </c>
      <c r="N33" s="375">
        <f>COUNTIFS('KIDS&amp;ADULTS'!$A$3:$A$12008,J33,'KIDS&amp;ADULTS'!$B$3:$B$12008,$N$3)</f>
        <v>0</v>
      </c>
      <c r="O33" s="375">
        <f>COUNTIFS('KIDS&amp;ADULTS'!$A$3:$A$280,J33,'KIDS&amp;ADULTS'!$B$3:$B$280,$O$3)</f>
        <v>0</v>
      </c>
      <c r="P33" s="375">
        <f>COUNTIFS('KIDS&amp;ADULTS'!$A$3:$A$12008,J33,'KIDS&amp;ADULTS'!$B$3:$B$12008,$P$3)</f>
        <v>0</v>
      </c>
      <c r="Q33" s="375">
        <f>COUNTIFS('KIDS&amp;ADULTS'!$A$3:$A$1008,J33,'KIDS&amp;ADULTS'!$B$3:$B$1008,$Q$3)</f>
        <v>0</v>
      </c>
      <c r="R33" s="374">
        <f>COUNTIFS('KIDS&amp;ADULTS'!$A$3:$A$12008,J33,'KIDS&amp;ADULTS'!$B$3:$B$12008,$R$3)</f>
        <v>0</v>
      </c>
      <c r="U33" s="372">
        <v>45137.0</v>
      </c>
      <c r="V33" s="376">
        <f>COUNTIFS('KIDS&amp;ADULTS'!$V$3:$V$12006,U33,'KIDS&amp;ADULTS'!$B$3:$B$12006,$K$3,'KIDS&amp;ADULTS'!$N$3:$N$12006,"Đã đóng học phí")</f>
        <v>0</v>
      </c>
      <c r="W33" s="376">
        <f>COUNTIFS('KIDS&amp;ADULTS'!$V$3:$V$12006,U33,'KIDS&amp;ADULTS'!$B$3:$B12035,$W$3,'KIDS&amp;ADULTS'!$N$3:$N$12006,"Đã đóng học phí")</f>
        <v>0</v>
      </c>
      <c r="X33" s="376">
        <f>COUNTIFS('KIDS&amp;ADULTS'!$V$3:$V$12006,U33,'KIDS&amp;ADULTS'!$B$3:$B$12006,$X$3,'KIDS&amp;ADULTS'!$N$3:$N$12006,"Đã đóng học phí")</f>
        <v>0</v>
      </c>
      <c r="Y33" s="376">
        <f>COUNTIFS('KIDS&amp;ADULTS'!$V$3:$V$12006,U33,'KIDS&amp;ADULTS'!$B$3:$B$12006,$Y$3,'KIDS&amp;ADULTS'!$N$3:$N$12006,"Đã đóng học phí")</f>
        <v>0</v>
      </c>
      <c r="Z33" s="376">
        <f>COUNTIFS('KIDS&amp;ADULTS'!$V$3:$V$12006,U33,'KIDS&amp;ADULTS'!$B$3:$B$12006,$Z$3,'KIDS&amp;ADULTS'!$N$3:$N$12006,"Đã đóng học phí")</f>
        <v>0</v>
      </c>
      <c r="AA33" s="376">
        <f>COUNTIFS('KIDS&amp;ADULTS'!$V$3:$V$12006,U33,'KIDS&amp;ADULTS'!$B$3:$B$12006,$AA$3,'KIDS&amp;ADULTS'!$N$3:$N$12006,"Đã đóng học phí")</f>
        <v>0</v>
      </c>
      <c r="AB33" s="376">
        <f>COUNTIFS('KIDS&amp;ADULTS'!$V$3:$V$12006,U33,'KIDS&amp;ADULTS'!$B$3:$B$12006,$AB$3,'KIDS&amp;ADULTS'!$N$3:$N$12006,"Đã đóng học phí")</f>
        <v>0</v>
      </c>
      <c r="AC33" s="376">
        <f>COUNTIFS('KIDS&amp;ADULTS'!$V$3:$V$12006,U33,'KIDS&amp;ADULTS'!$B$3:$B$12006,$AC$3,'KIDS&amp;ADULTS'!$N$3:$N$12006,"Đã đóng học phí")</f>
        <v>0</v>
      </c>
    </row>
    <row r="34" ht="15.75" customHeight="1">
      <c r="B34" s="386">
        <f t="shared" ref="B34:C34" si="4">sum(B4:B33)</f>
        <v>0</v>
      </c>
      <c r="C34" s="386">
        <f t="shared" si="4"/>
        <v>0</v>
      </c>
      <c r="D34" s="386">
        <f>SUM(D2:D33)</f>
        <v>93523260</v>
      </c>
      <c r="E34" s="386">
        <f t="shared" ref="E34:F34" si="5">sum(E4:E33)</f>
        <v>84305510</v>
      </c>
      <c r="F34" s="386">
        <f t="shared" si="5"/>
        <v>0</v>
      </c>
      <c r="H34" s="387">
        <f>sum(G4:G33)</f>
        <v>177828770</v>
      </c>
      <c r="J34" s="388" t="s">
        <v>4622</v>
      </c>
      <c r="K34" s="417">
        <f t="shared" ref="K34:O34" si="6">SUM(K4:K33)</f>
        <v>0</v>
      </c>
      <c r="L34" s="418">
        <f t="shared" si="6"/>
        <v>0</v>
      </c>
      <c r="M34" s="419">
        <f t="shared" si="6"/>
        <v>0</v>
      </c>
      <c r="N34" s="377">
        <f t="shared" si="6"/>
        <v>25</v>
      </c>
      <c r="O34" s="379">
        <f t="shared" si="6"/>
        <v>8</v>
      </c>
      <c r="P34" s="380">
        <f>SUM(P2:P33)</f>
        <v>8</v>
      </c>
      <c r="Q34" s="380">
        <f t="shared" ref="Q34:R34" si="7">SUM(Q4:Q33)</f>
        <v>32</v>
      </c>
      <c r="R34" s="389">
        <f t="shared" si="7"/>
        <v>86</v>
      </c>
      <c r="S34" s="390">
        <f>SUM(K34:R35)</f>
        <v>159</v>
      </c>
      <c r="U34" s="388" t="s">
        <v>4622</v>
      </c>
      <c r="V34" s="366">
        <f t="shared" ref="V34:Z34" si="8">SUM(V4:V33)</f>
        <v>-1</v>
      </c>
      <c r="W34" s="367">
        <f t="shared" si="8"/>
        <v>0</v>
      </c>
      <c r="X34" s="377">
        <f t="shared" si="8"/>
        <v>1</v>
      </c>
      <c r="Y34" s="377">
        <f t="shared" si="8"/>
        <v>13</v>
      </c>
      <c r="Z34" s="379">
        <f t="shared" si="8"/>
        <v>5</v>
      </c>
      <c r="AA34" s="380">
        <f t="shared" ref="AA34:AB34" si="9">SUM(AA2:AA33)</f>
        <v>4</v>
      </c>
      <c r="AB34" s="380">
        <f t="shared" si="9"/>
        <v>3</v>
      </c>
      <c r="AC34" s="380">
        <f>SUM(AC4:AC33)</f>
        <v>0</v>
      </c>
      <c r="AD34" s="391">
        <f>SUM(V34:AC34)</f>
        <v>25</v>
      </c>
    </row>
    <row r="35" ht="15.75" customHeight="1">
      <c r="F35" s="392"/>
    </row>
    <row r="36" ht="15.75" customHeight="1"/>
    <row r="37" ht="15.75" customHeight="1">
      <c r="I37" s="383" t="s">
        <v>3683</v>
      </c>
      <c r="J37" s="396" t="s">
        <v>4726</v>
      </c>
      <c r="K37" s="397">
        <f>COUNTIFS('KIDS&amp;ADULTS'!V:V,"&gt;"&amp;"30-6-2023",'KIDS&amp;ADULTS'!V:V,"&lt;"&amp;"1-8-2023")-3</f>
        <v>37</v>
      </c>
      <c r="M37" s="383">
        <f>K37/S34</f>
        <v>0.2327044025</v>
      </c>
      <c r="U37" s="358" t="s">
        <v>4626</v>
      </c>
    </row>
    <row r="38" ht="15.75" customHeight="1">
      <c r="G38" s="386"/>
      <c r="U38" s="361" t="s">
        <v>4613</v>
      </c>
      <c r="V38" s="363" t="s">
        <v>4616</v>
      </c>
      <c r="W38" s="235"/>
      <c r="X38" s="235"/>
      <c r="Y38" s="235"/>
      <c r="Z38" s="235"/>
      <c r="AA38" s="235"/>
      <c r="AB38" s="235"/>
      <c r="AC38" s="236"/>
    </row>
    <row r="39" ht="15.75" customHeight="1">
      <c r="G39" s="386"/>
      <c r="U39" s="11"/>
      <c r="V39" s="366" t="s">
        <v>4620</v>
      </c>
      <c r="W39" s="367" t="s">
        <v>4621</v>
      </c>
      <c r="X39" s="368" t="s">
        <v>73</v>
      </c>
      <c r="Y39" s="369" t="s">
        <v>201</v>
      </c>
      <c r="Z39" s="370" t="s">
        <v>84</v>
      </c>
      <c r="AA39" s="371" t="s">
        <v>60</v>
      </c>
      <c r="AB39" s="371" t="s">
        <v>539</v>
      </c>
      <c r="AC39" s="371" t="s">
        <v>703</v>
      </c>
    </row>
    <row r="40" ht="15.75" customHeight="1">
      <c r="H40" s="123"/>
      <c r="U40" s="372">
        <v>45108.0</v>
      </c>
      <c r="V40" s="398">
        <f>SUMIFS('KIDS&amp;ADULTS'!$Z$3:$Z$12006,'KIDS&amp;ADULTS'!V$3:V$12006,U40,'KIDS&amp;ADULTS'!$B$3:$B$12006,$K$3,'KIDS&amp;ADULTS'!$N$3:$N$12006,"Đã đóng học phí")</f>
        <v>0</v>
      </c>
      <c r="W40" s="398">
        <f>SUMIFS('KIDS&amp;ADULTS'!$Z$3:$Z$12006,'KIDS&amp;ADULTS'!$V$3:$V$12006,U40,'KIDS&amp;ADULTS'!$B$3:$B$12006,$W$3,'KIDS&amp;ADULTS'!$N$3:$N$12006,"Đã đóng học phí")</f>
        <v>0</v>
      </c>
      <c r="X40" s="398">
        <f>SUMIFS('KIDS&amp;ADULTS'!$Z$3:$Z$12006,'KIDS&amp;ADULTS'!$V$3:$V$12006,U40,'KIDS&amp;ADULTS'!$B$3:$B$12006,$X$3,'KIDS&amp;ADULTS'!$N$3:$N$12006,"Đã đóng học phí")</f>
        <v>0</v>
      </c>
      <c r="Y40" s="398">
        <f>SUMIFS('KIDS&amp;ADULTS'!$Z$3:$Z$12006,'KIDS&amp;ADULTS'!$V$3:$V$12006,U40,'KIDS&amp;ADULTS'!$B$3:$B$12006,$Y$3,'KIDS&amp;ADULTS'!$N$3:$N$12006,"Đã đóng học phí")</f>
        <v>0</v>
      </c>
      <c r="Z40" s="398">
        <f>SUMIFS('KIDS&amp;ADULTS'!$Z$3:$Z$12006,'KIDS&amp;ADULTS'!$V$3:$V$12006,U40,'KIDS&amp;ADULTS'!$B$3:$B$12006,$Z$3,'KIDS&amp;ADULTS'!$N$3:$N$12006,"Đã đóng học phí")</f>
        <v>2908900</v>
      </c>
      <c r="AA40" s="398">
        <f>SUMIFS('KIDS&amp;ADULTS'!$Z$3:$Z$12006,'KIDS&amp;ADULTS'!$V$3:$V$12006,U40,'KIDS&amp;ADULTS'!$B$3:$B$12006,$AA$3,'KIDS&amp;ADULTS'!$N$3:$N$12006,"Đã đóng học phí")</f>
        <v>0</v>
      </c>
      <c r="AB40" s="398">
        <f>SUMIFS('KIDS&amp;ADULTS'!$Z$3:$Z$12006,'KIDS&amp;ADULTS'!$V$3:$V$12006,U40,'KIDS&amp;ADULTS'!$B$3:$B$12006,$AB$3,'KIDS&amp;ADULTS'!$N$3:$N$12006,"Đã đóng học phí")</f>
        <v>0</v>
      </c>
      <c r="AC40" s="398">
        <f>SUMIFS('KIDS&amp;ADULTS'!$Z$3:$Z$12006,'KIDS&amp;ADULTS'!$V$3:$V$12006,U40,'KIDS&amp;ADULTS'!$B$3:$B$12006,$AC$3,'KIDS&amp;ADULTS'!$N$3:$N$12006,"Đã đóng học phí")</f>
        <v>0</v>
      </c>
      <c r="AD40" s="398">
        <f t="shared" ref="AD40:AD70" si="10">SUM(V40:AC40)</f>
        <v>2908900</v>
      </c>
      <c r="AE40" s="386">
        <v>2908900.0</v>
      </c>
    </row>
    <row r="41" ht="15.75" customHeight="1">
      <c r="U41" s="372">
        <v>45109.0</v>
      </c>
      <c r="V41" s="398">
        <f>SUMIFS('KIDS&amp;ADULTS'!$Z$3:$Z$12006,'KIDS&amp;ADULTS'!V$3:V$12006,U41,'KIDS&amp;ADULTS'!$B$3:$B$12006,$K$3,'KIDS&amp;ADULTS'!$N$3:$N$12006,"Đã đóng học phí")</f>
        <v>0</v>
      </c>
      <c r="W41" s="398">
        <f>SUMIFS('KIDS&amp;ADULTS'!$Z$3:$Z$12006,'KIDS&amp;ADULTS'!$V$3:$V$12006,U41,'KIDS&amp;ADULTS'!$B$3:$B$12006,$W$3,'KIDS&amp;ADULTS'!$N$3:$N$12006,"Đã đóng học phí")</f>
        <v>0</v>
      </c>
      <c r="X41" s="398">
        <f>SUMIFS('KIDS&amp;ADULTS'!$Z$3:$Z$12006,'KIDS&amp;ADULTS'!$V$3:$V$12006,U41,'KIDS&amp;ADULTS'!$B$3:$B$12006,$X$3,'KIDS&amp;ADULTS'!$N$3:$N$12006,"Đã đóng học phí")</f>
        <v>0</v>
      </c>
      <c r="Y41" s="398">
        <f>SUMIFS('KIDS&amp;ADULTS'!$Z$3:$Z$12006,'KIDS&amp;ADULTS'!$V$3:$V$12006,U41,'KIDS&amp;ADULTS'!$B$3:$B$12006,$Y$3,'KIDS&amp;ADULTS'!$N$3:$N$12006,"Đã đóng học phí")</f>
        <v>0</v>
      </c>
      <c r="Z41" s="398">
        <f>SUMIFS('KIDS&amp;ADULTS'!$Z$3:$Z$12006,'KIDS&amp;ADULTS'!$V$3:$V$12006,U41,'KIDS&amp;ADULTS'!$B$3:$B$12006,$Z$3,'KIDS&amp;ADULTS'!$N$3:$N$12006,"Đã đóng học phí")</f>
        <v>0</v>
      </c>
      <c r="AA41" s="398">
        <f>SUMIFS('KIDS&amp;ADULTS'!$Z$3:$Z$12006,'KIDS&amp;ADULTS'!$V$3:$V$12006,U41,'KIDS&amp;ADULTS'!$B$3:$B$12006,$AA$3,'KIDS&amp;ADULTS'!$N$3:$N$12006,"Đã đóng học phí")</f>
        <v>0</v>
      </c>
      <c r="AB41" s="398">
        <f>SUMIFS('KIDS&amp;ADULTS'!$Z$3:$Z$12006,'KIDS&amp;ADULTS'!$V$3:$V$12006,U41,'KIDS&amp;ADULTS'!$B$3:$B$12006,$AB$3,'KIDS&amp;ADULTS'!$N$3:$N$12006,"Đã đóng học phí")</f>
        <v>0</v>
      </c>
      <c r="AC41" s="398">
        <f>SUMIFS('KIDS&amp;ADULTS'!$Z$3:$Z$12006,'KIDS&amp;ADULTS'!$V$3:$V$12006,U41,'KIDS&amp;ADULTS'!$B$3:$B$12006,$AC$3,'KIDS&amp;ADULTS'!$N$3:$N$12006,"Đã đóng học phí")</f>
        <v>0</v>
      </c>
      <c r="AD41" s="398">
        <f t="shared" si="10"/>
        <v>0</v>
      </c>
      <c r="AE41" s="386">
        <v>0.0</v>
      </c>
    </row>
    <row r="42" ht="15.75" customHeight="1">
      <c r="U42" s="372">
        <v>45110.0</v>
      </c>
      <c r="V42" s="398">
        <f>SUMIFS('KIDS&amp;ADULTS'!$Z$3:$Z$12006,'KIDS&amp;ADULTS'!V$3:V$12006,U42,'KIDS&amp;ADULTS'!$B$3:$B$12006,$K$3,'KIDS&amp;ADULTS'!$N$3:$N$12006,"Đã đóng học phí")</f>
        <v>0</v>
      </c>
      <c r="W42" s="398">
        <f>SUMIFS('KIDS&amp;ADULTS'!$Z$3:$Z$12006,'KIDS&amp;ADULTS'!$V$3:$V$12006,U42,'KIDS&amp;ADULTS'!$B$3:$B$12006,$W$3,'KIDS&amp;ADULTS'!$N$3:$N$12006,"Đã đóng học phí")</f>
        <v>0</v>
      </c>
      <c r="X42" s="398">
        <f>SUMIFS('KIDS&amp;ADULTS'!$Z$3:$Z$12006,'KIDS&amp;ADULTS'!$V$3:$V$12006,U42,'KIDS&amp;ADULTS'!$B$3:$B$12006,$X$3,'KIDS&amp;ADULTS'!$N$3:$N$12006,"Đã đóng học phí")</f>
        <v>0</v>
      </c>
      <c r="Y42" s="398">
        <f>SUMIFS('KIDS&amp;ADULTS'!$Z$3:$Z$12006,'KIDS&amp;ADULTS'!$V$3:$V$12006,U42,'KIDS&amp;ADULTS'!$B$3:$B$12006,$Y$3,'KIDS&amp;ADULTS'!$N$3:$N$12006,"Đã đóng học phí")</f>
        <v>4157000</v>
      </c>
      <c r="Z42" s="398">
        <f>SUMIFS('KIDS&amp;ADULTS'!$Z$3:$Z$12006,'KIDS&amp;ADULTS'!$V$3:$V$12006,U42,'KIDS&amp;ADULTS'!$B$3:$B$12006,$Z$3,'KIDS&amp;ADULTS'!$N$3:$N$12006,"Đã đóng học phí")</f>
        <v>0</v>
      </c>
      <c r="AA42" s="398">
        <f>SUMIFS('KIDS&amp;ADULTS'!$Z$3:$Z$12006,'KIDS&amp;ADULTS'!$V$3:$V$12006,U42,'KIDS&amp;ADULTS'!$B$3:$B$12006,$AA$3,'KIDS&amp;ADULTS'!$N$3:$N$12006,"Đã đóng học phí")</f>
        <v>0</v>
      </c>
      <c r="AB42" s="398">
        <f>SUMIFS('KIDS&amp;ADULTS'!$Z$3:$Z$12006,'KIDS&amp;ADULTS'!$V$3:$V$12006,U42,'KIDS&amp;ADULTS'!$B$3:$B$12006,$AB$3,'KIDS&amp;ADULTS'!$N$3:$N$12006,"Đã đóng học phí")</f>
        <v>0</v>
      </c>
      <c r="AC42" s="398">
        <f>SUMIFS('KIDS&amp;ADULTS'!$Z$3:$Z$12006,'KIDS&amp;ADULTS'!$V$3:$V$12006,U42,'KIDS&amp;ADULTS'!$B$3:$B$12006,$AC$3,'KIDS&amp;ADULTS'!$N$3:$N$12006,"Đã đóng học phí")</f>
        <v>0</v>
      </c>
      <c r="AD42" s="398">
        <f t="shared" si="10"/>
        <v>4157000</v>
      </c>
      <c r="AE42" s="386">
        <v>4157000.0</v>
      </c>
    </row>
    <row r="43" ht="15.75" customHeight="1">
      <c r="U43" s="372">
        <v>45111.0</v>
      </c>
      <c r="V43" s="398">
        <f>SUMIFS('KIDS&amp;ADULTS'!$Z$3:$Z$12006,'KIDS&amp;ADULTS'!V$3:V$12006,U43,'KIDS&amp;ADULTS'!$B$3:$B$12006,$K$3,'KIDS&amp;ADULTS'!$N$3:$N$12006,"Đã đóng học phí")</f>
        <v>0</v>
      </c>
      <c r="W43" s="398">
        <f>SUMIFS('KIDS&amp;ADULTS'!$Z$3:$Z$12006,'KIDS&amp;ADULTS'!$V$3:$V$12006,U43,'KIDS&amp;ADULTS'!$B$3:$B$12006,$W$3,'KIDS&amp;ADULTS'!$N$3:$N$12006,"Đã đóng học phí")</f>
        <v>0</v>
      </c>
      <c r="X43" s="398">
        <f>SUMIFS('KIDS&amp;ADULTS'!$Z$3:$Z$12006,'KIDS&amp;ADULTS'!$V$3:$V$12006,U43,'KIDS&amp;ADULTS'!$B$3:$B$12006,$X$3,'KIDS&amp;ADULTS'!$N$3:$N$12006,"Đã đóng học phí")</f>
        <v>5022000</v>
      </c>
      <c r="Y43" s="398">
        <f>SUMIFS('KIDS&amp;ADULTS'!$Z$3:$Z$12006,'KIDS&amp;ADULTS'!$V$3:$V$12006,U43,'KIDS&amp;ADULTS'!$B$3:$B$12006,$Y$3,'KIDS&amp;ADULTS'!$N$3:$N$12006,"Đã đóng học phí")</f>
        <v>2908900</v>
      </c>
      <c r="Z43" s="398">
        <f>SUMIFS('KIDS&amp;ADULTS'!$Z$3:$Z$12006,'KIDS&amp;ADULTS'!$V$3:$V$12006,U43,'KIDS&amp;ADULTS'!$B$3:$B$12006,$Z$3,'KIDS&amp;ADULTS'!$N$3:$N$12006,"Đã đóng học phí")</f>
        <v>7437500</v>
      </c>
      <c r="AA43" s="398">
        <f>SUMIFS('KIDS&amp;ADULTS'!$Z$3:$Z$12006,'KIDS&amp;ADULTS'!$V$3:$V$12006,U43,'KIDS&amp;ADULTS'!$B$3:$B$12006,$AA$3,'KIDS&amp;ADULTS'!$N$3:$N$12006,"Đã đóng học phí")</f>
        <v>0</v>
      </c>
      <c r="AB43" s="398">
        <f>SUMIFS('KIDS&amp;ADULTS'!$Z$3:$Z$12006,'KIDS&amp;ADULTS'!$V$3:$V$12006,U43,'KIDS&amp;ADULTS'!$B$3:$B$12006,$AB$3,'KIDS&amp;ADULTS'!$N$3:$N$12006,"Đã đóng học phí")</f>
        <v>0</v>
      </c>
      <c r="AC43" s="398">
        <f>SUMIFS('KIDS&amp;ADULTS'!$Z$3:$Z$12006,'KIDS&amp;ADULTS'!$V$3:$V$12006,U43,'KIDS&amp;ADULTS'!$B$3:$B$12006,$AC$3,'KIDS&amp;ADULTS'!$N$3:$N$12006,"Đã đóng học phí")</f>
        <v>0</v>
      </c>
      <c r="AD43" s="398">
        <f t="shared" si="10"/>
        <v>15368400</v>
      </c>
      <c r="AE43" s="386">
        <v>1.53684E7</v>
      </c>
    </row>
    <row r="44" ht="15.75" customHeight="1">
      <c r="K44" s="386"/>
      <c r="U44" s="372">
        <v>45112.0</v>
      </c>
      <c r="V44" s="398">
        <f>SUMIFS('KIDS&amp;ADULTS'!$Z$3:$Z$12006,'KIDS&amp;ADULTS'!V$3:V$12006,U44,'KIDS&amp;ADULTS'!$B$3:$B$12006,$K$3,'KIDS&amp;ADULTS'!$N$3:$N$12006,"Đã đóng học phí")</f>
        <v>0</v>
      </c>
      <c r="W44" s="398">
        <f>SUMIFS('KIDS&amp;ADULTS'!$Z$3:$Z$12006,'KIDS&amp;ADULTS'!$V$3:$V$12006,U44,'KIDS&amp;ADULTS'!$B$3:$B$12006,$W$3,'KIDS&amp;ADULTS'!$N$3:$N$12006,"Đã đóng học phí")</f>
        <v>0</v>
      </c>
      <c r="X44" s="398">
        <f>SUMIFS('KIDS&amp;ADULTS'!$Z$3:$Z$12006,'KIDS&amp;ADULTS'!$V$3:$V$12006,U44,'KIDS&amp;ADULTS'!$B$3:$B$12006,$X$3,'KIDS&amp;ADULTS'!$N$3:$N$12006,"Đã đóng học phí")</f>
        <v>0</v>
      </c>
      <c r="Y44" s="398">
        <f>SUMIFS('KIDS&amp;ADULTS'!$Z$3:$Z$12006,'KIDS&amp;ADULTS'!$V$3:$V$12006,U44,'KIDS&amp;ADULTS'!$B$3:$B$12006,$Y$3,'KIDS&amp;ADULTS'!$N$3:$N$12006,"Đã đóng học phí")</f>
        <v>2296500</v>
      </c>
      <c r="Z44" s="398">
        <f>SUMIFS('KIDS&amp;ADULTS'!$Z$3:$Z$12006,'KIDS&amp;ADULTS'!$V$3:$V$12006,U44,'KIDS&amp;ADULTS'!$B$3:$B$12006,$Z$3,'KIDS&amp;ADULTS'!$N$3:$N$12006,"Đã đóng học phí")</f>
        <v>0</v>
      </c>
      <c r="AA44" s="398">
        <f>SUMIFS('KIDS&amp;ADULTS'!$Z$3:$Z$12006,'KIDS&amp;ADULTS'!$V$3:$V$12006,U44,'KIDS&amp;ADULTS'!$B$3:$B$12006,$AA$3,'KIDS&amp;ADULTS'!$N$3:$N$12006,"Đã đóng học phí")</f>
        <v>0</v>
      </c>
      <c r="AB44" s="398">
        <f>SUMIFS('KIDS&amp;ADULTS'!$Z$3:$Z$12006,'KIDS&amp;ADULTS'!$V$3:$V$12006,U44,'KIDS&amp;ADULTS'!$B$3:$B$12006,$AB$3,'KIDS&amp;ADULTS'!$N$3:$N$12006,"Đã đóng học phí")</f>
        <v>0</v>
      </c>
      <c r="AC44" s="398">
        <f>SUMIFS('KIDS&amp;ADULTS'!$Z$3:$Z$12006,'KIDS&amp;ADULTS'!$V$3:$V$12006,U44,'KIDS&amp;ADULTS'!$B$3:$B$12006,$AC$3,'KIDS&amp;ADULTS'!$N$3:$N$12006,"Đã đóng học phí")</f>
        <v>0</v>
      </c>
      <c r="AD44" s="398">
        <f t="shared" si="10"/>
        <v>2296500</v>
      </c>
      <c r="AE44" s="386">
        <v>5577750.0</v>
      </c>
    </row>
    <row r="45" ht="15.75" customHeight="1">
      <c r="K45" s="386"/>
      <c r="U45" s="372">
        <v>45113.0</v>
      </c>
      <c r="V45" s="398">
        <f>SUMIFS('KIDS&amp;ADULTS'!$Z$3:$Z$12006,'KIDS&amp;ADULTS'!V$3:V$12006,U45,'KIDS&amp;ADULTS'!$B$3:$B$12006,$K$3,'KIDS&amp;ADULTS'!$N$3:$N$12006,"Đã đóng học phí")</f>
        <v>0</v>
      </c>
      <c r="W45" s="398">
        <f>SUMIFS('KIDS&amp;ADULTS'!$Z$3:$Z$12006,'KIDS&amp;ADULTS'!$V$3:$V$12006,U45,'KIDS&amp;ADULTS'!$B$3:$B$12006,$W$3,'KIDS&amp;ADULTS'!$N$3:$N$12006,"Đã đóng học phí")</f>
        <v>0</v>
      </c>
      <c r="X45" s="398">
        <f>SUMIFS('KIDS&amp;ADULTS'!$Z$3:$Z$12006,'KIDS&amp;ADULTS'!$V$3:$V$12006,U45,'KIDS&amp;ADULTS'!$B$3:$B$12006,$X$3,'KIDS&amp;ADULTS'!$N$3:$N$12006,"Đã đóng học phí")</f>
        <v>0</v>
      </c>
      <c r="Y45" s="398">
        <f>SUMIFS('KIDS&amp;ADULTS'!$Z$3:$Z$12006,'KIDS&amp;ADULTS'!$V$3:$V$12006,U45,'KIDS&amp;ADULTS'!$B$3:$B$12006,$Y$3,'KIDS&amp;ADULTS'!$N$3:$N$12006,"Đã đóng học phí")</f>
        <v>0</v>
      </c>
      <c r="Z45" s="398">
        <f>SUMIFS('KIDS&amp;ADULTS'!$Z$3:$Z$12006,'KIDS&amp;ADULTS'!$V$3:$V$12006,U45,'KIDS&amp;ADULTS'!$B$3:$B$12006,$Z$3,'KIDS&amp;ADULTS'!$N$3:$N$12006,"Đã đóng học phí")</f>
        <v>0</v>
      </c>
      <c r="AA45" s="398">
        <f>SUMIFS('KIDS&amp;ADULTS'!$Z$3:$Z$12006,'KIDS&amp;ADULTS'!$V$3:$V$12006,U45,'KIDS&amp;ADULTS'!$B$3:$B$12006,$AA$3,'KIDS&amp;ADULTS'!$N$3:$N$12006,"Đã đóng học phí")</f>
        <v>0</v>
      </c>
      <c r="AB45" s="398">
        <f>SUMIFS('KIDS&amp;ADULTS'!$Z$3:$Z$12006,'KIDS&amp;ADULTS'!$V$3:$V$12006,U45,'KIDS&amp;ADULTS'!$B$3:$B$12006,$AB$3,'KIDS&amp;ADULTS'!$N$3:$N$12006,"Đã đóng học phí")</f>
        <v>0</v>
      </c>
      <c r="AC45" s="398">
        <f>SUMIFS('KIDS&amp;ADULTS'!$Z$3:$Z$12006,'KIDS&amp;ADULTS'!$V$3:$V$12006,U45,'KIDS&amp;ADULTS'!$B$3:$B$12006,$AC$3,'KIDS&amp;ADULTS'!$N$3:$N$12006,"Đã đóng học phí")</f>
        <v>0</v>
      </c>
      <c r="AD45" s="398">
        <f t="shared" si="10"/>
        <v>0</v>
      </c>
      <c r="AE45" s="386">
        <v>0.0</v>
      </c>
    </row>
    <row r="46" ht="15.75" customHeight="1">
      <c r="U46" s="372">
        <v>45114.0</v>
      </c>
      <c r="V46" s="398">
        <f>SUMIFS('KIDS&amp;ADULTS'!$Z$3:$Z$12006,'KIDS&amp;ADULTS'!V$3:V$12006,U46,'KIDS&amp;ADULTS'!$B$3:$B$12006,$K$3,'KIDS&amp;ADULTS'!$N$3:$N$12006,"Đã đóng học phí")</f>
        <v>0</v>
      </c>
      <c r="W46" s="398">
        <f>SUMIFS('KIDS&amp;ADULTS'!$Z$3:$Z$12006,'KIDS&amp;ADULTS'!$V$3:$V$12006,U46,'KIDS&amp;ADULTS'!$B$3:$B$12006,$W$3,'KIDS&amp;ADULTS'!$N$3:$N$12006,"Đã đóng học phí")</f>
        <v>0</v>
      </c>
      <c r="X46" s="398">
        <f>SUMIFS('KIDS&amp;ADULTS'!$Z$3:$Z$12006,'KIDS&amp;ADULTS'!$V$3:$V$12006,U46,'KIDS&amp;ADULTS'!$B$3:$B$12006,$X$3,'KIDS&amp;ADULTS'!$N$3:$N$12006,"Đã đóng học phí")</f>
        <v>0</v>
      </c>
      <c r="Y46" s="398">
        <f>SUMIFS('KIDS&amp;ADULTS'!$Z$3:$Z$12006,'KIDS&amp;ADULTS'!$V$3:$V$12006,U46,'KIDS&amp;ADULTS'!$B$3:$B$12006,$Y$3,'KIDS&amp;ADULTS'!$N$3:$N$12006,"Đã đóng học phí")</f>
        <v>0</v>
      </c>
      <c r="Z46" s="398">
        <f>SUMIFS('KIDS&amp;ADULTS'!$Z$3:$Z$12006,'KIDS&amp;ADULTS'!$V$3:$V$12006,U46,'KIDS&amp;ADULTS'!$B$3:$B$12006,$Z$3,'KIDS&amp;ADULTS'!$N$3:$N$12006,"Đã đóng học phí")</f>
        <v>0</v>
      </c>
      <c r="AA46" s="398">
        <f>SUMIFS('KIDS&amp;ADULTS'!$Z$3:$Z$12006,'KIDS&amp;ADULTS'!$V$3:$V$12006,U46,'KIDS&amp;ADULTS'!$B$3:$B$12006,$AA$3,'KIDS&amp;ADULTS'!$N$3:$N$12006,"Đã đóng học phí")</f>
        <v>0</v>
      </c>
      <c r="AB46" s="398">
        <f>SUMIFS('KIDS&amp;ADULTS'!$Z$3:$Z$12006,'KIDS&amp;ADULTS'!$V$3:$V$12006,U46,'KIDS&amp;ADULTS'!$B$3:$B$12006,$AB$3,'KIDS&amp;ADULTS'!$N$3:$N$12006,"Đã đóng học phí")</f>
        <v>10227080</v>
      </c>
      <c r="AC46" s="398">
        <f>SUMIFS('KIDS&amp;ADULTS'!$Z$3:$Z$12006,'KIDS&amp;ADULTS'!$V$3:$V$12006,U46,'KIDS&amp;ADULTS'!$B$3:$B$12006,$AC$3,'KIDS&amp;ADULTS'!$N$3:$N$12006,"Đã đóng học phí")</f>
        <v>0</v>
      </c>
      <c r="AD46" s="398">
        <f t="shared" si="10"/>
        <v>10227080</v>
      </c>
      <c r="AE46" s="386">
        <v>1.834138E7</v>
      </c>
    </row>
    <row r="47" ht="15.75" customHeight="1">
      <c r="U47" s="372">
        <v>45115.0</v>
      </c>
      <c r="V47" s="398">
        <f>SUMIFS('KIDS&amp;ADULTS'!$Z$3:$Z$12006,'KIDS&amp;ADULTS'!V$3:V$12006,U47,'KIDS&amp;ADULTS'!$B$3:$B$12006,$K$3,'KIDS&amp;ADULTS'!$N$3:$N$12006,"Đã đóng học phí")</f>
        <v>0</v>
      </c>
      <c r="W47" s="398">
        <f>SUMIFS('KIDS&amp;ADULTS'!$Z$3:$Z$12006,'KIDS&amp;ADULTS'!$V$3:$V$12006,U47,'KIDS&amp;ADULTS'!$B$3:$B$12006,$W$3,'KIDS&amp;ADULTS'!$N$3:$N$12006,"Đã đóng học phí")</f>
        <v>0</v>
      </c>
      <c r="X47" s="398">
        <f>SUMIFS('KIDS&amp;ADULTS'!$Z$3:$Z$12006,'KIDS&amp;ADULTS'!$V$3:$V$12006,U47,'KIDS&amp;ADULTS'!$B$3:$B$12006,$X$3,'KIDS&amp;ADULTS'!$N$3:$N$12006,"Đã đóng học phí")</f>
        <v>0</v>
      </c>
      <c r="Y47" s="398">
        <f>SUMIFS('KIDS&amp;ADULTS'!$Z$3:$Z$12006,'KIDS&amp;ADULTS'!$V$3:$V$12006,U47,'KIDS&amp;ADULTS'!$B$3:$B$12006,$Y$3,'KIDS&amp;ADULTS'!$N$3:$N$12006,"Đã đóng học phí")</f>
        <v>0</v>
      </c>
      <c r="Z47" s="398">
        <f>SUMIFS('KIDS&amp;ADULTS'!$Z$3:$Z$12006,'KIDS&amp;ADULTS'!$V$3:$V$12006,U47,'KIDS&amp;ADULTS'!$B$3:$B$12006,$Z$3,'KIDS&amp;ADULTS'!$N$3:$N$12006,"Đã đóng học phí")</f>
        <v>0</v>
      </c>
      <c r="AA47" s="398">
        <f>SUMIFS('KIDS&amp;ADULTS'!$Z$3:$Z$12006,'KIDS&amp;ADULTS'!$V$3:$V$12006,U47,'KIDS&amp;ADULTS'!$B$3:$B$12006,$AA$3,'KIDS&amp;ADULTS'!$N$3:$N$12006,"Đã đóng học phí")</f>
        <v>0</v>
      </c>
      <c r="AB47" s="398">
        <f>SUMIFS('KIDS&amp;ADULTS'!$Z$3:$Z$12006,'KIDS&amp;ADULTS'!$V$3:$V$12006,U47,'KIDS&amp;ADULTS'!$B$3:$B$12006,$AB$3,'KIDS&amp;ADULTS'!$N$3:$N$12006,"Đã đóng học phí")</f>
        <v>0</v>
      </c>
      <c r="AC47" s="398">
        <f>SUMIFS('KIDS&amp;ADULTS'!$Z$3:$Z$12006,'KIDS&amp;ADULTS'!$V$3:$V$12006,U47,'KIDS&amp;ADULTS'!$B$3:$B$12006,$AC$3,'KIDS&amp;ADULTS'!$N$3:$N$12006,"Đã đóng học phí")</f>
        <v>0</v>
      </c>
      <c r="AD47" s="398">
        <f t="shared" si="10"/>
        <v>0</v>
      </c>
      <c r="AE47" s="386">
        <v>0.0</v>
      </c>
    </row>
    <row r="48" ht="15.75" customHeight="1">
      <c r="U48" s="372">
        <v>45116.0</v>
      </c>
      <c r="V48" s="398">
        <f>SUMIFS('KIDS&amp;ADULTS'!$Z$3:$Z$12006,'KIDS&amp;ADULTS'!V$3:V$12006,U48,'KIDS&amp;ADULTS'!$B$3:$B$12006,$K$3,'KIDS&amp;ADULTS'!$N$3:$N$12006,"Đã đóng học phí")</f>
        <v>0</v>
      </c>
      <c r="W48" s="398">
        <f>SUMIFS('KIDS&amp;ADULTS'!$Z$3:$Z$12006,'KIDS&amp;ADULTS'!$V$3:$V$12006,U48,'KIDS&amp;ADULTS'!$B$3:$B$12006,$W$3,'KIDS&amp;ADULTS'!$N$3:$N$12006,"Đã đóng học phí")</f>
        <v>0</v>
      </c>
      <c r="X48" s="398">
        <f>SUMIFS('KIDS&amp;ADULTS'!$Z$3:$Z$12006,'KIDS&amp;ADULTS'!$V$3:$V$12006,U48,'KIDS&amp;ADULTS'!$B$3:$B$12006,$X$3,'KIDS&amp;ADULTS'!$N$3:$N$12006,"Đã đóng học phí")</f>
        <v>0</v>
      </c>
      <c r="Y48" s="398">
        <f>SUMIFS('KIDS&amp;ADULTS'!$Z$3:$Z$12006,'KIDS&amp;ADULTS'!$V$3:$V$12006,U48,'KIDS&amp;ADULTS'!$B$3:$B$12006,$Y$3,'KIDS&amp;ADULTS'!$N$3:$N$12006,"Đã đóng học phí")</f>
        <v>0</v>
      </c>
      <c r="Z48" s="398">
        <f>SUMIFS('KIDS&amp;ADULTS'!$Z$3:$Z$12006,'KIDS&amp;ADULTS'!$V$3:$V$12006,U48,'KIDS&amp;ADULTS'!$B$3:$B$12006,$Z$3,'KIDS&amp;ADULTS'!$N$3:$N$12006,"Đã đóng học phí")</f>
        <v>0</v>
      </c>
      <c r="AA48" s="398">
        <f>SUMIFS('KIDS&amp;ADULTS'!$Z$3:$Z$12006,'KIDS&amp;ADULTS'!$V$3:$V$12006,U48,'KIDS&amp;ADULTS'!$B$3:$B$12006,$AA$3,'KIDS&amp;ADULTS'!$N$3:$N$12006,"Đã đóng học phí")</f>
        <v>0</v>
      </c>
      <c r="AB48" s="398">
        <f>SUMIFS('KIDS&amp;ADULTS'!$Z$3:$Z$12006,'KIDS&amp;ADULTS'!$V$3:$V$12006,U48,'KIDS&amp;ADULTS'!$B$3:$B$12006,$AB$3,'KIDS&amp;ADULTS'!$N$3:$N$12006,"Đã đóng học phí")</f>
        <v>0</v>
      </c>
      <c r="AC48" s="398">
        <f>SUMIFS('KIDS&amp;ADULTS'!$Z$3:$Z$12006,'KIDS&amp;ADULTS'!$V$3:$V$12006,U48,'KIDS&amp;ADULTS'!$B$3:$B$12006,$AC$3,'KIDS&amp;ADULTS'!$N$3:$N$12006,"Đã đóng học phí")</f>
        <v>0</v>
      </c>
      <c r="AD48" s="398">
        <f t="shared" si="10"/>
        <v>0</v>
      </c>
      <c r="AE48" s="386">
        <v>0.0</v>
      </c>
    </row>
    <row r="49" ht="15.75" customHeight="1">
      <c r="U49" s="372">
        <v>45117.0</v>
      </c>
      <c r="V49" s="398">
        <f>SUMIFS('KIDS&amp;ADULTS'!$Z$3:$Z$12006,'KIDS&amp;ADULTS'!V$3:V$12006,U49,'KIDS&amp;ADULTS'!$B$3:$B$12006,$K$3,'KIDS&amp;ADULTS'!$N$3:$N$12006,"Đã đóng học phí")</f>
        <v>0</v>
      </c>
      <c r="W49" s="398">
        <f>SUMIFS('KIDS&amp;ADULTS'!$Z$3:$Z$12006,'KIDS&amp;ADULTS'!$V$3:$V$12006,U49,'KIDS&amp;ADULTS'!$B$3:$B$12006,$W$3,'KIDS&amp;ADULTS'!$N$3:$N$12006,"Đã đóng học phí")</f>
        <v>0</v>
      </c>
      <c r="X49" s="398">
        <f>SUMIFS('KIDS&amp;ADULTS'!$Z$3:$Z$12006,'KIDS&amp;ADULTS'!$V$3:$V$12006,U49,'KIDS&amp;ADULTS'!$B$3:$B$12006,$X$3,'KIDS&amp;ADULTS'!$N$3:$N$12006,"Đã đóng học phí")</f>
        <v>0</v>
      </c>
      <c r="Y49" s="398">
        <f>SUMIFS('KIDS&amp;ADULTS'!$Z$3:$Z$12006,'KIDS&amp;ADULTS'!$V$3:$V$12006,U49,'KIDS&amp;ADULTS'!$B$3:$B$12006,$Y$3,'KIDS&amp;ADULTS'!$N$3:$N$12006,"Đã đóng học phí")</f>
        <v>0</v>
      </c>
      <c r="Z49" s="398">
        <f>SUMIFS('KIDS&amp;ADULTS'!$Z$3:$Z$12006,'KIDS&amp;ADULTS'!$V$3:$V$12006,U49,'KIDS&amp;ADULTS'!$B$3:$B$12006,$Z$3,'KIDS&amp;ADULTS'!$N$3:$N$12006,"Đã đóng học phí")</f>
        <v>0</v>
      </c>
      <c r="AA49" s="398">
        <f>SUMIFS('KIDS&amp;ADULTS'!$Z$3:$Z$12006,'KIDS&amp;ADULTS'!$V$3:$V$12006,U49,'KIDS&amp;ADULTS'!$B$3:$B$12006,$AA$3,'KIDS&amp;ADULTS'!$N$3:$N$12006,"Đã đóng học phí")</f>
        <v>0</v>
      </c>
      <c r="AB49" s="398">
        <f>SUMIFS('KIDS&amp;ADULTS'!$Z$3:$Z$12006,'KIDS&amp;ADULTS'!$V$3:$V$12006,U49,'KIDS&amp;ADULTS'!$B$3:$B$12006,$AB$3,'KIDS&amp;ADULTS'!$N$3:$N$12006,"Đã đóng học phí")</f>
        <v>0</v>
      </c>
      <c r="AC49" s="398">
        <f>SUMIFS('KIDS&amp;ADULTS'!$Z$3:$Z$12006,'KIDS&amp;ADULTS'!$V$3:$V$12006,U49,'KIDS&amp;ADULTS'!$B$3:$B$12006,$AC$3,'KIDS&amp;ADULTS'!$N$3:$N$12006,"Đã đóng học phí")</f>
        <v>0</v>
      </c>
      <c r="AD49" s="398">
        <f t="shared" si="10"/>
        <v>0</v>
      </c>
      <c r="AE49" s="386">
        <v>7950000.0</v>
      </c>
    </row>
    <row r="50" ht="15.75" customHeight="1">
      <c r="U50" s="372">
        <v>45118.0</v>
      </c>
      <c r="V50" s="398">
        <f>SUMIFS('KIDS&amp;ADULTS'!$Z$3:$Z$12006,'KIDS&amp;ADULTS'!V$3:V$12006,U50,'KIDS&amp;ADULTS'!$B$3:$B$12006,$K$3,'KIDS&amp;ADULTS'!$N$3:$N$12006,"Đã đóng học phí")</f>
        <v>0</v>
      </c>
      <c r="W50" s="398">
        <f>SUMIFS('KIDS&amp;ADULTS'!$Z$3:$Z$12006,'KIDS&amp;ADULTS'!$V$3:$V$12006,U50,'KIDS&amp;ADULTS'!$B$3:$B$12006,$W$3,'KIDS&amp;ADULTS'!$N$3:$N$12006,"Đã đóng học phí")</f>
        <v>0</v>
      </c>
      <c r="X50" s="398">
        <f>SUMIFS('KIDS&amp;ADULTS'!$Z$3:$Z$12006,'KIDS&amp;ADULTS'!$V$3:$V$12006,U50,'KIDS&amp;ADULTS'!$B$3:$B$12006,$X$3,'KIDS&amp;ADULTS'!$N$3:$N$12006,"Đã đóng học phí")</f>
        <v>0</v>
      </c>
      <c r="Y50" s="398">
        <f>SUMIFS('KIDS&amp;ADULTS'!$Z$3:$Z$12006,'KIDS&amp;ADULTS'!$V$3:$V$12006,U50,'KIDS&amp;ADULTS'!$B$3:$B$12006,$Y$3,'KIDS&amp;ADULTS'!$N$3:$N$12006,"Đã đóng học phí")</f>
        <v>0</v>
      </c>
      <c r="Z50" s="398">
        <f>SUMIFS('KIDS&amp;ADULTS'!$Z$3:$Z$12006,'KIDS&amp;ADULTS'!$V$3:$V$12006,U50,'KIDS&amp;ADULTS'!$B$3:$B$12006,$Z$3,'KIDS&amp;ADULTS'!$N$3:$N$12006,"Đã đóng học phí")</f>
        <v>0</v>
      </c>
      <c r="AA50" s="398">
        <f>SUMIFS('KIDS&amp;ADULTS'!$Z$3:$Z$12006,'KIDS&amp;ADULTS'!$V$3:$V$12006,U50,'KIDS&amp;ADULTS'!$B$3:$B$12006,$AA$3,'KIDS&amp;ADULTS'!$N$3:$N$12006,"Đã đóng học phí")</f>
        <v>0</v>
      </c>
      <c r="AB50" s="398">
        <f>SUMIFS('KIDS&amp;ADULTS'!$Z$3:$Z$12006,'KIDS&amp;ADULTS'!$V$3:$V$12006,U50,'KIDS&amp;ADULTS'!$B$3:$B$12006,$AB$3,'KIDS&amp;ADULTS'!$N$3:$N$12006,"Đã đóng học phí")</f>
        <v>0</v>
      </c>
      <c r="AC50" s="398">
        <f>SUMIFS('KIDS&amp;ADULTS'!$Z$3:$Z$12006,'KIDS&amp;ADULTS'!$V$3:$V$12006,U50,'KIDS&amp;ADULTS'!$B$3:$B$12006,$AC$3,'KIDS&amp;ADULTS'!$N$3:$N$12006,"Đã đóng học phí")</f>
        <v>0</v>
      </c>
      <c r="AD50" s="398">
        <f t="shared" si="10"/>
        <v>0</v>
      </c>
      <c r="AE50" s="386">
        <v>3062000.0</v>
      </c>
    </row>
    <row r="51" ht="15.75" customHeight="1">
      <c r="U51" s="372">
        <v>45119.0</v>
      </c>
      <c r="V51" s="398">
        <f>SUMIFS('KIDS&amp;ADULTS'!$Z$3:$Z$12006,'KIDS&amp;ADULTS'!V$3:V$12006,U51,'KIDS&amp;ADULTS'!$B$3:$B$12006,$K$3,'KIDS&amp;ADULTS'!$N$3:$N$12006,"Đã đóng học phí")</f>
        <v>0</v>
      </c>
      <c r="W51" s="398">
        <f>SUMIFS('KIDS&amp;ADULTS'!$Z$3:$Z$12006,'KIDS&amp;ADULTS'!$V$3:$V$12006,U51,'KIDS&amp;ADULTS'!$B$3:$B$12006,$W$3,'KIDS&amp;ADULTS'!$N$3:$N$12006,"Đã đóng học phí")</f>
        <v>0</v>
      </c>
      <c r="X51" s="398">
        <f>SUMIFS('KIDS&amp;ADULTS'!$Z$3:$Z$12006,'KIDS&amp;ADULTS'!$V$3:$V$12006,U51,'KIDS&amp;ADULTS'!$B$3:$B$12006,$X$3,'KIDS&amp;ADULTS'!$N$3:$N$12006,"Đã đóng học phí")</f>
        <v>0</v>
      </c>
      <c r="Y51" s="398">
        <f>SUMIFS('KIDS&amp;ADULTS'!$Z$3:$Z$12006,'KIDS&amp;ADULTS'!$V$3:$V$12006,U51,'KIDS&amp;ADULTS'!$B$3:$B$12006,$Y$3,'KIDS&amp;ADULTS'!$N$3:$N$12006,"Đã đóng học phí")</f>
        <v>0</v>
      </c>
      <c r="Z51" s="398">
        <f>SUMIFS('KIDS&amp;ADULTS'!$Z$3:$Z$12006,'KIDS&amp;ADULTS'!$V$3:$V$12006,U51,'KIDS&amp;ADULTS'!$B$3:$B$12006,$Z$3,'KIDS&amp;ADULTS'!$N$3:$N$12006,"Đã đóng học phí")</f>
        <v>6124000</v>
      </c>
      <c r="AA51" s="398">
        <f>SUMIFS('KIDS&amp;ADULTS'!$Z$3:$Z$12006,'KIDS&amp;ADULTS'!$V$3:$V$12006,U51,'KIDS&amp;ADULTS'!$B$3:$B$12006,$AA$3,'KIDS&amp;ADULTS'!$N$3:$N$12006,"Đã đóng học phí")</f>
        <v>0</v>
      </c>
      <c r="AB51" s="398">
        <f>SUMIFS('KIDS&amp;ADULTS'!$Z$3:$Z$12006,'KIDS&amp;ADULTS'!$V$3:$V$12006,U51,'KIDS&amp;ADULTS'!$B$3:$B$12006,$AB$3,'KIDS&amp;ADULTS'!$N$3:$N$12006,"Đã đóng học phí")</f>
        <v>0</v>
      </c>
      <c r="AC51" s="398">
        <f>SUMIFS('KIDS&amp;ADULTS'!$Z$3:$Z$12006,'KIDS&amp;ADULTS'!$V$3:$V$12006,U51,'KIDS&amp;ADULTS'!$B$3:$B$12006,$AC$3,'KIDS&amp;ADULTS'!$N$3:$N$12006,"Đã đóng học phí")</f>
        <v>0</v>
      </c>
      <c r="AD51" s="398">
        <f t="shared" si="10"/>
        <v>6124000</v>
      </c>
      <c r="AE51" s="386">
        <v>6124000.0</v>
      </c>
    </row>
    <row r="52" ht="15.75" customHeight="1">
      <c r="U52" s="372">
        <v>45120.0</v>
      </c>
      <c r="V52" s="398">
        <f>SUMIFS('KIDS&amp;ADULTS'!$Z$3:$Z$12006,'KIDS&amp;ADULTS'!V$3:V$12006,U52,'KIDS&amp;ADULTS'!$B$3:$B$12006,$K$3,'KIDS&amp;ADULTS'!$N$3:$N$12006,"Đã đóng học phí")</f>
        <v>0</v>
      </c>
      <c r="W52" s="398">
        <f>SUMIFS('KIDS&amp;ADULTS'!$Z$3:$Z$12006,'KIDS&amp;ADULTS'!$V$3:$V$12006,U52,'KIDS&amp;ADULTS'!$B$3:$B$12006,$W$3,'KIDS&amp;ADULTS'!$N$3:$N$12006,"Đã đóng học phí")</f>
        <v>0</v>
      </c>
      <c r="X52" s="398">
        <f>SUMIFS('KIDS&amp;ADULTS'!$Z$3:$Z$12006,'KIDS&amp;ADULTS'!$V$3:$V$12006,U52,'KIDS&amp;ADULTS'!$B$3:$B$12006,$X$3,'KIDS&amp;ADULTS'!$N$3:$N$12006,"Đã đóng học phí")</f>
        <v>0</v>
      </c>
      <c r="Y52" s="398">
        <f>SUMIFS('KIDS&amp;ADULTS'!$Z$3:$Z$12006,'KIDS&amp;ADULTS'!$V$3:$V$12006,U52,'KIDS&amp;ADULTS'!$B$3:$B$12006,$Y$3,'KIDS&amp;ADULTS'!$N$3:$N$12006,"Đã đóng học phí")</f>
        <v>5524000</v>
      </c>
      <c r="Z52" s="398">
        <f>SUMIFS('KIDS&amp;ADULTS'!$Z$3:$Z$12006,'KIDS&amp;ADULTS'!$V$3:$V$12006,U52,'KIDS&amp;ADULTS'!$B$3:$B$12006,$Z$3,'KIDS&amp;ADULTS'!$N$3:$N$12006,"Đã đóng học phí")</f>
        <v>0</v>
      </c>
      <c r="AA52" s="398">
        <f>SUMIFS('KIDS&amp;ADULTS'!$Z$3:$Z$12006,'KIDS&amp;ADULTS'!$V$3:$V$12006,U52,'KIDS&amp;ADULTS'!$B$3:$B$12006,$AA$3,'KIDS&amp;ADULTS'!$N$3:$N$12006,"Đã đóng học phí")</f>
        <v>0</v>
      </c>
      <c r="AB52" s="398">
        <f>SUMIFS('KIDS&amp;ADULTS'!$Z$3:$Z$12006,'KIDS&amp;ADULTS'!$V$3:$V$12006,U52,'KIDS&amp;ADULTS'!$B$3:$B$12006,$AB$3,'KIDS&amp;ADULTS'!$N$3:$N$12006,"Đã đóng học phí")</f>
        <v>0</v>
      </c>
      <c r="AC52" s="398">
        <f>SUMIFS('KIDS&amp;ADULTS'!$Z$3:$Z$12006,'KIDS&amp;ADULTS'!$V$3:$V$12006,U52,'KIDS&amp;ADULTS'!$B$3:$B$12006,$AC$3,'KIDS&amp;ADULTS'!$N$3:$N$12006,"Đã đóng học phí")</f>
        <v>0</v>
      </c>
      <c r="AD52" s="398">
        <f t="shared" si="10"/>
        <v>5524000</v>
      </c>
      <c r="AE52" s="386">
        <v>5524000.0</v>
      </c>
    </row>
    <row r="53" ht="15.75" customHeight="1">
      <c r="U53" s="372">
        <v>45121.0</v>
      </c>
      <c r="V53" s="398">
        <f>SUMIFS('KIDS&amp;ADULTS'!$Z$3:$Z$12006,'KIDS&amp;ADULTS'!V$3:V$12006,U53,'KIDS&amp;ADULTS'!$B$3:$B$12006,$K$3,'KIDS&amp;ADULTS'!$N$3:$N$12006,"Đã đóng học phí")</f>
        <v>0</v>
      </c>
      <c r="W53" s="398">
        <f>SUMIFS('KIDS&amp;ADULTS'!$Z$3:$Z$12006,'KIDS&amp;ADULTS'!$V$3:$V$12006,U53,'KIDS&amp;ADULTS'!$B$3:$B$12006,$W$3,'KIDS&amp;ADULTS'!$N$3:$N$12006,"Đã đóng học phí")</f>
        <v>0</v>
      </c>
      <c r="X53" s="398">
        <f>SUMIFS('KIDS&amp;ADULTS'!$Z$3:$Z$12006,'KIDS&amp;ADULTS'!$V$3:$V$12006,U53,'KIDS&amp;ADULTS'!$B$3:$B$12006,$X$3,'KIDS&amp;ADULTS'!$N$3:$N$12006,"Đã đóng học phí")</f>
        <v>0</v>
      </c>
      <c r="Y53" s="398">
        <f>SUMIFS('KIDS&amp;ADULTS'!$Z$3:$Z$12006,'KIDS&amp;ADULTS'!$V$3:$V$12006,U53,'KIDS&amp;ADULTS'!$B$3:$B$12006,$Y$3,'KIDS&amp;ADULTS'!$N$3:$N$12006,"Đã đóng học phí")</f>
        <v>0</v>
      </c>
      <c r="Z53" s="398">
        <f>SUMIFS('KIDS&amp;ADULTS'!$Z$3:$Z$12006,'KIDS&amp;ADULTS'!$V$3:$V$12006,U53,'KIDS&amp;ADULTS'!$B$3:$B$12006,$Z$3,'KIDS&amp;ADULTS'!$N$3:$N$12006,"Đã đóng học phí")</f>
        <v>0</v>
      </c>
      <c r="AA53" s="398">
        <f>SUMIFS('KIDS&amp;ADULTS'!$Z$3:$Z$12006,'KIDS&amp;ADULTS'!$V$3:$V$12006,U53,'KIDS&amp;ADULTS'!$B$3:$B$12006,$AA$3,'KIDS&amp;ADULTS'!$N$3:$N$12006,"Đã đóng học phí")</f>
        <v>0</v>
      </c>
      <c r="AB53" s="398">
        <f>SUMIFS('KIDS&amp;ADULTS'!$Z$3:$Z$12006,'KIDS&amp;ADULTS'!$V$3:$V$12006,U53,'KIDS&amp;ADULTS'!$B$3:$B$12006,$AB$3,'KIDS&amp;ADULTS'!$N$3:$N$12006,"Đã đóng học phí")</f>
        <v>5524000</v>
      </c>
      <c r="AC53" s="398">
        <f>SUMIFS('KIDS&amp;ADULTS'!$Z$3:$Z$12006,'KIDS&amp;ADULTS'!$V$3:$V$12006,U53,'KIDS&amp;ADULTS'!$B$3:$B$12006,$AC$3,'KIDS&amp;ADULTS'!$N$3:$N$12006,"Đã đóng học phí")</f>
        <v>0</v>
      </c>
      <c r="AD53" s="398">
        <f t="shared" si="10"/>
        <v>5524000</v>
      </c>
      <c r="AE53" s="386">
        <v>6049000.0</v>
      </c>
    </row>
    <row r="54" ht="15.75" customHeight="1">
      <c r="U54" s="372">
        <v>45122.0</v>
      </c>
      <c r="V54" s="398">
        <f>SUMIFS('KIDS&amp;ADULTS'!$Z$3:$Z$12006,'KIDS&amp;ADULTS'!V$3:V$12006,U54,'KIDS&amp;ADULTS'!$B$3:$B$12006,$K$3,'KIDS&amp;ADULTS'!$N$3:$N$12006,"Đã đóng học phí")</f>
        <v>0</v>
      </c>
      <c r="W54" s="398">
        <f>SUMIFS('KIDS&amp;ADULTS'!$Z$3:$Z$12006,'KIDS&amp;ADULTS'!$V$3:$V$12006,U54,'KIDS&amp;ADULTS'!$B$3:$B$12006,$W$3,'KIDS&amp;ADULTS'!$N$3:$N$12006,"Đã đóng học phí")</f>
        <v>0</v>
      </c>
      <c r="X54" s="398">
        <f>SUMIFS('KIDS&amp;ADULTS'!$Z$3:$Z$12006,'KIDS&amp;ADULTS'!$V$3:$V$12006,U54,'KIDS&amp;ADULTS'!$B$3:$B$12006,$X$3,'KIDS&amp;ADULTS'!$N$3:$N$12006,"Đã đóng học phí")</f>
        <v>0</v>
      </c>
      <c r="Y54" s="398">
        <f>SUMIFS('KIDS&amp;ADULTS'!$Z$3:$Z$12006,'KIDS&amp;ADULTS'!$V$3:$V$12006,U54,'KIDS&amp;ADULTS'!$B$3:$B$12006,$Y$3,'KIDS&amp;ADULTS'!$N$3:$N$12006,"Đã đóng học phí")</f>
        <v>5358280</v>
      </c>
      <c r="Z54" s="398">
        <f>SUMIFS('KIDS&amp;ADULTS'!$Z$3:$Z$12006,'KIDS&amp;ADULTS'!$V$3:$V$12006,U54,'KIDS&amp;ADULTS'!$B$3:$B$12006,$Z$3,'KIDS&amp;ADULTS'!$N$3:$N$12006,"Đã đóng học phí")</f>
        <v>0</v>
      </c>
      <c r="AA54" s="398">
        <f>SUMIFS('KIDS&amp;ADULTS'!$Z$3:$Z$12006,'KIDS&amp;ADULTS'!$V$3:$V$12006,U54,'KIDS&amp;ADULTS'!$B$3:$B$12006,$AA$3,'KIDS&amp;ADULTS'!$N$3:$N$12006,"Đã đóng học phí")</f>
        <v>0</v>
      </c>
      <c r="AB54" s="398">
        <f>SUMIFS('KIDS&amp;ADULTS'!$Z$3:$Z$12006,'KIDS&amp;ADULTS'!$V$3:$V$12006,U54,'KIDS&amp;ADULTS'!$B$3:$B$12006,$AB$3,'KIDS&amp;ADULTS'!$N$3:$N$12006,"Đã đóng học phí")</f>
        <v>0</v>
      </c>
      <c r="AC54" s="398">
        <f>SUMIFS('KIDS&amp;ADULTS'!$Z$3:$Z$12006,'KIDS&amp;ADULTS'!$V$3:$V$12006,U54,'KIDS&amp;ADULTS'!$B$3:$B$12006,$AC$3,'KIDS&amp;ADULTS'!$N$3:$N$12006,"Đã đóng học phí")</f>
        <v>0</v>
      </c>
      <c r="AD54" s="398">
        <f t="shared" si="10"/>
        <v>5358280</v>
      </c>
      <c r="AE54" s="386">
        <v>5358280.0</v>
      </c>
    </row>
    <row r="55" ht="15.75" customHeight="1">
      <c r="U55" s="372">
        <v>45123.0</v>
      </c>
      <c r="V55" s="398">
        <f>SUMIFS('KIDS&amp;ADULTS'!$Z$3:$Z$12006,'KIDS&amp;ADULTS'!V$3:V$12006,U55,'KIDS&amp;ADULTS'!$B$3:$B$12006,$K$3,'KIDS&amp;ADULTS'!$N$3:$N$12006,"Đã đóng học phí")</f>
        <v>0</v>
      </c>
      <c r="W55" s="398">
        <f>SUMIFS('KIDS&amp;ADULTS'!$Z$3:$Z$12006,'KIDS&amp;ADULTS'!$V$3:$V$12006,U55,'KIDS&amp;ADULTS'!$B$3:$B$12006,$W$3,'KIDS&amp;ADULTS'!$N$3:$N$12006,"Đã đóng học phí")</f>
        <v>0</v>
      </c>
      <c r="X55" s="398">
        <f>SUMIFS('KIDS&amp;ADULTS'!$Z$3:$Z$12006,'KIDS&amp;ADULTS'!$V$3:$V$12006,U55,'KIDS&amp;ADULTS'!$B$3:$B$12006,$X$3,'KIDS&amp;ADULTS'!$N$3:$N$12006,"Đã đóng học phí")</f>
        <v>0</v>
      </c>
      <c r="Y55" s="398">
        <f>SUMIFS('KIDS&amp;ADULTS'!$Z$3:$Z$12006,'KIDS&amp;ADULTS'!$V$3:$V$12006,U55,'KIDS&amp;ADULTS'!$B$3:$B$12006,$Y$3,'KIDS&amp;ADULTS'!$N$3:$N$12006,"Đã đóng học phí")</f>
        <v>0</v>
      </c>
      <c r="Z55" s="398">
        <f>SUMIFS('KIDS&amp;ADULTS'!$Z$3:$Z$12006,'KIDS&amp;ADULTS'!$V$3:$V$12006,U55,'KIDS&amp;ADULTS'!$B$3:$B$12006,$Z$3,'KIDS&amp;ADULTS'!$N$3:$N$12006,"Đã đóng học phí")</f>
        <v>0</v>
      </c>
      <c r="AA55" s="398">
        <f>SUMIFS('KIDS&amp;ADULTS'!$Z$3:$Z$12006,'KIDS&amp;ADULTS'!$V$3:$V$12006,U55,'KIDS&amp;ADULTS'!$B$3:$B$12006,$AA$3,'KIDS&amp;ADULTS'!$N$3:$N$12006,"Đã đóng học phí")</f>
        <v>0</v>
      </c>
      <c r="AB55" s="398">
        <f>SUMIFS('KIDS&amp;ADULTS'!$Z$3:$Z$12006,'KIDS&amp;ADULTS'!$V$3:$V$12006,U55,'KIDS&amp;ADULTS'!$B$3:$B$12006,$AB$3,'KIDS&amp;ADULTS'!$N$3:$N$12006,"Đã đóng học phí")</f>
        <v>0</v>
      </c>
      <c r="AC55" s="398">
        <f>SUMIFS('KIDS&amp;ADULTS'!$Z$3:$Z$12006,'KIDS&amp;ADULTS'!$V$3:$V$12006,U55,'KIDS&amp;ADULTS'!$B$3:$B$12006,$AC$3,'KIDS&amp;ADULTS'!$N$3:$N$12006,"Đã đóng học phí")</f>
        <v>0</v>
      </c>
      <c r="AD55" s="398">
        <f t="shared" si="10"/>
        <v>0</v>
      </c>
      <c r="AE55" s="386">
        <v>2558000.0</v>
      </c>
    </row>
    <row r="56" ht="15.75" customHeight="1">
      <c r="U56" s="372">
        <v>45124.0</v>
      </c>
      <c r="V56" s="398">
        <f>SUMIFS('KIDS&amp;ADULTS'!$Z$3:$Z$12006,'KIDS&amp;ADULTS'!V$3:V$12006,U56,'KIDS&amp;ADULTS'!$B$3:$B$12006,$K$3,'KIDS&amp;ADULTS'!$N$3:$N$12006,"Đã đóng học phí")</f>
        <v>0</v>
      </c>
      <c r="W56" s="398">
        <f>SUMIFS('KIDS&amp;ADULTS'!$Z$3:$Z$12006,'KIDS&amp;ADULTS'!$V$3:$V$12006,U56,'KIDS&amp;ADULTS'!$B$3:$B$12006,$W$3,'KIDS&amp;ADULTS'!$N$3:$N$12006,"Đã đóng học phí")</f>
        <v>0</v>
      </c>
      <c r="X56" s="398">
        <f>SUMIFS('KIDS&amp;ADULTS'!$Z$3:$Z$12006,'KIDS&amp;ADULTS'!$V$3:$V$12006,U56,'KIDS&amp;ADULTS'!$B$3:$B$12006,$X$3,'KIDS&amp;ADULTS'!$N$3:$N$12006,"Đã đóng học phí")</f>
        <v>0</v>
      </c>
      <c r="Y56" s="398">
        <f>SUMIFS('KIDS&amp;ADULTS'!$Z$3:$Z$12006,'KIDS&amp;ADULTS'!$V$3:$V$12006,U56,'KIDS&amp;ADULTS'!$B$3:$B$12006,$Y$3,'KIDS&amp;ADULTS'!$N$3:$N$12006,"Đã đóng học phí")</f>
        <v>3062000</v>
      </c>
      <c r="Z56" s="398">
        <f>SUMIFS('KIDS&amp;ADULTS'!$Z$3:$Z$12006,'KIDS&amp;ADULTS'!$V$3:$V$12006,U56,'KIDS&amp;ADULTS'!$B$3:$B$12006,$Z$3,'KIDS&amp;ADULTS'!$N$3:$N$12006,"Đã đóng học phí")</f>
        <v>0</v>
      </c>
      <c r="AA56" s="398">
        <f>SUMIFS('KIDS&amp;ADULTS'!$Z$3:$Z$12006,'KIDS&amp;ADULTS'!$V$3:$V$12006,U56,'KIDS&amp;ADULTS'!$B$3:$B$12006,$AA$3,'KIDS&amp;ADULTS'!$N$3:$N$12006,"Đã đóng học phí")</f>
        <v>7711500</v>
      </c>
      <c r="AB56" s="398">
        <f>SUMIFS('KIDS&amp;ADULTS'!$Z$3:$Z$12006,'KIDS&amp;ADULTS'!$V$3:$V$12006,U56,'KIDS&amp;ADULTS'!$B$3:$B$12006,$AB$3,'KIDS&amp;ADULTS'!$N$3:$N$12006,"Đã đóng học phí")</f>
        <v>0</v>
      </c>
      <c r="AC56" s="398">
        <f>SUMIFS('KIDS&amp;ADULTS'!$Z$3:$Z$12006,'KIDS&amp;ADULTS'!$V$3:$V$12006,U56,'KIDS&amp;ADULTS'!$B$3:$B$12006,$AC$3,'KIDS&amp;ADULTS'!$N$3:$N$12006,"Đã đóng học phí")</f>
        <v>0</v>
      </c>
      <c r="AD56" s="398">
        <f t="shared" si="10"/>
        <v>10773500</v>
      </c>
      <c r="AE56" s="386">
        <v>1.07735E7</v>
      </c>
    </row>
    <row r="57" ht="15.75" customHeight="1">
      <c r="U57" s="372">
        <v>45125.0</v>
      </c>
      <c r="V57" s="398">
        <f>SUMIFS('KIDS&amp;ADULTS'!$Z$3:$Z$12006,'KIDS&amp;ADULTS'!V$3:V$12006,U57,'KIDS&amp;ADULTS'!$B$3:$B$12006,$K$3,'KIDS&amp;ADULTS'!$N$3:$N$12006,"Đã đóng học phí")</f>
        <v>0</v>
      </c>
      <c r="W57" s="398">
        <f>SUMIFS('KIDS&amp;ADULTS'!$Z$3:$Z$12006,'KIDS&amp;ADULTS'!$V$3:$V$12006,U57,'KIDS&amp;ADULTS'!$B$3:$B$12006,$W$3,'KIDS&amp;ADULTS'!$N$3:$N$12006,"Đã đóng học phí")</f>
        <v>0</v>
      </c>
      <c r="X57" s="398">
        <f>SUMIFS('KIDS&amp;ADULTS'!$Z$3:$Z$12006,'KIDS&amp;ADULTS'!$V$3:$V$12006,U57,'KIDS&amp;ADULTS'!$B$3:$B$12006,$X$3,'KIDS&amp;ADULTS'!$N$3:$N$12006,"Đã đóng học phí")</f>
        <v>0</v>
      </c>
      <c r="Y57" s="398">
        <f>SUMIFS('KIDS&amp;ADULTS'!$Z$3:$Z$12006,'KIDS&amp;ADULTS'!$V$3:$V$12006,U57,'KIDS&amp;ADULTS'!$B$3:$B$12006,$Y$3,'KIDS&amp;ADULTS'!$N$3:$N$12006,"Đã đóng học phí")</f>
        <v>0</v>
      </c>
      <c r="Z57" s="398">
        <f>SUMIFS('KIDS&amp;ADULTS'!$Z$3:$Z$12006,'KIDS&amp;ADULTS'!$V$3:$V$12006,U57,'KIDS&amp;ADULTS'!$B$3:$B$12006,$Z$3,'KIDS&amp;ADULTS'!$N$3:$N$12006,"Đã đóng học phí")</f>
        <v>0</v>
      </c>
      <c r="AA57" s="398">
        <f>SUMIFS('KIDS&amp;ADULTS'!$Z$3:$Z$12006,'KIDS&amp;ADULTS'!$V$3:$V$12006,U57,'KIDS&amp;ADULTS'!$B$3:$B$12006,$AA$3,'KIDS&amp;ADULTS'!$N$3:$N$12006,"Đã đóng học phí")</f>
        <v>0</v>
      </c>
      <c r="AB57" s="398">
        <f>SUMIFS('KIDS&amp;ADULTS'!$Z$3:$Z$12006,'KIDS&amp;ADULTS'!$V$3:$V$12006,U57,'KIDS&amp;ADULTS'!$B$3:$B$12006,$AB$3,'KIDS&amp;ADULTS'!$N$3:$N$12006,"Đã đóng học phí")</f>
        <v>0</v>
      </c>
      <c r="AC57" s="398">
        <f>SUMIFS('KIDS&amp;ADULTS'!$Z$3:$Z$12006,'KIDS&amp;ADULTS'!$V$3:$V$12006,U57,'KIDS&amp;ADULTS'!$B$3:$B$12006,$AC$3,'KIDS&amp;ADULTS'!$N$3:$N$12006,"Đã đóng học phí")</f>
        <v>0</v>
      </c>
      <c r="AD57" s="398">
        <f t="shared" si="10"/>
        <v>0</v>
      </c>
      <c r="AE57" s="386">
        <v>0.0</v>
      </c>
    </row>
    <row r="58" ht="15.75" customHeight="1">
      <c r="U58" s="372">
        <v>45126.0</v>
      </c>
      <c r="V58" s="398">
        <f>SUMIFS('KIDS&amp;ADULTS'!$Z$3:$Z$12006,'KIDS&amp;ADULTS'!V$3:V$12006,U58,'KIDS&amp;ADULTS'!$B$3:$B$12006,$K$3,'KIDS&amp;ADULTS'!$N$3:$N$12006,"Đã đóng học phí")</f>
        <v>0</v>
      </c>
      <c r="W58" s="398">
        <f>SUMIFS('KIDS&amp;ADULTS'!$Z$3:$Z$12006,'KIDS&amp;ADULTS'!$V$3:$V$12006,U58,'KIDS&amp;ADULTS'!$B$3:$B$12006,$W$3,'KIDS&amp;ADULTS'!$N$3:$N$12006,"Đã đóng học phí")</f>
        <v>0</v>
      </c>
      <c r="X58" s="398">
        <f>SUMIFS('KIDS&amp;ADULTS'!$Z$3:$Z$12006,'KIDS&amp;ADULTS'!$V$3:$V$12006,U58,'KIDS&amp;ADULTS'!$B$3:$B$12006,$X$3,'KIDS&amp;ADULTS'!$N$3:$N$12006,"Đã đóng học phí")</f>
        <v>0</v>
      </c>
      <c r="Y58" s="398">
        <f>SUMIFS('KIDS&amp;ADULTS'!$Z$3:$Z$12006,'KIDS&amp;ADULTS'!$V$3:$V$12006,U58,'KIDS&amp;ADULTS'!$B$3:$B$12006,$Y$3,'KIDS&amp;ADULTS'!$N$3:$N$12006,"Đã đóng học phí")</f>
        <v>2558000</v>
      </c>
      <c r="Z58" s="398">
        <f>SUMIFS('KIDS&amp;ADULTS'!$Z$3:$Z$12006,'KIDS&amp;ADULTS'!$V$3:$V$12006,U58,'KIDS&amp;ADULTS'!$B$3:$B$12006,$Z$3,'KIDS&amp;ADULTS'!$N$3:$N$12006,"Đã đóng học phí")</f>
        <v>0</v>
      </c>
      <c r="AA58" s="398">
        <f>SUMIFS('KIDS&amp;ADULTS'!$Z$3:$Z$12006,'KIDS&amp;ADULTS'!$V$3:$V$12006,U58,'KIDS&amp;ADULTS'!$B$3:$B$12006,$AA$3,'KIDS&amp;ADULTS'!$N$3:$N$12006,"Đã đóng học phí")</f>
        <v>0</v>
      </c>
      <c r="AB58" s="398">
        <f>SUMIFS('KIDS&amp;ADULTS'!$Z$3:$Z$12006,'KIDS&amp;ADULTS'!$V$3:$V$12006,U58,'KIDS&amp;ADULTS'!$B$3:$B$12006,$AB$3,'KIDS&amp;ADULTS'!$N$3:$N$12006,"Đã đóng học phí")</f>
        <v>0</v>
      </c>
      <c r="AC58" s="398">
        <f>SUMIFS('KIDS&amp;ADULTS'!$Z$3:$Z$12006,'KIDS&amp;ADULTS'!$V$3:$V$12006,U58,'KIDS&amp;ADULTS'!$B$3:$B$12006,$AC$3,'KIDS&amp;ADULTS'!$N$3:$N$12006,"Đã đóng học phí")</f>
        <v>0</v>
      </c>
      <c r="AD58" s="398">
        <f t="shared" si="10"/>
        <v>2558000</v>
      </c>
      <c r="AE58" s="386">
        <v>1.1549E7</v>
      </c>
    </row>
    <row r="59" ht="15.75" customHeight="1">
      <c r="U59" s="372">
        <v>45127.0</v>
      </c>
      <c r="V59" s="398">
        <f>SUMIFS('KIDS&amp;ADULTS'!$Z$3:$Z$12006,'KIDS&amp;ADULTS'!V$3:V$12006,U59,'KIDS&amp;ADULTS'!$B$3:$B$12006,$K$3,'KIDS&amp;ADULTS'!$N$3:$N$12006,"Đã đóng học phí")</f>
        <v>0</v>
      </c>
      <c r="W59" s="398">
        <f>SUMIFS('KIDS&amp;ADULTS'!$Z$3:$Z$12006,'KIDS&amp;ADULTS'!$V$3:$V$12006,U59,'KIDS&amp;ADULTS'!$B$3:$B$12006,$W$3,'KIDS&amp;ADULTS'!$N$3:$N$12006,"Đã đóng học phí")</f>
        <v>0</v>
      </c>
      <c r="X59" s="398">
        <f>SUMIFS('KIDS&amp;ADULTS'!$Z$3:$Z$12006,'KIDS&amp;ADULTS'!$V$3:$V$12006,U59,'KIDS&amp;ADULTS'!$B$3:$B$12006,$X$3,'KIDS&amp;ADULTS'!$N$3:$N$12006,"Đã đóng học phí")</f>
        <v>0</v>
      </c>
      <c r="Y59" s="398">
        <f>SUMIFS('KIDS&amp;ADULTS'!$Z$3:$Z$12006,'KIDS&amp;ADULTS'!$V$3:$V$12006,U59,'KIDS&amp;ADULTS'!$B$3:$B$12006,$Y$3,'KIDS&amp;ADULTS'!$N$3:$N$12006,"Đã đóng học phí")</f>
        <v>0</v>
      </c>
      <c r="Z59" s="398">
        <f>SUMIFS('KIDS&amp;ADULTS'!$Z$3:$Z$12006,'KIDS&amp;ADULTS'!$V$3:$V$12006,U59,'KIDS&amp;ADULTS'!$B$3:$B$12006,$Z$3,'KIDS&amp;ADULTS'!$N$3:$N$12006,"Đã đóng học phí")</f>
        <v>0</v>
      </c>
      <c r="AA59" s="398">
        <f>SUMIFS('KIDS&amp;ADULTS'!$Z$3:$Z$12006,'KIDS&amp;ADULTS'!$V$3:$V$12006,U59,'KIDS&amp;ADULTS'!$B$3:$B$12006,$AA$3,'KIDS&amp;ADULTS'!$N$3:$N$12006,"Đã đóng học phí")</f>
        <v>7918000</v>
      </c>
      <c r="AB59" s="398">
        <f>SUMIFS('KIDS&amp;ADULTS'!$Z$3:$Z$12006,'KIDS&amp;ADULTS'!$V$3:$V$12006,U59,'KIDS&amp;ADULTS'!$B$3:$B$12006,$AB$3,'KIDS&amp;ADULTS'!$N$3:$N$12006,"Đã đóng học phí")</f>
        <v>0</v>
      </c>
      <c r="AC59" s="398">
        <f>SUMIFS('KIDS&amp;ADULTS'!$Z$3:$Z$12006,'KIDS&amp;ADULTS'!$V$3:$V$12006,U59,'KIDS&amp;ADULTS'!$B$3:$B$12006,$AC$3,'KIDS&amp;ADULTS'!$N$3:$N$12006,"Đã đóng học phí")</f>
        <v>0</v>
      </c>
      <c r="AD59" s="398">
        <f t="shared" si="10"/>
        <v>7918000</v>
      </c>
      <c r="AE59" s="386">
        <v>7918000.0</v>
      </c>
    </row>
    <row r="60" ht="15.75" customHeight="1">
      <c r="U60" s="372">
        <v>45128.0</v>
      </c>
      <c r="V60" s="398">
        <f>SUMIFS('KIDS&amp;ADULTS'!$Z$3:$Z$12006,'KIDS&amp;ADULTS'!V$3:V$12006,U60,'KIDS&amp;ADULTS'!$B$3:$B$12006,$K$3,'KIDS&amp;ADULTS'!$N$3:$N$12006,"Đã đóng học phí")</f>
        <v>0</v>
      </c>
      <c r="W60" s="398">
        <f>SUMIFS('KIDS&amp;ADULTS'!$Z$3:$Z$12006,'KIDS&amp;ADULTS'!$V$3:$V$12006,U60,'KIDS&amp;ADULTS'!$B$3:$B$12006,$W$3,'KIDS&amp;ADULTS'!$N$3:$N$12006,"Đã đóng học phí")</f>
        <v>0</v>
      </c>
      <c r="X60" s="398">
        <f>SUMIFS('KIDS&amp;ADULTS'!$Z$3:$Z$12006,'KIDS&amp;ADULTS'!$V$3:$V$12006,U60,'KIDS&amp;ADULTS'!$B$3:$B$12006,$X$3,'KIDS&amp;ADULTS'!$N$3:$N$12006,"Đã đóng học phí")</f>
        <v>0</v>
      </c>
      <c r="Y60" s="398">
        <f>SUMIFS('KIDS&amp;ADULTS'!$Z$3:$Z$12006,'KIDS&amp;ADULTS'!$V$3:$V$12006,U60,'KIDS&amp;ADULTS'!$B$3:$B$12006,$Y$3,'KIDS&amp;ADULTS'!$N$3:$N$12006,"Đã đóng học phí")</f>
        <v>5358280</v>
      </c>
      <c r="Z60" s="398">
        <f>SUMIFS('KIDS&amp;ADULTS'!$Z$3:$Z$12006,'KIDS&amp;ADULTS'!$V$3:$V$12006,U60,'KIDS&amp;ADULTS'!$B$3:$B$12006,$Z$3,'KIDS&amp;ADULTS'!$N$3:$N$12006,"Đã đóng học phí")</f>
        <v>0</v>
      </c>
      <c r="AA60" s="398">
        <f>SUMIFS('KIDS&amp;ADULTS'!$Z$3:$Z$12006,'KIDS&amp;ADULTS'!$V$3:$V$12006,U60,'KIDS&amp;ADULTS'!$B$3:$B$12006,$AA$3,'KIDS&amp;ADULTS'!$N$3:$N$12006,"Đã đóng học phí")</f>
        <v>4280000</v>
      </c>
      <c r="AB60" s="398">
        <f>SUMIFS('KIDS&amp;ADULTS'!$Z$3:$Z$12006,'KIDS&amp;ADULTS'!$V$3:$V$12006,U60,'KIDS&amp;ADULTS'!$B$3:$B$12006,$AB$3,'KIDS&amp;ADULTS'!$N$3:$N$12006,"Đã đóng học phí")</f>
        <v>0</v>
      </c>
      <c r="AC60" s="398">
        <f>SUMIFS('KIDS&amp;ADULTS'!$Z$3:$Z$12006,'KIDS&amp;ADULTS'!$V$3:$V$12006,U60,'KIDS&amp;ADULTS'!$B$3:$B$12006,$AC$3,'KIDS&amp;ADULTS'!$N$3:$N$12006,"Đã đóng học phí")</f>
        <v>0</v>
      </c>
      <c r="AD60" s="398">
        <f t="shared" si="10"/>
        <v>9638280</v>
      </c>
      <c r="AE60" s="386">
        <v>2.236978E7</v>
      </c>
    </row>
    <row r="61" ht="15.75" customHeight="1">
      <c r="U61" s="372">
        <v>45129.0</v>
      </c>
      <c r="V61" s="398">
        <f>SUMIFS('KIDS&amp;ADULTS'!$Z$3:$Z$12006,'KIDS&amp;ADULTS'!V$3:V$12006,U61,'KIDS&amp;ADULTS'!$B$3:$B$12006,$K$3,'KIDS&amp;ADULTS'!$N$3:$N$12006,"Đã đóng học phí")</f>
        <v>0</v>
      </c>
      <c r="W61" s="398">
        <f>SUMIFS('KIDS&amp;ADULTS'!$Z$3:$Z$12006,'KIDS&amp;ADULTS'!$V$3:$V$12006,U61,'KIDS&amp;ADULTS'!$B$3:$B$12006,$W$3,'KIDS&amp;ADULTS'!$N$3:$N$12006,"Đã đóng học phí")</f>
        <v>0</v>
      </c>
      <c r="X61" s="398">
        <f>SUMIFS('KIDS&amp;ADULTS'!$Z$3:$Z$12006,'KIDS&amp;ADULTS'!$V$3:$V$12006,U61,'KIDS&amp;ADULTS'!$B$3:$B$12006,$X$3,'KIDS&amp;ADULTS'!$N$3:$N$12006,"Đã đóng học phí")</f>
        <v>0</v>
      </c>
      <c r="Y61" s="398">
        <f>SUMIFS('KIDS&amp;ADULTS'!$Z$3:$Z$12006,'KIDS&amp;ADULTS'!$V$3:$V$12006,U61,'KIDS&amp;ADULTS'!$B$3:$B$12006,$Y$3,'KIDS&amp;ADULTS'!$N$3:$N$12006,"Đã đóng học phí")</f>
        <v>2000000</v>
      </c>
      <c r="Z61" s="398">
        <f>SUMIFS('KIDS&amp;ADULTS'!$Z$3:$Z$12006,'KIDS&amp;ADULTS'!$V$3:$V$12006,U61,'KIDS&amp;ADULTS'!$B$3:$B$12006,$Z$3,'KIDS&amp;ADULTS'!$N$3:$N$12006,"Đã đóng học phí")</f>
        <v>0</v>
      </c>
      <c r="AA61" s="398">
        <f>SUMIFS('KIDS&amp;ADULTS'!$Z$3:$Z$12006,'KIDS&amp;ADULTS'!$V$3:$V$12006,U61,'KIDS&amp;ADULTS'!$B$3:$B$12006,$AA$3,'KIDS&amp;ADULTS'!$N$3:$N$12006,"Đã đóng học phí")</f>
        <v>0</v>
      </c>
      <c r="AB61" s="398">
        <f>SUMIFS('KIDS&amp;ADULTS'!$Z$3:$Z$12006,'KIDS&amp;ADULTS'!$V$3:$V$12006,U61,'KIDS&amp;ADULTS'!$B$3:$B$12006,$AB$3,'KIDS&amp;ADULTS'!$N$3:$N$12006,"Đã đóng học phí")</f>
        <v>0</v>
      </c>
      <c r="AC61" s="398">
        <f>SUMIFS('KIDS&amp;ADULTS'!$Z$3:$Z$12006,'KIDS&amp;ADULTS'!$V$3:$V$12006,U61,'KIDS&amp;ADULTS'!$B$3:$B$12006,$AC$3,'KIDS&amp;ADULTS'!$N$3:$N$12006,"Đã đóng học phí")</f>
        <v>0</v>
      </c>
      <c r="AD61" s="398">
        <f t="shared" si="10"/>
        <v>2000000</v>
      </c>
      <c r="AE61" s="386">
        <v>2000000.0</v>
      </c>
    </row>
    <row r="62" ht="15.75" customHeight="1">
      <c r="U62" s="372">
        <v>45130.0</v>
      </c>
      <c r="V62" s="398">
        <f>SUMIFS('KIDS&amp;ADULTS'!$Z$3:$Z$12006,'KIDS&amp;ADULTS'!V$3:V$12006,U62,'KIDS&amp;ADULTS'!$B$3:$B$12006,$K$3,'KIDS&amp;ADULTS'!$N$3:$N$12006,"Đã đóng học phí")</f>
        <v>0</v>
      </c>
      <c r="W62" s="398">
        <f>SUMIFS('KIDS&amp;ADULTS'!$Z$3:$Z$12006,'KIDS&amp;ADULTS'!$V$3:$V$12006,U62,'KIDS&amp;ADULTS'!$B$3:$B$12006,$W$3,'KIDS&amp;ADULTS'!$N$3:$N$12006,"Đã đóng học phí")</f>
        <v>0</v>
      </c>
      <c r="X62" s="398">
        <f>SUMIFS('KIDS&amp;ADULTS'!$Z$3:$Z$12006,'KIDS&amp;ADULTS'!$V$3:$V$12006,U62,'KIDS&amp;ADULTS'!$B$3:$B$12006,$X$3,'KIDS&amp;ADULTS'!$N$3:$N$12006,"Đã đóng học phí")</f>
        <v>0</v>
      </c>
      <c r="Y62" s="398">
        <f>SUMIFS('KIDS&amp;ADULTS'!$Z$3:$Z$12006,'KIDS&amp;ADULTS'!$V$3:$V$12006,U62,'KIDS&amp;ADULTS'!$B$3:$B$12006,$Y$3,'KIDS&amp;ADULTS'!$N$3:$N$12006,"Đã đóng học phí")</f>
        <v>5358280</v>
      </c>
      <c r="Z62" s="398">
        <f>SUMIFS('KIDS&amp;ADULTS'!$Z$3:$Z$12006,'KIDS&amp;ADULTS'!$V$3:$V$12006,U62,'KIDS&amp;ADULTS'!$B$3:$B$12006,$Z$3,'KIDS&amp;ADULTS'!$N$3:$N$12006,"Đã đóng học phí")</f>
        <v>0</v>
      </c>
      <c r="AA62" s="398">
        <f>SUMIFS('KIDS&amp;ADULTS'!$Z$3:$Z$12006,'KIDS&amp;ADULTS'!$V$3:$V$12006,U62,'KIDS&amp;ADULTS'!$B$3:$B$12006,$AA$3,'KIDS&amp;ADULTS'!$N$3:$N$12006,"Đã đóng học phí")</f>
        <v>0</v>
      </c>
      <c r="AB62" s="398">
        <f>SUMIFS('KIDS&amp;ADULTS'!$Z$3:$Z$12006,'KIDS&amp;ADULTS'!$V$3:$V$12006,U62,'KIDS&amp;ADULTS'!$B$3:$B$12006,$AB$3,'KIDS&amp;ADULTS'!$N$3:$N$12006,"Đã đóng học phí")</f>
        <v>0</v>
      </c>
      <c r="AC62" s="398">
        <f>SUMIFS('KIDS&amp;ADULTS'!$Z$3:$Z$12006,'KIDS&amp;ADULTS'!$V$3:$V$12006,U62,'KIDS&amp;ADULTS'!$B$3:$B$12006,$AC$3,'KIDS&amp;ADULTS'!$N$3:$N$12006,"Đã đóng học phí")</f>
        <v>0</v>
      </c>
      <c r="AD62" s="398">
        <f t="shared" si="10"/>
        <v>5358280</v>
      </c>
      <c r="AE62" s="386">
        <v>5358280.0</v>
      </c>
    </row>
    <row r="63" ht="15.75" customHeight="1">
      <c r="U63" s="372">
        <v>45131.0</v>
      </c>
      <c r="V63" s="398">
        <f>SUMIFS('KIDS&amp;ADULTS'!$Z$3:$Z$12006,'KIDS&amp;ADULTS'!V$3:V$12006,U63,'KIDS&amp;ADULTS'!$B$3:$B$12006,$K$3,'KIDS&amp;ADULTS'!$N$3:$N$12006,"Đã đóng học phí")</f>
        <v>0</v>
      </c>
      <c r="W63" s="398">
        <f>SUMIFS('KIDS&amp;ADULTS'!$Z$3:$Z$12006,'KIDS&amp;ADULTS'!$V$3:$V$12006,U63,'KIDS&amp;ADULTS'!$B$3:$B$12006,$W$3,'KIDS&amp;ADULTS'!$N$3:$N$12006,"Đã đóng học phí")</f>
        <v>0</v>
      </c>
      <c r="X63" s="398">
        <f>SUMIFS('KIDS&amp;ADULTS'!$Z$3:$Z$12006,'KIDS&amp;ADULTS'!$V$3:$V$12006,U63,'KIDS&amp;ADULTS'!$B$3:$B$12006,$X$3,'KIDS&amp;ADULTS'!$N$3:$N$12006,"Đã đóng học phí")</f>
        <v>0</v>
      </c>
      <c r="Y63" s="398">
        <f>SUMIFS('KIDS&amp;ADULTS'!$Z$3:$Z$12006,'KIDS&amp;ADULTS'!$V$3:$V$12006,U63,'KIDS&amp;ADULTS'!$B$3:$B$12006,$Y$3,'KIDS&amp;ADULTS'!$N$3:$N$12006,"Đã đóng học phí")</f>
        <v>7712000</v>
      </c>
      <c r="Z63" s="398">
        <f>SUMIFS('KIDS&amp;ADULTS'!$Z$3:$Z$12006,'KIDS&amp;ADULTS'!$V$3:$V$12006,U63,'KIDS&amp;ADULTS'!$B$3:$B$12006,$Z$3,'KIDS&amp;ADULTS'!$N$3:$N$12006,"Đã đóng học phí")</f>
        <v>0</v>
      </c>
      <c r="AA63" s="398">
        <f>SUMIFS('KIDS&amp;ADULTS'!$Z$3:$Z$12006,'KIDS&amp;ADULTS'!$V$3:$V$12006,U63,'KIDS&amp;ADULTS'!$B$3:$B$12006,$AA$3,'KIDS&amp;ADULTS'!$N$3:$N$12006,"Đã đóng học phí")</f>
        <v>0</v>
      </c>
      <c r="AB63" s="398">
        <f>SUMIFS('KIDS&amp;ADULTS'!$Z$3:$Z$12006,'KIDS&amp;ADULTS'!$V$3:$V$12006,U63,'KIDS&amp;ADULTS'!$B$3:$B$12006,$AB$3,'KIDS&amp;ADULTS'!$N$3:$N$12006,"Đã đóng học phí")</f>
        <v>0</v>
      </c>
      <c r="AC63" s="398">
        <f>SUMIFS('KIDS&amp;ADULTS'!$Z$3:$Z$12006,'KIDS&amp;ADULTS'!$V$3:$V$12006,U63,'KIDS&amp;ADULTS'!$B$3:$B$12006,$AC$3,'KIDS&amp;ADULTS'!$N$3:$N$12006,"Đã đóng học phí")</f>
        <v>0</v>
      </c>
      <c r="AD63" s="398">
        <f t="shared" si="10"/>
        <v>7712000</v>
      </c>
      <c r="AE63" s="386">
        <v>7712000.0</v>
      </c>
    </row>
    <row r="64" ht="15.75" customHeight="1">
      <c r="U64" s="372">
        <v>45132.0</v>
      </c>
      <c r="V64" s="398">
        <f>SUMIFS('KIDS&amp;ADULTS'!$Z$3:$Z$12006,'KIDS&amp;ADULTS'!V$3:V$12006,U64,'KIDS&amp;ADULTS'!$B$3:$B$12006,$K$3,'KIDS&amp;ADULTS'!$N$3:$N$12006,"Đã đóng học phí")</f>
        <v>0</v>
      </c>
      <c r="W64" s="398">
        <f>SUMIFS('KIDS&amp;ADULTS'!$Z$3:$Z$12006,'KIDS&amp;ADULTS'!$V$3:$V$12006,U64,'KIDS&amp;ADULTS'!$B$3:$B$12006,$W$3,'KIDS&amp;ADULTS'!$N$3:$N$12006,"Đã đóng học phí")</f>
        <v>0</v>
      </c>
      <c r="X64" s="398">
        <f>SUMIFS('KIDS&amp;ADULTS'!$Z$3:$Z$12006,'KIDS&amp;ADULTS'!$V$3:$V$12006,U64,'KIDS&amp;ADULTS'!$B$3:$B$12006,$X$3,'KIDS&amp;ADULTS'!$N$3:$N$12006,"Đã đóng học phí")</f>
        <v>0</v>
      </c>
      <c r="Y64" s="398">
        <f>SUMIFS('KIDS&amp;ADULTS'!$Z$3:$Z$12006,'KIDS&amp;ADULTS'!$V$3:$V$12006,U64,'KIDS&amp;ADULTS'!$B$3:$B$12006,$Y$3,'KIDS&amp;ADULTS'!$N$3:$N$12006,"Đã đóng học phí")</f>
        <v>0</v>
      </c>
      <c r="Z64" s="398">
        <f>SUMIFS('KIDS&amp;ADULTS'!$Z$3:$Z$12006,'KIDS&amp;ADULTS'!$V$3:$V$12006,U64,'KIDS&amp;ADULTS'!$B$3:$B$12006,$Z$3,'KIDS&amp;ADULTS'!$N$3:$N$12006,"Đã đóng học phí")</f>
        <v>0</v>
      </c>
      <c r="AA64" s="398">
        <f>SUMIFS('KIDS&amp;ADULTS'!$Z$3:$Z$12006,'KIDS&amp;ADULTS'!$V$3:$V$12006,U64,'KIDS&amp;ADULTS'!$B$3:$B$12006,$AA$3,'KIDS&amp;ADULTS'!$N$3:$N$12006,"Đã đóng học phí")</f>
        <v>0</v>
      </c>
      <c r="AB64" s="398">
        <f>SUMIFS('KIDS&amp;ADULTS'!$Z$3:$Z$12006,'KIDS&amp;ADULTS'!$V$3:$V$12006,U64,'KIDS&amp;ADULTS'!$B$3:$B$12006,$AB$3,'KIDS&amp;ADULTS'!$N$3:$N$12006,"Đã đóng học phí")</f>
        <v>0</v>
      </c>
      <c r="AC64" s="398">
        <f>SUMIFS('KIDS&amp;ADULTS'!$Z$3:$Z$12006,'KIDS&amp;ADULTS'!$V$3:$V$12006,U64,'KIDS&amp;ADULTS'!$B$3:$B$12006,$AC$3,'KIDS&amp;ADULTS'!$N$3:$N$12006,"Đã đóng học phí")</f>
        <v>0</v>
      </c>
      <c r="AD64" s="398">
        <f t="shared" si="10"/>
        <v>0</v>
      </c>
      <c r="AE64" s="386">
        <v>0.0</v>
      </c>
    </row>
    <row r="65" ht="15.75" customHeight="1">
      <c r="U65" s="372">
        <v>45133.0</v>
      </c>
      <c r="V65" s="398">
        <f>SUMIFS('KIDS&amp;ADULTS'!$Z$3:$Z$12006,'KIDS&amp;ADULTS'!V$3:V$12006,U65,'KIDS&amp;ADULTS'!$B$3:$B$12006,$K$3,'KIDS&amp;ADULTS'!$N$3:$N$12006,"Đã đóng học phí")</f>
        <v>0</v>
      </c>
      <c r="W65" s="398">
        <f>SUMIFS('KIDS&amp;ADULTS'!$Z$3:$Z$12006,'KIDS&amp;ADULTS'!$V$3:$V$12006,U65,'KIDS&amp;ADULTS'!$B$3:$B$12006,$W$3,'KIDS&amp;ADULTS'!$N$3:$N$12006,"Đã đóng học phí")</f>
        <v>0</v>
      </c>
      <c r="X65" s="398">
        <f>SUMIFS('KIDS&amp;ADULTS'!$Z$3:$Z$12006,'KIDS&amp;ADULTS'!$V$3:$V$12006,U65,'KIDS&amp;ADULTS'!$B$3:$B$12006,$X$3,'KIDS&amp;ADULTS'!$N$3:$N$12006,"Đã đóng học phí")</f>
        <v>0</v>
      </c>
      <c r="Y65" s="398">
        <f>SUMIFS('KIDS&amp;ADULTS'!$Z$3:$Z$12006,'KIDS&amp;ADULTS'!$V$3:$V$12006,U65,'KIDS&amp;ADULTS'!$B$3:$B$12006,$Y$3,'KIDS&amp;ADULTS'!$N$3:$N$12006,"Đã đóng học phí")</f>
        <v>0</v>
      </c>
      <c r="Z65" s="398">
        <f>SUMIFS('KIDS&amp;ADULTS'!$Z$3:$Z$12006,'KIDS&amp;ADULTS'!$V$3:$V$12006,U65,'KIDS&amp;ADULTS'!$B$3:$B$12006,$Z$3,'KIDS&amp;ADULTS'!$N$3:$N$12006,"Đã đóng học phí")</f>
        <v>0</v>
      </c>
      <c r="AA65" s="398">
        <f>SUMIFS('KIDS&amp;ADULTS'!$Z$3:$Z$12006,'KIDS&amp;ADULTS'!$V$3:$V$12006,U65,'KIDS&amp;ADULTS'!$B$3:$B$12006,$AA$3,'KIDS&amp;ADULTS'!$N$3:$N$12006,"Đã đóng học phí")</f>
        <v>0</v>
      </c>
      <c r="AB65" s="398">
        <f>SUMIFS('KIDS&amp;ADULTS'!$Z$3:$Z$12006,'KIDS&amp;ADULTS'!$V$3:$V$12006,U65,'KIDS&amp;ADULTS'!$B$3:$B$12006,$AB$3,'KIDS&amp;ADULTS'!$N$3:$N$12006,"Đã đóng học phí")</f>
        <v>0</v>
      </c>
      <c r="AC65" s="398">
        <f>SUMIFS('KIDS&amp;ADULTS'!$Z$3:$Z$12006,'KIDS&amp;ADULTS'!$V$3:$V$12006,U65,'KIDS&amp;ADULTS'!$B$3:$B$12006,$AC$3,'KIDS&amp;ADULTS'!$N$3:$N$12006,"Đã đóng học phí")</f>
        <v>0</v>
      </c>
      <c r="AD65" s="398">
        <f t="shared" si="10"/>
        <v>0</v>
      </c>
      <c r="AE65" s="386">
        <v>0.0</v>
      </c>
    </row>
    <row r="66" ht="15.75" customHeight="1">
      <c r="U66" s="372">
        <v>45134.0</v>
      </c>
      <c r="V66" s="398">
        <f>SUMIFS('KIDS&amp;ADULTS'!$Z$3:$Z$12006,'KIDS&amp;ADULTS'!V$3:V$12006,U66,'KIDS&amp;ADULTS'!$B$3:$B$12006,$K$3,'KIDS&amp;ADULTS'!$N$3:$N$12006,"Đã đóng học phí")</f>
        <v>0</v>
      </c>
      <c r="W66" s="398">
        <f>SUMIFS('KIDS&amp;ADULTS'!$Z$3:$Z$12006,'KIDS&amp;ADULTS'!$V$3:$V$12006,U66,'KIDS&amp;ADULTS'!$B$3:$B$12006,$W$3,'KIDS&amp;ADULTS'!$N$3:$N$12006,"Đã đóng học phí")</f>
        <v>0</v>
      </c>
      <c r="X66" s="398">
        <f>SUMIFS('KIDS&amp;ADULTS'!$Z$3:$Z$12006,'KIDS&amp;ADULTS'!$V$3:$V$12006,U66,'KIDS&amp;ADULTS'!$B$3:$B$12006,$X$3,'KIDS&amp;ADULTS'!$N$3:$N$12006,"Đã đóng học phí")</f>
        <v>0</v>
      </c>
      <c r="Y66" s="398">
        <f>SUMIFS('KIDS&amp;ADULTS'!$Z$3:$Z$12006,'KIDS&amp;ADULTS'!$V$3:$V$12006,U66,'KIDS&amp;ADULTS'!$B$3:$B$12006,$Y$3,'KIDS&amp;ADULTS'!$N$3:$N$12006,"Đã đóng học phí")</f>
        <v>10884000</v>
      </c>
      <c r="Z66" s="398">
        <f>SUMIFS('KIDS&amp;ADULTS'!$Z$3:$Z$12006,'KIDS&amp;ADULTS'!$V$3:$V$12006,U66,'KIDS&amp;ADULTS'!$B$3:$B$12006,$Z$3,'KIDS&amp;ADULTS'!$N$3:$N$12006,"Đã đóng học phí")</f>
        <v>7711500</v>
      </c>
      <c r="AA66" s="398">
        <f>SUMIFS('KIDS&amp;ADULTS'!$Z$3:$Z$12006,'KIDS&amp;ADULTS'!$V$3:$V$12006,U66,'KIDS&amp;ADULTS'!$B$3:$B$12006,$AA$3,'KIDS&amp;ADULTS'!$N$3:$N$12006,"Đã đóng học phí")</f>
        <v>0</v>
      </c>
      <c r="AB66" s="398">
        <f>SUMIFS('KIDS&amp;ADULTS'!$Z$3:$Z$12006,'KIDS&amp;ADULTS'!$V$3:$V$12006,U66,'KIDS&amp;ADULTS'!$B$3:$B$12006,$AB$3,'KIDS&amp;ADULTS'!$N$3:$N$12006,"Đã đóng học phí")</f>
        <v>0</v>
      </c>
      <c r="AC66" s="398">
        <f>SUMIFS('KIDS&amp;ADULTS'!$Z$3:$Z$12006,'KIDS&amp;ADULTS'!$V$3:$V$12006,U66,'KIDS&amp;ADULTS'!$B$3:$B$12006,$AC$3,'KIDS&amp;ADULTS'!$N$3:$N$12006,"Đã đóng học phí")</f>
        <v>0</v>
      </c>
      <c r="AD66" s="398">
        <f t="shared" si="10"/>
        <v>18595500</v>
      </c>
      <c r="AE66" s="386">
        <v>1.85955E7</v>
      </c>
    </row>
    <row r="67" ht="15.75" customHeight="1">
      <c r="U67" s="372">
        <v>45135.0</v>
      </c>
      <c r="V67" s="398">
        <f>SUMIFS('KIDS&amp;ADULTS'!$Z$3:$Z$12006,'KIDS&amp;ADULTS'!V$3:V$12006,U67,'KIDS&amp;ADULTS'!$B$3:$B$12006,$K$3,'KIDS&amp;ADULTS'!$N$3:$N$12006,"Đã đóng học phí")</f>
        <v>0</v>
      </c>
      <c r="W67" s="398">
        <f>SUMIFS('KIDS&amp;ADULTS'!$Z$3:$Z$12006,'KIDS&amp;ADULTS'!$V$3:$V$12006,U67,'KIDS&amp;ADULTS'!$B$3:$B$12006,$W$3,'KIDS&amp;ADULTS'!$N$3:$N$12006,"Đã đóng học phí")</f>
        <v>0</v>
      </c>
      <c r="X67" s="398">
        <f>SUMIFS('KIDS&amp;ADULTS'!$Z$3:$Z$12006,'KIDS&amp;ADULTS'!$V$3:$V$12006,U67,'KIDS&amp;ADULTS'!$B$3:$B$12006,$X$3,'KIDS&amp;ADULTS'!$N$3:$N$12006,"Đã đóng học phí")</f>
        <v>0</v>
      </c>
      <c r="Y67" s="398">
        <f>SUMIFS('KIDS&amp;ADULTS'!$Z$3:$Z$12006,'KIDS&amp;ADULTS'!$V$3:$V$12006,U67,'KIDS&amp;ADULTS'!$B$3:$B$12006,$Y$3,'KIDS&amp;ADULTS'!$N$3:$N$12006,"Đã đóng học phí")</f>
        <v>0</v>
      </c>
      <c r="Z67" s="398">
        <f>SUMIFS('KIDS&amp;ADULTS'!$Z$3:$Z$12006,'KIDS&amp;ADULTS'!$V$3:$V$12006,U67,'KIDS&amp;ADULTS'!$B$3:$B$12006,$Z$3,'KIDS&amp;ADULTS'!$N$3:$N$12006,"Đã đóng học phí")</f>
        <v>0</v>
      </c>
      <c r="AA67" s="398">
        <f>SUMIFS('KIDS&amp;ADULTS'!$Z$3:$Z$12006,'KIDS&amp;ADULTS'!$V$3:$V$12006,U67,'KIDS&amp;ADULTS'!$B$3:$B$12006,$AA$3,'KIDS&amp;ADULTS'!$N$3:$N$12006,"Đã đóng học phí")</f>
        <v>0</v>
      </c>
      <c r="AB67" s="398">
        <f>SUMIFS('KIDS&amp;ADULTS'!$Z$3:$Z$12006,'KIDS&amp;ADULTS'!$V$3:$V$12006,U67,'KIDS&amp;ADULTS'!$B$3:$B$12006,$AB$3,'KIDS&amp;ADULTS'!$N$3:$N$12006,"Đã đóng học phí")</f>
        <v>0</v>
      </c>
      <c r="AC67" s="398">
        <f>SUMIFS('KIDS&amp;ADULTS'!$Z$3:$Z$12006,'KIDS&amp;ADULTS'!$V$3:$V$12006,U67,'KIDS&amp;ADULTS'!$B$3:$B$12006,$AC$3,'KIDS&amp;ADULTS'!$N$3:$N$12006,"Đã đóng học phí")</f>
        <v>0</v>
      </c>
      <c r="AD67" s="398">
        <f t="shared" si="10"/>
        <v>0</v>
      </c>
      <c r="AE67" s="386">
        <v>5524000.0</v>
      </c>
    </row>
    <row r="68" ht="15.75" customHeight="1">
      <c r="U68" s="372">
        <v>45136.0</v>
      </c>
      <c r="V68" s="398">
        <f>SUMIFS('KIDS&amp;ADULTS'!$Z$3:$Z$12006,'KIDS&amp;ADULTS'!V$3:V$12006,U68,'KIDS&amp;ADULTS'!$B$3:$B$12006,$K$3,'KIDS&amp;ADULTS'!$N$3:$N$12006,"Đã đóng học phí")</f>
        <v>0</v>
      </c>
      <c r="W68" s="398">
        <f>SUMIFS('KIDS&amp;ADULTS'!$Z$3:$Z$12006,'KIDS&amp;ADULTS'!$V$3:$V$12006,U68,'KIDS&amp;ADULTS'!$B$3:$B$12006,$W$3,'KIDS&amp;ADULTS'!$N$3:$N$12006,"Đã đóng học phí")</f>
        <v>0</v>
      </c>
      <c r="X68" s="398">
        <f>SUMIFS('KIDS&amp;ADULTS'!$Z$3:$Z$12006,'KIDS&amp;ADULTS'!$V$3:$V$12006,U68,'KIDS&amp;ADULTS'!$B$3:$B$12006,$X$3,'KIDS&amp;ADULTS'!$N$3:$N$12006,"Đã đóng học phí")</f>
        <v>0</v>
      </c>
      <c r="Y68" s="398">
        <f>SUMIFS('KIDS&amp;ADULTS'!$Z$3:$Z$12006,'KIDS&amp;ADULTS'!$V$3:$V$12006,U68,'KIDS&amp;ADULTS'!$B$3:$B$12006,$Y$3,'KIDS&amp;ADULTS'!$N$3:$N$12006,"Đã đóng học phí")</f>
        <v>0</v>
      </c>
      <c r="Z68" s="398">
        <f>SUMIFS('KIDS&amp;ADULTS'!$Z$3:$Z$12006,'KIDS&amp;ADULTS'!$V$3:$V$12006,U68,'KIDS&amp;ADULTS'!$B$3:$B$12006,$Z$3,'KIDS&amp;ADULTS'!$N$3:$N$12006,"Đã đóng học phí")</f>
        <v>0</v>
      </c>
      <c r="AA68" s="398">
        <f>SUMIFS('KIDS&amp;ADULTS'!$Z$3:$Z$12006,'KIDS&amp;ADULTS'!$V$3:$V$12006,U68,'KIDS&amp;ADULTS'!$B$3:$B$12006,$AA$3,'KIDS&amp;ADULTS'!$N$3:$N$12006,"Đã đóng học phí")</f>
        <v>0</v>
      </c>
      <c r="AB68" s="398">
        <f>SUMIFS('KIDS&amp;ADULTS'!$Z$3:$Z$12006,'KIDS&amp;ADULTS'!$V$3:$V$12006,U68,'KIDS&amp;ADULTS'!$B$3:$B$12006,$AB$3,'KIDS&amp;ADULTS'!$N$3:$N$12006,"Đã đóng học phí")</f>
        <v>0</v>
      </c>
      <c r="AC68" s="398">
        <f>SUMIFS('KIDS&amp;ADULTS'!$Z$3:$Z$12006,'KIDS&amp;ADULTS'!$V$3:$V$12006,U68,'KIDS&amp;ADULTS'!$B$3:$B$12006,$AC$3,'KIDS&amp;ADULTS'!$N$3:$N$12006,"Đã đóng học phí")</f>
        <v>0</v>
      </c>
      <c r="AD68" s="398">
        <f t="shared" si="10"/>
        <v>0</v>
      </c>
      <c r="AE68" s="386">
        <v>0.0</v>
      </c>
    </row>
    <row r="69" ht="15.75" customHeight="1">
      <c r="U69" s="372">
        <v>45137.0</v>
      </c>
      <c r="V69" s="398">
        <f>SUMIFS('KIDS&amp;ADULTS'!$Z$3:$Z$12006,'KIDS&amp;ADULTS'!V$3:V$12006,U69,'KIDS&amp;ADULTS'!$B$3:$B$12006,$K$3,'KIDS&amp;ADULTS'!$N$3:$N$12006,"Đã đóng học phí")</f>
        <v>0</v>
      </c>
      <c r="W69" s="398">
        <f>SUMIFS('KIDS&amp;ADULTS'!$Z$3:$Z$12006,'KIDS&amp;ADULTS'!$V$3:$V$12006,U69,'KIDS&amp;ADULTS'!$B$3:$B$12006,$W$3,'KIDS&amp;ADULTS'!$N$3:$N$12006,"Đã đóng học phí")</f>
        <v>0</v>
      </c>
      <c r="X69" s="398">
        <f>SUMIFS('KIDS&amp;ADULTS'!$Z$3:$Z$12006,'KIDS&amp;ADULTS'!$V$3:$V$12006,U69,'KIDS&amp;ADULTS'!$B$3:$B$12006,$X$3,'KIDS&amp;ADULTS'!$N$3:$N$12006,"Đã đóng học phí")</f>
        <v>0</v>
      </c>
      <c r="Y69" s="398">
        <f>SUMIFS('KIDS&amp;ADULTS'!$Z$3:$Z$12006,'KIDS&amp;ADULTS'!$V$3:$V$12006,U69,'KIDS&amp;ADULTS'!$B$3:$B$12006,$Y$3,'KIDS&amp;ADULTS'!$N$3:$N$12006,"Đã đóng học phí")</f>
        <v>0</v>
      </c>
      <c r="Z69" s="398">
        <f>SUMIFS('KIDS&amp;ADULTS'!$Z$3:$Z$12006,'KIDS&amp;ADULTS'!$V$3:$V$12006,U69,'KIDS&amp;ADULTS'!$B$3:$B$12006,$Z$3,'KIDS&amp;ADULTS'!$N$3:$N$12006,"Đã đóng học phí")</f>
        <v>0</v>
      </c>
      <c r="AA69" s="398">
        <f>SUMIFS('KIDS&amp;ADULTS'!$Z$3:$Z$12006,'KIDS&amp;ADULTS'!$V$3:$V$12006,U69,'KIDS&amp;ADULTS'!$B$3:$B$12006,$AA$3,'KIDS&amp;ADULTS'!$N$3:$N$12006,"Đã đóng học phí")</f>
        <v>0</v>
      </c>
      <c r="AB69" s="398">
        <f>SUMIFS('KIDS&amp;ADULTS'!$Z$3:$Z$12006,'KIDS&amp;ADULTS'!$V$3:$V$12006,U69,'KIDS&amp;ADULTS'!$B$3:$B$12006,$AB$3,'KIDS&amp;ADULTS'!$N$3:$N$12006,"Đã đóng học phí")</f>
        <v>0</v>
      </c>
      <c r="AC69" s="398">
        <f>SUMIFS('KIDS&amp;ADULTS'!$Z$3:$Z$12006,'KIDS&amp;ADULTS'!$V$3:$V$12006,U69,'KIDS&amp;ADULTS'!$B$3:$B$12006,$AC$3,'KIDS&amp;ADULTS'!$N$3:$N$12006,"Đã đóng học phí")</f>
        <v>0</v>
      </c>
      <c r="AD69" s="398">
        <f t="shared" si="10"/>
        <v>0</v>
      </c>
      <c r="AE69" s="386">
        <v>0.0</v>
      </c>
    </row>
    <row r="70" ht="15.75" customHeight="1">
      <c r="U70" s="388" t="s">
        <v>4622</v>
      </c>
      <c r="V70" s="399">
        <f t="shared" ref="V70:Z70" si="11">SUM(V40:V69)</f>
        <v>0</v>
      </c>
      <c r="W70" s="411">
        <f t="shared" si="11"/>
        <v>0</v>
      </c>
      <c r="X70" s="412">
        <f t="shared" si="11"/>
        <v>5022000</v>
      </c>
      <c r="Y70" s="412">
        <f t="shared" si="11"/>
        <v>57177240</v>
      </c>
      <c r="Z70" s="413">
        <f t="shared" si="11"/>
        <v>24181900</v>
      </c>
      <c r="AA70" s="414">
        <f t="shared" ref="AA70:AC70" si="12">SUM(AA38:AA69)</f>
        <v>19909500</v>
      </c>
      <c r="AB70" s="414">
        <f t="shared" si="12"/>
        <v>15751080</v>
      </c>
      <c r="AC70" s="414">
        <f t="shared" si="12"/>
        <v>0</v>
      </c>
      <c r="AD70" s="400">
        <f t="shared" si="10"/>
        <v>122041720</v>
      </c>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J1:Q1"/>
    <mergeCell ref="K2:Q2"/>
    <mergeCell ref="A1:G1"/>
    <mergeCell ref="H1:I3"/>
    <mergeCell ref="A2:A3"/>
    <mergeCell ref="B2:F2"/>
    <mergeCell ref="G2:G3"/>
    <mergeCell ref="J2:J3"/>
    <mergeCell ref="U2:U3"/>
    <mergeCell ref="V2:AC2"/>
    <mergeCell ref="U37:AC37"/>
    <mergeCell ref="U38:U39"/>
    <mergeCell ref="V38:AC38"/>
    <mergeCell ref="U1:AC1"/>
    <mergeCell ref="AF2:AN2"/>
    <mergeCell ref="AF3:AF4"/>
    <mergeCell ref="AG3:AN3"/>
    <mergeCell ref="AF7:AN7"/>
    <mergeCell ref="AF8:AF9"/>
    <mergeCell ref="AG8:AN8"/>
  </mergeCells>
  <conditionalFormatting sqref="K4:R33">
    <cfRule type="cellIs" dxfId="1" priority="1" operator="greaterThan">
      <formula>0</formula>
    </cfRule>
  </conditionalFormatting>
  <conditionalFormatting sqref="V4:AC33">
    <cfRule type="cellIs" dxfId="7" priority="2" operator="greaterThan">
      <formula>0</formula>
    </cfRule>
  </conditionalFormatting>
  <conditionalFormatting sqref="V40:AC69">
    <cfRule type="cellIs" dxfId="7" priority="3" operator="greaterThan">
      <formula>0</formula>
    </cfRule>
  </conditionalFormatting>
  <drawing r:id="rId2"/>
  <legacyDrawing r:id="rId3"/>
</worksheet>
</file>