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quotation_240105\"/>
    </mc:Choice>
  </mc:AlternateContent>
  <xr:revisionPtr revIDLastSave="0" documentId="13_ncr:1_{ED0AB35D-1585-4F9B-92D3-15BBDA2B5340}" xr6:coauthVersionLast="47" xr6:coauthVersionMax="47" xr10:uidLastSave="{00000000-0000-0000-0000-000000000000}"/>
  <bookViews>
    <workbookView xWindow="1992" yWindow="1584" windowWidth="17280" windowHeight="9060" activeTab="1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3" l="1"/>
  <c r="F42" i="3" s="1"/>
  <c r="H25" i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C16" i="3"/>
  <c r="C15" i="3"/>
  <c r="Q12" i="6"/>
  <c r="R12" i="6"/>
  <c r="H26" i="1" l="1"/>
  <c r="I27" i="1" s="1"/>
  <c r="A1" i="6" l="1"/>
  <c r="B1" i="6" s="1"/>
  <c r="E3" i="6" s="1"/>
  <c r="A2" i="7"/>
  <c r="E2" i="6" l="1"/>
  <c r="I2" i="6" s="1"/>
  <c r="J2" i="6" s="1"/>
  <c r="E9" i="6"/>
  <c r="E4" i="6"/>
  <c r="I4" i="6" s="1"/>
  <c r="E10" i="6"/>
  <c r="I10" i="6" s="1"/>
  <c r="E8" i="6"/>
  <c r="I8" i="6" s="1"/>
  <c r="J8" i="6" s="1"/>
  <c r="E5" i="6"/>
  <c r="F5" i="6" s="1"/>
  <c r="G5" i="6" s="1"/>
  <c r="E6" i="6"/>
  <c r="F6" i="6" s="1"/>
  <c r="G6" i="6" s="1"/>
  <c r="E7" i="6"/>
  <c r="I7" i="6" s="1"/>
  <c r="B2" i="7"/>
  <c r="C2" i="7" s="1"/>
  <c r="A44" i="3" s="1"/>
  <c r="B1" i="7"/>
  <c r="C1" i="7" s="1"/>
  <c r="A43" i="3" s="1"/>
  <c r="F3" i="6"/>
  <c r="G3" i="6" s="1"/>
  <c r="I3" i="6"/>
  <c r="J6" i="6" l="1"/>
  <c r="I5" i="6"/>
  <c r="J5" i="6" s="1"/>
  <c r="I6" i="6"/>
  <c r="F10" i="6"/>
  <c r="J7" i="6"/>
  <c r="F7" i="6"/>
  <c r="G7" i="6" s="1"/>
  <c r="H10" i="6"/>
  <c r="F8" i="6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<sst xmlns="http://schemas.openxmlformats.org/spreadsheetml/2006/main" count="257" uniqueCount="193">
  <si>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</si>
  <si>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</si>
  <si>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</si>
  <si>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</si>
  <si>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</si>
  <si>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</si>
  <si>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</si>
  <si>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</si>
  <si>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</si>
  <si>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</si>
  <si>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</si>
  <si>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</si>
  <si>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</si>
  <si>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</si>
  <si>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</si>
  <si>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</si>
  <si>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</si>
  <si>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</si>
  <si>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</si>
  <si>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</si>
  <si>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</si>
  <si>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</si>
  <si>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</si>
  <si>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</si>
  <si>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</si>
  <si>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</si>
  <si>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</si>
  <si>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</si>
  <si>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</si>
  <si>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</si>
  <si>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</si>
  <si>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</si>
  <si>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</si>
  <si>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</si>
  <si>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</si>
  <si>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</si>
  <si>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</si>
  <si>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</si>
  <si>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</si>
  <si>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</si>
  <si>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</si>
  <si>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</si>
  <si>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</si>
  <si>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</si>
  <si>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</si>
  <si>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</si>
  <si>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</si>
  <si>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</si>
  <si>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</si>
  <si>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</si>
  <si>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</si>
  <si>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</si>
  <si>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</si>
  <si>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</si>
  <si>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</si>
  <si>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</si>
  <si>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</si>
  <si>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</si>
  <si>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</si>
  <si>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</si>
  <si>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</si>
  <si>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</si>
  <si>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</si>
  <si>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</si>
  <si>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</si>
  <si>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</si>
  <si>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</si>
  <si>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</si>
  <si>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</si>
  <si>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</si>
  <si>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</si>
  <si>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</si>
  <si>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</si>
  <si>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</si>
  <si>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</si>
  <si>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</si>
  <si>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</si>
  <si>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</si>
  <si>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</si>
  <si>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</si>
  <si>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</si>
  <si>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</si>
  <si>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</si>
  <si>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</si>
  <si>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</si>
  <si>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</si>
  <si>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</si>
  <si>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</si>
  <si>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</si>
  <si>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</si>
  <si>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</si>
  <si>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</si>
  <si>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</si>
  <si>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</si>
  <si>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</si>
  <si>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</si>
  <si>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</si>
  <si>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</si>
  <si>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</si>
  <si>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</si>
  <si>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</si>
  <si>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</si>
  <si>
    <t>Báo Giá Sửa Chữa Ống Soi Dạ Dày_EG-600WR_SN:7G391K123</t>
  </si>
  <si>
    <t>Bệnh Viện Bạch Mai</t>
  </si>
  <si>
    <t>Nguyễn Tuấn Minh</t>
  </si>
  <si>
    <t>Date: 10/08/2023</t>
  </si>
  <si>
    <t>Dealer</t>
  </si>
  <si>
    <t>FMSV2023080014</t>
  </si>
  <si>
    <t>1 USD =</t>
  </si>
  <si>
    <t>BSA  G391A</t>
  </si>
  <si>
    <t>Bộ phận uốn cong</t>
  </si>
  <si>
    <t>FW12G342A1295820E</t>
  </si>
  <si>
    <t>FSA-G391A</t>
  </si>
  <si>
    <t>Vỏ ống luồn</t>
  </si>
  <si>
    <t>FW12G68A1296102E</t>
  </si>
  <si>
    <t>LG FLEXIBLE SECTION ASSY ROHS</t>
  </si>
  <si>
    <t>Vỏ ống dẫn</t>
  </si>
  <si>
    <t>FW12G343A1295408G</t>
  </si>
  <si>
    <t>AIR/WATER TUBE ASS''Y</t>
  </si>
  <si>
    <t>Kênh khí nước</t>
  </si>
  <si>
    <t>F370Y200592</t>
  </si>
  <si>
    <t>FCT-G391A</t>
  </si>
  <si>
    <t>Kênh sinh thiết</t>
  </si>
  <si>
    <t>FW12G68A1304928B</t>
  </si>
  <si>
    <t>J TUBE</t>
  </si>
  <si>
    <t>Kênh nước phụ</t>
  </si>
  <si>
    <t>FW12G68B1318113A</t>
  </si>
  <si>
    <t>CAP</t>
  </si>
  <si>
    <t>Nắp nhựa</t>
  </si>
  <si>
    <t>F317Y200047B</t>
  </si>
  <si>
    <t>NOZZLE</t>
  </si>
  <si>
    <t>Vòi phun</t>
  </si>
  <si>
    <t>F371Y200079B</t>
  </si>
  <si>
    <t>WIRE ASSY(D) DWA-615      ROHS</t>
  </si>
  <si>
    <t>Dây cáp thép</t>
  </si>
  <si>
    <t>FW12G56A1021415A</t>
  </si>
  <si>
    <t>WIRE ASSY(U) DWA-670      ROHS</t>
  </si>
  <si>
    <t>FW12G56A1021298A</t>
  </si>
  <si>
    <t>BELT</t>
  </si>
  <si>
    <t>dây đai</t>
  </si>
  <si>
    <t>FW12G56B11069912</t>
  </si>
  <si>
    <t>LR LOCK KNOB</t>
  </si>
  <si>
    <t>Khóa điều khiển</t>
  </si>
  <si>
    <t>FW12G16A1327739D</t>
  </si>
  <si>
    <t>FCT RING</t>
  </si>
  <si>
    <t>Vòng sắt</t>
  </si>
  <si>
    <t>FW12G68B12541530</t>
  </si>
  <si>
    <t>ISA RING 1</t>
  </si>
  <si>
    <t>FW12G23B1040417A</t>
  </si>
  <si>
    <t>ISA RING 2</t>
  </si>
  <si>
    <t>FW12G23B1276136A</t>
  </si>
  <si>
    <t>SLIDE SLEEVE</t>
  </si>
  <si>
    <t>Ống nối</t>
  </si>
  <si>
    <t>FW12G42B12891190</t>
  </si>
  <si>
    <t>SLEEVE ROHS</t>
  </si>
  <si>
    <t>Ống nối (đồng)</t>
  </si>
  <si>
    <t>FW12G42B632243A</t>
  </si>
  <si>
    <t>NUT ASS'Y</t>
  </si>
  <si>
    <t>Đai ốc (đồng)</t>
  </si>
  <si>
    <t>FW12G54A379237A</t>
  </si>
  <si>
    <t>RBS-G181A</t>
  </si>
  <si>
    <t>Vỏ cao su</t>
  </si>
  <si>
    <t>FW12G68B989926A</t>
  </si>
  <si>
    <t>Visit/FSE- Tran Duc</t>
  </si>
  <si>
    <t>FFVN-01.2024/</t>
  </si>
  <si>
    <t>EG-600WR</t>
  </si>
  <si>
    <t>7G391K123</t>
  </si>
  <si>
    <t>Bệnh viện Bạch Mai</t>
  </si>
  <si>
    <t>Bach Mai Hospital</t>
  </si>
  <si>
    <t>78 Giải Phóng, Quận Đống Đa, TP. Hà Nội</t>
  </si>
  <si>
    <t>78 Giai Phong str, Dong Da dist, Ha Noi city</t>
  </si>
  <si>
    <t>Bộ phận uốn cong/BSA  G391A</t>
  </si>
  <si>
    <t>Cái/Pcs</t>
  </si>
  <si>
    <t>(bao gồm/included)</t>
  </si>
  <si>
    <t>Vỏ ống luồn/FSA-G391A</t>
  </si>
  <si>
    <t>Vỏ ống dẫn/LG FLEXIBLE SECTION ASSY ROHS</t>
  </si>
  <si>
    <t>Kênh khí nước/AIR/WATER TUBE ASS''Y</t>
  </si>
  <si>
    <t>Kênh sinh thiết/FCT-G391A</t>
  </si>
  <si>
    <t>Kênh nước phụ/J TUBE</t>
  </si>
  <si>
    <t>Nắp nhựa/CAP</t>
  </si>
  <si>
    <t>Vòi phun/NOZZLE</t>
  </si>
  <si>
    <t>Dây cáp thép/WIRE ASSY(D) DWA-615      ROHS</t>
  </si>
  <si>
    <t>Dây cáp thép/WIRE ASSY(U) DWA-670      ROHS</t>
  </si>
  <si>
    <t>dây đai/BELT</t>
  </si>
  <si>
    <t>Khóa điều khiển/LR LOCK KNOB</t>
  </si>
  <si>
    <t>Vòng sắt/FCT RING</t>
  </si>
  <si>
    <t>Vòng sắt/ISA RING 1</t>
  </si>
  <si>
    <t>Vòng sắt/ISA RING 2</t>
  </si>
  <si>
    <t>Ống nối/SLIDE SLEEVE</t>
  </si>
  <si>
    <t>Ống nối (đồng)/SLEEVE ROHS</t>
  </si>
  <si>
    <t>04</t>
  </si>
  <si>
    <t>Đai ốc (đồng)/NUT ASS'Y</t>
  </si>
  <si>
    <t>Vỏ cao su/RBS-G181A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</si>
</sst>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theme="9" tint="0.39994506668294322"/>
      </right>
      <top style="medium">
        <color rgb="FFA8D08D"/>
      </top>
      <bottom style="medium">
        <color rgb="FFA8D08D"/>
      </bottom>
      <diagonal/>
    </border>
    <border>
      <left style="medium">
        <color theme="9" tint="0.39994506668294322"/>
      </left>
      <right/>
      <top style="medium">
        <color rgb="FFA8D08D"/>
      </top>
      <bottom style="medium">
        <color rgb="FFA8D08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8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6" fillId="7" borderId="0" xfId="0" applyFont="1" applyFill="1" applyBorder="1" applyAlignment="1">
      <alignment horizontal="center" vertical="top" wrapText="1"/>
    </xf>
    <xf numFmtId="0" fontId="6" fillId="7" borderId="24" xfId="0" applyFont="1" applyFill="1" applyBorder="1" applyAlignment="1">
      <alignment horizontal="left" vertical="top" wrapText="1"/>
    </xf>
    <xf numFmtId="0" fontId="6" fillId="7" borderId="24" xfId="0" applyFont="1" applyFill="1" applyBorder="1" applyAlignment="1">
      <alignment horizontal="center" vertical="top" wrapText="1"/>
    </xf>
    <xf numFmtId="0" fontId="6" fillId="7" borderId="25" xfId="0" applyFont="1" applyFill="1" applyBorder="1" applyAlignment="1">
      <alignment horizontal="left" vertical="top" wrapText="1"/>
    </xf>
    <xf numFmtId="0" fontId="6" fillId="7" borderId="26" xfId="0" applyFont="1" applyFill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4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6</xdr:row>
      <xdr:rowOff>59690</xdr:rowOff>
    </xdr:from>
    <xdr:to>
      <xdr:col>8</xdr:col>
      <xdr:colOff>1231900</xdr:colOff>
      <xdr:row>11</xdr:row>
      <xdr:rowOff>135890</xdr:rowOff>
    </xdr:to>
    <xdr:pic>
      <xdr:nvPicPr>
        <xdr:cNvPr id="3" name="img_name">
          <a:extLst>
            <a:ext uri="{FF2B5EF4-FFF2-40B4-BE49-F238E27FC236}">
              <a16:creationId xmlns:a16="http://schemas.microsoft.com/office/drawing/2014/main" id="{C182CAA7-9D95-781C-F090-657913681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200" y="137795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57</xdr:row>
      <xdr:rowOff>28575</xdr:rowOff>
    </xdr:from>
    <xdr:to>
      <xdr:col>6</xdr:col>
      <xdr:colOff>504825</xdr:colOff>
      <xdr:row>63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1176345</xdr:colOff>
      <xdr:row>1</xdr:row>
      <xdr:rowOff>156845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32"/>
  <sheetViews>
    <sheetView workbookViewId="0">
      <selection activeCell="H7" sqref="H7"/>
    </sheetView>
  </sheetViews>
  <sheetFormatPr defaultRowHeight="15"/>
  <cols>
    <col min="1" max="1" width="4.7109375" customWidth="1"/>
    <col min="2" max="2" width="31" customWidth="1"/>
    <col min="3" max="3" width="27.5703125" customWidth="1"/>
    <col min="4" max="4" width="18.7109375" bestFit="1" customWidth="1"/>
    <col min="5" max="5" width="9.7109375" customWidth="1"/>
    <col min="7" max="7" width="12.28515625" customWidth="1"/>
    <col min="8" max="8" width="11.42578125" customWidth="1"/>
    <col min="9" max="9" width="21.570312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 t="s">
        <v>102</v>
      </c>
      <c r="C2" s="3"/>
      <c r="D2" s="7"/>
      <c r="E2" s="3"/>
      <c r="F2" s="4"/>
      <c r="G2" s="3"/>
      <c r="H2" s="3"/>
      <c r="I2" s="6"/>
    </row>
    <row r="3" spans="1:9">
      <c r="B3" s="8" t="s">
        <v>103</v>
      </c>
      <c r="D3" s="3"/>
      <c r="E3" s="3"/>
      <c r="F3" s="4"/>
      <c r="G3" s="9"/>
      <c r="H3" s="9"/>
      <c r="I3" s="6"/>
    </row>
    <row r="4" spans="1:9">
      <c r="A4" s="10"/>
      <c r="B4" t="s">
        <v>104</v>
      </c>
      <c r="C4" s="11" t="s">
        <v>105</v>
      </c>
      <c r="D4" s="12"/>
      <c r="E4" s="3"/>
      <c r="F4" s="3">
        <v>450</v>
      </c>
      <c r="G4" s="13" t="s">
        <v>106</v>
      </c>
      <c r="H4" s="9" t="s">
        <v>108</v>
      </c>
      <c r="I4" s="14">
        <v>24882</v>
      </c>
    </row>
    <row r="5" spans="1:9" ht="30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9" customHeight="1">
      <c r="A6" s="18">
        <v>1</v>
      </c>
      <c r="B6" s="18" t="s">
        <v>109</v>
      </c>
      <c r="C6" s="18" t="s">
        <v>110</v>
      </c>
      <c r="D6" s="18" t="s">
        <v>111</v>
      </c>
      <c r="E6" s="18">
        <v>1</v>
      </c>
      <c r="F6" s="18">
        <f t="shared" ref="F6:F24" si="0">IF($F$4="","",$F$4*G6/3153.05084745762)</f>
        <v>157.9487179487183</v>
      </c>
      <c r="G6" s="19">
        <v>1106.7118644067796</v>
      </c>
      <c r="H6" s="19">
        <f t="shared" ref="H6:H24" si="1">E6*G6+F6</f>
        <v>1264.6605823554978</v>
      </c>
      <c r="I6" s="71" t="s">
        <v>107</v>
      </c>
    </row>
    <row r="7" spans="1:9" ht="13.9" customHeight="1">
      <c r="A7" s="18">
        <v>2</v>
      </c>
      <c r="B7" s="18" t="s">
        <v>112</v>
      </c>
      <c r="C7" s="18" t="s">
        <v>113</v>
      </c>
      <c r="D7" s="18" t="s">
        <v>114</v>
      </c>
      <c r="E7" s="18">
        <v>1</v>
      </c>
      <c r="F7" s="18">
        <f t="shared" si="0"/>
        <v>83.589743589743776</v>
      </c>
      <c r="G7" s="19">
        <v>585.69491525423723</v>
      </c>
      <c r="H7" s="19">
        <f t="shared" si="1"/>
        <v>669.28465884398099</v>
      </c>
      <c r="I7" s="71"/>
    </row>
    <row r="8" spans="1:9" ht="13.9" customHeight="1">
      <c r="A8" s="18">
        <v>3</v>
      </c>
      <c r="B8" s="18" t="s">
        <v>115</v>
      </c>
      <c r="C8" s="18" t="s">
        <v>116</v>
      </c>
      <c r="D8" s="18" t="s">
        <v>117</v>
      </c>
      <c r="E8" s="18">
        <v>1</v>
      </c>
      <c r="F8" s="18">
        <f t="shared" si="0"/>
        <v>115.38461538461564</v>
      </c>
      <c r="G8" s="19">
        <v>808.47457627118638</v>
      </c>
      <c r="H8" s="19">
        <f t="shared" si="1"/>
        <v>923.85919165580208</v>
      </c>
      <c r="I8" s="71"/>
    </row>
    <row r="9" spans="1:9" ht="13.9" customHeight="1">
      <c r="A9" s="18">
        <v>4</v>
      </c>
      <c r="B9" s="18" t="s">
        <v>118</v>
      </c>
      <c r="C9" s="18" t="s">
        <v>119</v>
      </c>
      <c r="D9" s="18" t="s">
        <v>120</v>
      </c>
      <c r="E9" s="18">
        <v>1</v>
      </c>
      <c r="F9" s="18">
        <f t="shared" si="0"/>
        <v>17.179487179487214</v>
      </c>
      <c r="G9" s="19">
        <v>120.37288135593218</v>
      </c>
      <c r="H9" s="19">
        <f t="shared" si="1"/>
        <v>137.55236853541939</v>
      </c>
      <c r="I9" s="71"/>
    </row>
    <row r="10" spans="1:9" ht="13.9" customHeight="1">
      <c r="A10" s="18">
        <v>5</v>
      </c>
      <c r="B10" s="18" t="s">
        <v>121</v>
      </c>
      <c r="C10" s="18" t="s">
        <v>122</v>
      </c>
      <c r="D10" s="18" t="s">
        <v>123</v>
      </c>
      <c r="E10" s="18">
        <v>1</v>
      </c>
      <c r="F10" s="18">
        <f t="shared" si="0"/>
        <v>17.948717948717988</v>
      </c>
      <c r="G10" s="19">
        <v>125.76271186440677</v>
      </c>
      <c r="H10" s="19">
        <f t="shared" si="1"/>
        <v>143.71142981312477</v>
      </c>
      <c r="I10" s="71"/>
    </row>
    <row r="11" spans="1:9" ht="13.9" customHeight="1">
      <c r="A11" s="18">
        <v>6</v>
      </c>
      <c r="B11" s="18" t="s">
        <v>124</v>
      </c>
      <c r="C11" s="18" t="s">
        <v>125</v>
      </c>
      <c r="D11" s="18" t="s">
        <v>126</v>
      </c>
      <c r="E11" s="18">
        <v>1</v>
      </c>
      <c r="F11" s="18">
        <f t="shared" si="0"/>
        <v>1.7948717948717987</v>
      </c>
      <c r="G11" s="19">
        <v>12.576271186440676</v>
      </c>
      <c r="H11" s="19">
        <f t="shared" si="1"/>
        <v>14.371142981312476</v>
      </c>
      <c r="I11" s="71"/>
    </row>
    <row r="12" spans="1:9" ht="13.9" customHeight="1">
      <c r="A12" s="18">
        <v>7</v>
      </c>
      <c r="B12" s="18" t="s">
        <v>127</v>
      </c>
      <c r="C12" s="18" t="s">
        <v>128</v>
      </c>
      <c r="D12" s="18" t="s">
        <v>129</v>
      </c>
      <c r="E12" s="18">
        <v>1</v>
      </c>
      <c r="F12" s="18">
        <f t="shared" si="0"/>
        <v>23.07692307692313</v>
      </c>
      <c r="G12" s="19">
        <v>161.69491525423729</v>
      </c>
      <c r="H12" s="19">
        <f t="shared" si="1"/>
        <v>184.77183833116041</v>
      </c>
      <c r="I12" s="71"/>
    </row>
    <row r="13" spans="1:9" ht="13.9" customHeight="1">
      <c r="A13" s="18">
        <v>8</v>
      </c>
      <c r="B13" s="18" t="s">
        <v>130</v>
      </c>
      <c r="C13" s="18" t="s">
        <v>131</v>
      </c>
      <c r="D13" s="18" t="s">
        <v>132</v>
      </c>
      <c r="E13" s="18">
        <v>1</v>
      </c>
      <c r="F13" s="18">
        <f t="shared" si="0"/>
        <v>13.589743589743618</v>
      </c>
      <c r="G13" s="19">
        <v>95.220338983050837</v>
      </c>
      <c r="H13" s="19">
        <f t="shared" si="1"/>
        <v>108.81008257279446</v>
      </c>
      <c r="I13" s="71"/>
    </row>
    <row r="14" spans="1:9" ht="13.9" customHeight="1">
      <c r="A14" s="18">
        <v>9</v>
      </c>
      <c r="B14" s="18" t="s">
        <v>133</v>
      </c>
      <c r="C14" s="18" t="s">
        <v>134</v>
      </c>
      <c r="D14" s="18" t="s">
        <v>135</v>
      </c>
      <c r="E14" s="18">
        <v>1</v>
      </c>
      <c r="F14" s="18">
        <f t="shared" si="0"/>
        <v>1.025641025641028</v>
      </c>
      <c r="G14" s="19">
        <v>7.1864406779661012</v>
      </c>
      <c r="H14" s="19">
        <f t="shared" si="1"/>
        <v>8.2120817036071294</v>
      </c>
      <c r="I14" s="71"/>
    </row>
    <row r="15" spans="1:9" ht="13.9" customHeight="1">
      <c r="A15" s="18">
        <v>10</v>
      </c>
      <c r="B15" s="18" t="s">
        <v>136</v>
      </c>
      <c r="C15" s="18" t="s">
        <v>134</v>
      </c>
      <c r="D15" s="18" t="s">
        <v>137</v>
      </c>
      <c r="E15" s="18">
        <v>1</v>
      </c>
      <c r="F15" s="18">
        <f t="shared" si="0"/>
        <v>1.025641025641028</v>
      </c>
      <c r="G15" s="19">
        <v>7.1864406779661012</v>
      </c>
      <c r="H15" s="19">
        <f t="shared" si="1"/>
        <v>8.2120817036071294</v>
      </c>
      <c r="I15" s="71"/>
    </row>
    <row r="16" spans="1:9" ht="13.9" customHeight="1">
      <c r="A16" s="18">
        <v>11</v>
      </c>
      <c r="B16" s="18" t="s">
        <v>138</v>
      </c>
      <c r="C16" s="18" t="s">
        <v>139</v>
      </c>
      <c r="D16" s="18" t="s">
        <v>140</v>
      </c>
      <c r="E16" s="18">
        <v>1</v>
      </c>
      <c r="F16" s="18">
        <f t="shared" si="0"/>
        <v>1.025641025641028</v>
      </c>
      <c r="G16" s="19">
        <v>7.1864406779661012</v>
      </c>
      <c r="H16" s="19">
        <f t="shared" si="1"/>
        <v>8.2120817036071294</v>
      </c>
      <c r="I16" s="71"/>
    </row>
    <row r="17" spans="1:9" ht="13.9" customHeight="1">
      <c r="A17" s="18">
        <v>12</v>
      </c>
      <c r="B17" s="18" t="s">
        <v>141</v>
      </c>
      <c r="C17" s="18" t="s">
        <v>142</v>
      </c>
      <c r="D17" s="18" t="s">
        <v>143</v>
      </c>
      <c r="E17" s="18">
        <v>1</v>
      </c>
      <c r="F17" s="18">
        <f t="shared" si="0"/>
        <v>3.8461538461538547</v>
      </c>
      <c r="G17" s="19">
        <v>26.949152542372879</v>
      </c>
      <c r="H17" s="19">
        <f t="shared" si="1"/>
        <v>30.795306388526733</v>
      </c>
      <c r="I17" s="71"/>
    </row>
    <row r="18" spans="1:9" ht="13.9" customHeight="1">
      <c r="A18" s="18">
        <v>13</v>
      </c>
      <c r="B18" s="18" t="s">
        <v>144</v>
      </c>
      <c r="C18" s="18" t="s">
        <v>145</v>
      </c>
      <c r="D18" s="18" t="s">
        <v>146</v>
      </c>
      <c r="E18" s="18">
        <v>1</v>
      </c>
      <c r="F18" s="18">
        <f t="shared" si="0"/>
        <v>2.5641025641025696</v>
      </c>
      <c r="G18" s="19">
        <v>17.966101694915253</v>
      </c>
      <c r="H18" s="19">
        <f t="shared" si="1"/>
        <v>20.530204259017822</v>
      </c>
      <c r="I18" s="71"/>
    </row>
    <row r="19" spans="1:9" ht="13.9" customHeight="1">
      <c r="A19" s="18">
        <v>14</v>
      </c>
      <c r="B19" s="18" t="s">
        <v>147</v>
      </c>
      <c r="C19" s="18" t="s">
        <v>145</v>
      </c>
      <c r="D19" s="18" t="s">
        <v>148</v>
      </c>
      <c r="E19" s="18">
        <v>1</v>
      </c>
      <c r="F19" s="18">
        <f t="shared" si="0"/>
        <v>1.5384615384615419</v>
      </c>
      <c r="G19" s="19">
        <v>10.779661016949152</v>
      </c>
      <c r="H19" s="19">
        <f t="shared" si="1"/>
        <v>12.318122555410694</v>
      </c>
      <c r="I19" s="71"/>
    </row>
    <row r="20" spans="1:9" ht="13.9" customHeight="1">
      <c r="A20" s="18">
        <v>15</v>
      </c>
      <c r="B20" s="18" t="s">
        <v>149</v>
      </c>
      <c r="C20" s="18" t="s">
        <v>145</v>
      </c>
      <c r="D20" s="18" t="s">
        <v>150</v>
      </c>
      <c r="E20" s="18">
        <v>1</v>
      </c>
      <c r="F20" s="18">
        <f t="shared" si="0"/>
        <v>2.051282051282056</v>
      </c>
      <c r="G20" s="19">
        <v>14.372881355932202</v>
      </c>
      <c r="H20" s="19">
        <f t="shared" si="1"/>
        <v>16.424163407214259</v>
      </c>
      <c r="I20" s="71"/>
    </row>
    <row r="21" spans="1:9" ht="13.9" customHeight="1">
      <c r="A21" s="18">
        <v>16</v>
      </c>
      <c r="B21" s="18" t="s">
        <v>151</v>
      </c>
      <c r="C21" s="18" t="s">
        <v>152</v>
      </c>
      <c r="D21" s="18" t="s">
        <v>153</v>
      </c>
      <c r="E21" s="18">
        <v>1</v>
      </c>
      <c r="F21" s="18">
        <f t="shared" si="0"/>
        <v>1.7948717948717987</v>
      </c>
      <c r="G21" s="19">
        <v>12.576271186440676</v>
      </c>
      <c r="H21" s="19">
        <f t="shared" si="1"/>
        <v>14.371142981312476</v>
      </c>
      <c r="I21" s="71"/>
    </row>
    <row r="22" spans="1:9" ht="13.9" customHeight="1">
      <c r="A22" s="18">
        <v>17</v>
      </c>
      <c r="B22" s="18" t="s">
        <v>154</v>
      </c>
      <c r="C22" s="18" t="s">
        <v>155</v>
      </c>
      <c r="D22" s="18" t="s">
        <v>156</v>
      </c>
      <c r="E22" s="18">
        <v>4</v>
      </c>
      <c r="F22" s="18">
        <f t="shared" si="0"/>
        <v>0.256410256410257</v>
      </c>
      <c r="G22" s="19">
        <v>1.7966101694915253</v>
      </c>
      <c r="H22" s="19">
        <f t="shared" si="1"/>
        <v>7.4428509343763585</v>
      </c>
      <c r="I22" s="71"/>
    </row>
    <row r="23" spans="1:9" ht="13.9" customHeight="1">
      <c r="A23" s="18">
        <v>18</v>
      </c>
      <c r="B23" s="18" t="s">
        <v>157</v>
      </c>
      <c r="C23" s="18" t="s">
        <v>158</v>
      </c>
      <c r="D23" s="18" t="s">
        <v>159</v>
      </c>
      <c r="E23" s="18">
        <v>4</v>
      </c>
      <c r="F23" s="18">
        <f t="shared" si="0"/>
        <v>1.025641025641028</v>
      </c>
      <c r="G23" s="19">
        <v>7.1864406779661012</v>
      </c>
      <c r="H23" s="19">
        <f t="shared" si="1"/>
        <v>29.771403737505434</v>
      </c>
      <c r="I23" s="71"/>
    </row>
    <row r="24" spans="1:9" ht="13.9" customHeight="1">
      <c r="A24" s="18">
        <v>19</v>
      </c>
      <c r="B24" s="18" t="s">
        <v>160</v>
      </c>
      <c r="C24" s="18" t="s">
        <v>161</v>
      </c>
      <c r="D24" s="18" t="s">
        <v>162</v>
      </c>
      <c r="E24" s="18">
        <v>1</v>
      </c>
      <c r="F24" s="18">
        <f t="shared" si="0"/>
        <v>3.3333333333333406</v>
      </c>
      <c r="G24" s="19">
        <v>23.355932203389827</v>
      </c>
      <c r="H24" s="19">
        <f t="shared" si="1"/>
        <v>26.689265536723166</v>
      </c>
      <c r="I24" s="71"/>
    </row>
    <row r="25" spans="1:9">
      <c r="A25" s="72" t="s">
        <v>9</v>
      </c>
      <c r="B25" s="72"/>
      <c r="C25" s="72"/>
      <c r="D25" s="72"/>
      <c r="E25" s="72"/>
      <c r="F25" s="72"/>
      <c r="G25" s="72"/>
      <c r="H25" s="19">
        <f>SUM(H6:H24)</f>
        <v>3630</v>
      </c>
      <c r="I25" s="71"/>
    </row>
    <row r="26" spans="1:9">
      <c r="A26" s="72" t="s">
        <v>10</v>
      </c>
      <c r="B26" s="72"/>
      <c r="C26" s="72"/>
      <c r="D26" s="72"/>
      <c r="E26" s="72"/>
      <c r="F26" s="72"/>
      <c r="G26" s="72"/>
      <c r="H26" s="19">
        <f>1.1*H25</f>
        <v>3993.0000000000005</v>
      </c>
      <c r="I26" s="71"/>
    </row>
    <row r="27" spans="1:9">
      <c r="A27" s="20"/>
      <c r="B27" s="20"/>
      <c r="C27" s="20"/>
      <c r="D27" s="20"/>
      <c r="E27" s="20"/>
      <c r="F27" s="20"/>
      <c r="G27" s="20"/>
      <c r="H27" s="20"/>
      <c r="I27" s="14">
        <f>H26*I4</f>
        <v>99353826.000000015</v>
      </c>
    </row>
    <row r="28" spans="1:9">
      <c r="A28" s="20"/>
      <c r="B28" s="20"/>
      <c r="C28" s="20"/>
      <c r="D28" s="20"/>
      <c r="E28" s="20"/>
      <c r="F28" s="20"/>
      <c r="G28" s="20"/>
      <c r="H28" s="20"/>
      <c r="I28" s="20"/>
    </row>
    <row r="29" spans="1:9">
      <c r="A29" s="20"/>
      <c r="B29" s="20"/>
      <c r="C29" s="20"/>
      <c r="D29" s="20"/>
      <c r="E29" s="20"/>
      <c r="F29" s="20"/>
      <c r="G29" s="20"/>
      <c r="H29" s="20"/>
      <c r="I29" s="20"/>
    </row>
    <row r="30" spans="1:9">
      <c r="A30" s="20"/>
      <c r="B30" s="20"/>
      <c r="C30" s="20"/>
      <c r="D30" s="20"/>
      <c r="E30" s="20"/>
      <c r="F30" s="20"/>
      <c r="G30" s="20"/>
      <c r="H30" s="20"/>
      <c r="I30" s="20"/>
    </row>
    <row r="31" spans="1:9">
      <c r="A31" s="20"/>
      <c r="B31" s="20"/>
      <c r="C31" s="20"/>
      <c r="D31" s="20"/>
      <c r="E31" s="20"/>
      <c r="F31" s="20"/>
      <c r="G31" s="20"/>
      <c r="H31" s="20"/>
      <c r="I31" s="20"/>
    </row>
    <row r="32" spans="1:9">
      <c r="A32" s="20"/>
      <c r="B32" s="20"/>
      <c r="C32" s="20"/>
      <c r="D32" s="20"/>
      <c r="E32" s="20"/>
      <c r="F32" s="20"/>
      <c r="G32" s="20"/>
      <c r="H32" s="20"/>
      <c r="I32" s="20"/>
    </row>
  </sheetData>
  <mergeCells count="3">
    <mergeCell ref="I6:I26"/>
    <mergeCell ref="A25:G25"/>
    <mergeCell ref="A26:G26"/>
  </mergeCells>
  <conditionalFormatting sqref="F6:F24">
    <cfRule type="expression" dxfId="3" priority="1" stopIfTrue="1">
      <formula>IF($F$6&lt;1,1,0)</formula>
    </cfRule>
  </conditionalFormatting>
  <conditionalFormatting sqref="G6:G24">
    <cfRule type="expression" dxfId="2" priority="3" stopIfTrue="1">
      <formula>IF(G6=$G$3,1,0)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64"/>
  <sheetViews>
    <sheetView tabSelected="1" view="pageBreakPreview" topLeftCell="A19" zoomScale="130" zoomScaleNormal="85" zoomScaleSheetLayoutView="130" workbookViewId="0">
      <selection activeCell="D24" sqref="D24:E24"/>
    </sheetView>
  </sheetViews>
  <sheetFormatPr defaultColWidth="9.140625" defaultRowHeight="15"/>
  <cols>
    <col min="1" max="1" width="4.85546875" style="21" customWidth="1"/>
    <col min="2" max="2" width="27.140625" style="21" customWidth="1"/>
    <col min="3" max="3" width="24.7109375" style="21" customWidth="1"/>
    <col min="4" max="4" width="10.85546875" style="21" customWidth="1"/>
    <col min="5" max="5" width="12" style="21" customWidth="1"/>
    <col min="6" max="6" width="10.140625" style="21" customWidth="1"/>
    <col min="7" max="7" width="16.140625" style="21" customWidth="1"/>
    <col min="8" max="16384" width="9.140625" style="21"/>
  </cols>
  <sheetData>
    <row r="1" spans="1:7">
      <c r="A1" s="75"/>
      <c r="B1" s="75"/>
      <c r="C1" s="42"/>
      <c r="D1" s="76"/>
      <c r="E1" s="76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77" t="s">
        <v>13</v>
      </c>
      <c r="B6" s="77"/>
      <c r="C6" s="23" t="s">
        <v>14</v>
      </c>
      <c r="D6" s="78">
        <v>45296.636493055557</v>
      </c>
      <c r="E6" s="78"/>
      <c r="F6" s="78"/>
      <c r="G6" s="78"/>
    </row>
    <row r="7" spans="1:7" ht="15.75" customHeight="1">
      <c r="A7" s="77"/>
      <c r="B7" s="77"/>
      <c r="C7" s="23" t="s">
        <v>15</v>
      </c>
      <c r="D7" s="24" t="s">
        <v>164</v>
      </c>
      <c r="E7" s="24"/>
      <c r="F7" s="24"/>
      <c r="G7" s="24"/>
    </row>
    <row r="8" spans="1:7" ht="15.75" customHeight="1">
      <c r="A8" s="77"/>
      <c r="B8" s="77"/>
      <c r="C8" s="23" t="s">
        <v>16</v>
      </c>
      <c r="D8" s="24" t="s">
        <v>165</v>
      </c>
      <c r="E8" s="24"/>
      <c r="F8" s="24"/>
      <c r="G8" s="24"/>
    </row>
    <row r="9" spans="1:7" ht="15.75" customHeight="1">
      <c r="A9" s="77"/>
      <c r="B9" s="77"/>
      <c r="C9" s="23" t="s">
        <v>17</v>
      </c>
      <c r="D9" s="24" t="s">
        <v>166</v>
      </c>
      <c r="E9" s="24"/>
      <c r="F9" s="24"/>
      <c r="G9" s="24"/>
    </row>
    <row r="10" spans="1:7" ht="15.75" customHeight="1">
      <c r="A10" s="77"/>
      <c r="B10" s="77"/>
      <c r="C10" s="23" t="s">
        <v>18</v>
      </c>
      <c r="D10" s="24" t="s">
        <v>167</v>
      </c>
      <c r="E10" s="24"/>
      <c r="F10" s="24"/>
      <c r="G10" s="24"/>
    </row>
    <row r="11" spans="1:7" ht="15.75" customHeight="1">
      <c r="A11" s="77"/>
      <c r="B11" s="77"/>
      <c r="C11" s="23"/>
      <c r="D11" s="25" t="s">
        <v>168</v>
      </c>
      <c r="E11" s="24"/>
      <c r="F11" s="24"/>
      <c r="G11" s="24"/>
    </row>
    <row r="12" spans="1:7">
      <c r="A12" s="77"/>
      <c r="B12" s="77"/>
      <c r="C12" s="23" t="s">
        <v>19</v>
      </c>
      <c r="D12" s="24" t="s">
        <v>169</v>
      </c>
      <c r="E12" s="24"/>
      <c r="F12" s="24"/>
      <c r="G12" s="24"/>
    </row>
    <row r="13" spans="1:7">
      <c r="A13" s="77"/>
      <c r="B13" s="77"/>
      <c r="C13" s="26"/>
      <c r="D13" s="25" t="s">
        <v>170</v>
      </c>
      <c r="E13" s="25"/>
      <c r="F13" s="25"/>
      <c r="G13" s="25"/>
    </row>
    <row r="14" spans="1:7" ht="28.5">
      <c r="B14" s="27" t="s">
        <v>20</v>
      </c>
      <c r="C14" s="70"/>
      <c r="D14" s="27" t="s">
        <v>163</v>
      </c>
      <c r="E14" s="27"/>
    </row>
    <row r="15" spans="1:7">
      <c r="B15" s="42" t="s">
        <v>21</v>
      </c>
      <c r="C15" s="79" t="e">
        <f>INDEX(Sheet1!$B$22:$B$32,MATCH(Quotation!$C$14,Sheet1!$A$22:$A$32,0))</f>
        <v>#N/A</v>
      </c>
      <c r="D15" s="79"/>
      <c r="E15" s="79"/>
      <c r="F15" s="79"/>
      <c r="G15" s="79"/>
    </row>
    <row r="16" spans="1:7" ht="27.6" customHeight="1">
      <c r="B16" s="42" t="s">
        <v>22</v>
      </c>
      <c r="C16" s="73" t="e">
        <f>INDEX(Sheet1!$C$22:$C$32,MATCH(Quotation!$C$14,Sheet1!$A$22:$A$32,0))</f>
        <v>#N/A</v>
      </c>
      <c r="D16" s="73"/>
      <c r="E16" s="73"/>
      <c r="F16" s="73"/>
      <c r="G16" s="73"/>
    </row>
    <row r="17" spans="1:7" ht="6.75" customHeight="1" thickBot="1">
      <c r="A17" s="42"/>
      <c r="B17" s="42"/>
      <c r="C17" s="42"/>
      <c r="D17" s="42"/>
      <c r="E17" s="42"/>
    </row>
    <row r="18" spans="1:7">
      <c r="A18" s="80" t="s">
        <v>23</v>
      </c>
      <c r="B18" s="82" t="s">
        <v>24</v>
      </c>
      <c r="C18" s="82"/>
      <c r="D18" s="82" t="s">
        <v>25</v>
      </c>
      <c r="E18" s="40" t="s">
        <v>26</v>
      </c>
      <c r="F18" s="82" t="s">
        <v>27</v>
      </c>
      <c r="G18" s="84"/>
    </row>
    <row r="19" spans="1:7" ht="15.75" thickBot="1">
      <c r="A19" s="81"/>
      <c r="B19" s="85" t="s">
        <v>28</v>
      </c>
      <c r="C19" s="85"/>
      <c r="D19" s="83"/>
      <c r="E19" s="41" t="s">
        <v>29</v>
      </c>
      <c r="F19" s="85" t="s">
        <v>30</v>
      </c>
      <c r="G19" s="86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91">
        <f>_xlfn.CEILING.MATH(Parts!I27/1000000)*1000000</f>
        <v>100000000</v>
      </c>
      <c r="G20" s="91"/>
    </row>
    <row r="21" spans="1:7" ht="15" customHeight="1" thickBot="1">
      <c r="A21" s="49"/>
      <c r="B21" s="50" t="s">
        <v>34</v>
      </c>
      <c r="C21" s="51"/>
      <c r="D21" s="52"/>
      <c r="E21" s="49"/>
      <c r="F21" s="92"/>
      <c r="G21" s="92"/>
    </row>
    <row r="22" spans="1:7" ht="9" customHeight="1" thickBot="1">
      <c r="A22" s="53"/>
      <c r="B22" s="54"/>
      <c r="C22" s="54"/>
      <c r="D22" s="55"/>
      <c r="E22" s="53"/>
      <c r="F22" s="93"/>
      <c r="G22" s="93"/>
    </row>
    <row r="23" spans="1:7" ht="15" customHeight="1" thickBot="1">
      <c r="A23" s="56">
        <v>1</v>
      </c>
      <c r="B23" s="87" t="s">
        <v>171</v>
      </c>
      <c r="C23" s="87"/>
      <c r="D23" s="57" t="s">
        <v>32</v>
      </c>
      <c r="E23" s="56" t="s">
        <v>172</v>
      </c>
      <c r="F23" s="74" t="s">
        <v>173</v>
      </c>
      <c r="G23" s="74"/>
    </row>
    <row r="24" spans="1:7" ht="15" customHeight="1" thickBot="1">
      <c r="A24" s="103">
        <v>2</v>
      </c>
      <c r="B24" s="104" t="s">
        <v>174</v>
      </c>
      <c r="C24" s="106"/>
      <c r="D24" s="57" t="s">
        <v>32</v>
      </c>
      <c r="E24" s="56" t="s">
        <v>172</v>
      </c>
      <c r="F24" s="107" t="s">
        <v>173</v>
      </c>
      <c r="G24" s="105"/>
    </row>
    <row r="25" spans="1:7" ht="15" customHeight="1" thickBot="1">
      <c r="A25" s="103">
        <v>3</v>
      </c>
      <c r="B25" s="104" t="s">
        <v>175</v>
      </c>
      <c r="C25" s="106"/>
      <c r="D25" s="57" t="s">
        <v>32</v>
      </c>
      <c r="E25" s="56" t="s">
        <v>172</v>
      </c>
      <c r="F25" s="107" t="s">
        <v>173</v>
      </c>
      <c r="G25" s="105"/>
    </row>
    <row r="26" spans="1:7" ht="15" customHeight="1" thickBot="1">
      <c r="A26" s="103">
        <v>4</v>
      </c>
      <c r="B26" s="104" t="s">
        <v>176</v>
      </c>
      <c r="C26" s="106"/>
      <c r="D26" s="57" t="s">
        <v>32</v>
      </c>
      <c r="E26" s="56" t="s">
        <v>172</v>
      </c>
      <c r="F26" s="107" t="s">
        <v>173</v>
      </c>
      <c r="G26" s="105"/>
    </row>
    <row r="27" spans="1:7" ht="15" customHeight="1" thickBot="1">
      <c r="A27" s="103">
        <v>5</v>
      </c>
      <c r="B27" s="104" t="s">
        <v>177</v>
      </c>
      <c r="C27" s="106"/>
      <c r="D27" s="57" t="s">
        <v>32</v>
      </c>
      <c r="E27" s="56" t="s">
        <v>172</v>
      </c>
      <c r="F27" s="107" t="s">
        <v>173</v>
      </c>
      <c r="G27" s="105"/>
    </row>
    <row r="28" spans="1:7" ht="15" customHeight="1" thickBot="1">
      <c r="A28" s="103">
        <v>6</v>
      </c>
      <c r="B28" s="104" t="s">
        <v>178</v>
      </c>
      <c r="C28" s="106"/>
      <c r="D28" s="57" t="s">
        <v>32</v>
      </c>
      <c r="E28" s="56" t="s">
        <v>172</v>
      </c>
      <c r="F28" s="107" t="s">
        <v>173</v>
      </c>
      <c r="G28" s="105"/>
    </row>
    <row r="29" spans="1:7" ht="15" customHeight="1" thickBot="1">
      <c r="A29" s="103">
        <v>7</v>
      </c>
      <c r="B29" s="104" t="s">
        <v>179</v>
      </c>
      <c r="C29" s="106"/>
      <c r="D29" s="57" t="s">
        <v>32</v>
      </c>
      <c r="E29" s="56" t="s">
        <v>172</v>
      </c>
      <c r="F29" s="107" t="s">
        <v>173</v>
      </c>
      <c r="G29" s="105"/>
    </row>
    <row r="30" spans="1:7" ht="15" customHeight="1" thickBot="1">
      <c r="A30" s="103">
        <v>8</v>
      </c>
      <c r="B30" s="104" t="s">
        <v>180</v>
      </c>
      <c r="C30" s="106"/>
      <c r="D30" s="57" t="s">
        <v>32</v>
      </c>
      <c r="E30" s="56" t="s">
        <v>172</v>
      </c>
      <c r="F30" s="107" t="s">
        <v>173</v>
      </c>
      <c r="G30" s="105"/>
    </row>
    <row r="31" spans="1:7" ht="15" customHeight="1" thickBot="1">
      <c r="A31" s="103">
        <v>9</v>
      </c>
      <c r="B31" s="104" t="s">
        <v>181</v>
      </c>
      <c r="C31" s="106"/>
      <c r="D31" s="57" t="s">
        <v>32</v>
      </c>
      <c r="E31" s="56" t="s">
        <v>172</v>
      </c>
      <c r="F31" s="107" t="s">
        <v>173</v>
      </c>
      <c r="G31" s="105"/>
    </row>
    <row r="32" spans="1:7" ht="15" customHeight="1" thickBot="1">
      <c r="A32" s="103">
        <v>10</v>
      </c>
      <c r="B32" s="104" t="s">
        <v>182</v>
      </c>
      <c r="C32" s="106"/>
      <c r="D32" s="57" t="s">
        <v>32</v>
      </c>
      <c r="E32" s="56" t="s">
        <v>172</v>
      </c>
      <c r="F32" s="107" t="s">
        <v>173</v>
      </c>
      <c r="G32" s="105"/>
    </row>
    <row r="33" spans="1:7" ht="15" customHeight="1" thickBot="1">
      <c r="A33" s="103">
        <v>11</v>
      </c>
      <c r="B33" s="104" t="s">
        <v>183</v>
      </c>
      <c r="C33" s="106"/>
      <c r="D33" s="57" t="s">
        <v>32</v>
      </c>
      <c r="E33" s="56" t="s">
        <v>172</v>
      </c>
      <c r="F33" s="107" t="s">
        <v>173</v>
      </c>
      <c r="G33" s="105"/>
    </row>
    <row r="34" spans="1:7" ht="15" customHeight="1" thickBot="1">
      <c r="A34" s="103">
        <v>12</v>
      </c>
      <c r="B34" s="104" t="s">
        <v>184</v>
      </c>
      <c r="C34" s="106"/>
      <c r="D34" s="57" t="s">
        <v>32</v>
      </c>
      <c r="E34" s="56" t="s">
        <v>172</v>
      </c>
      <c r="F34" s="107" t="s">
        <v>173</v>
      </c>
      <c r="G34" s="105"/>
    </row>
    <row r="35" spans="1:7" ht="15" customHeight="1" thickBot="1">
      <c r="A35" s="103">
        <v>13</v>
      </c>
      <c r="B35" s="104" t="s">
        <v>185</v>
      </c>
      <c r="C35" s="106"/>
      <c r="D35" s="57" t="s">
        <v>32</v>
      </c>
      <c r="E35" s="56" t="s">
        <v>172</v>
      </c>
      <c r="F35" s="107" t="s">
        <v>173</v>
      </c>
      <c r="G35" s="105"/>
    </row>
    <row r="36" spans="1:7" ht="15" customHeight="1" thickBot="1">
      <c r="A36" s="103">
        <v>14</v>
      </c>
      <c r="B36" s="104" t="s">
        <v>186</v>
      </c>
      <c r="C36" s="106"/>
      <c r="D36" s="57" t="s">
        <v>32</v>
      </c>
      <c r="E36" s="56" t="s">
        <v>172</v>
      </c>
      <c r="F36" s="107" t="s">
        <v>173</v>
      </c>
      <c r="G36" s="105"/>
    </row>
    <row r="37" spans="1:7" ht="15" customHeight="1" thickBot="1">
      <c r="A37" s="103">
        <v>15</v>
      </c>
      <c r="B37" s="104" t="s">
        <v>187</v>
      </c>
      <c r="C37" s="106"/>
      <c r="D37" s="57" t="s">
        <v>32</v>
      </c>
      <c r="E37" s="56" t="s">
        <v>172</v>
      </c>
      <c r="F37" s="107" t="s">
        <v>173</v>
      </c>
      <c r="G37" s="105"/>
    </row>
    <row r="38" spans="1:7" ht="15" customHeight="1" thickBot="1">
      <c r="A38" s="103">
        <v>16</v>
      </c>
      <c r="B38" s="104" t="s">
        <v>188</v>
      </c>
      <c r="C38" s="106"/>
      <c r="D38" s="57" t="s">
        <v>32</v>
      </c>
      <c r="E38" s="56" t="s">
        <v>172</v>
      </c>
      <c r="F38" s="107" t="s">
        <v>173</v>
      </c>
      <c r="G38" s="105"/>
    </row>
    <row r="39" spans="1:7" ht="15" customHeight="1" thickBot="1">
      <c r="A39" s="103">
        <v>17</v>
      </c>
      <c r="B39" s="104" t="s">
        <v>189</v>
      </c>
      <c r="C39" s="106"/>
      <c r="D39" s="57" t="s">
        <v>190</v>
      </c>
      <c r="E39" s="56" t="s">
        <v>172</v>
      </c>
      <c r="F39" s="107" t="s">
        <v>173</v>
      </c>
      <c r="G39" s="105"/>
    </row>
    <row r="40" spans="1:7" ht="15" customHeight="1" thickBot="1">
      <c r="A40" s="103">
        <v>18</v>
      </c>
      <c r="B40" s="104" t="s">
        <v>191</v>
      </c>
      <c r="C40" s="106"/>
      <c r="D40" s="57" t="s">
        <v>190</v>
      </c>
      <c r="E40" s="56" t="s">
        <v>172</v>
      </c>
      <c r="F40" s="107" t="s">
        <v>173</v>
      </c>
      <c r="G40" s="105"/>
    </row>
    <row r="41" spans="1:7" ht="15" customHeight="1" thickBot="1">
      <c r="A41" s="103">
        <v>19</v>
      </c>
      <c r="B41" s="104" t="s">
        <v>192</v>
      </c>
      <c r="C41" s="104"/>
      <c r="D41" s="57" t="s">
        <v>32</v>
      </c>
      <c r="E41" s="56" t="s">
        <v>172</v>
      </c>
      <c r="F41" s="105" t="s">
        <v>173</v>
      </c>
      <c r="G41" s="105"/>
    </row>
    <row r="42" spans="1:7" ht="15.75" customHeight="1">
      <c r="A42" s="94" t="s">
        <v>35</v>
      </c>
      <c r="B42" s="95"/>
      <c r="C42" s="95"/>
      <c r="D42" s="95"/>
      <c r="E42" s="96"/>
      <c r="F42" s="97">
        <f>F20</f>
        <v>100000000</v>
      </c>
      <c r="G42" s="98"/>
    </row>
    <row r="43" spans="1:7">
      <c r="A43" s="99" t="str">
        <f>Sheet2!C1</f>
        <v>Bằng chữ: Một Trăm Triệu Đồng</v>
      </c>
      <c r="B43" s="100"/>
      <c r="C43" s="100"/>
      <c r="D43" s="100"/>
      <c r="E43" s="101"/>
      <c r="F43" s="28"/>
      <c r="G43" s="29"/>
    </row>
    <row r="44" spans="1:7" ht="15.75" thickBot="1">
      <c r="A44" s="88" t="str">
        <f>Sheet2!C2</f>
        <v>In words: One Hundred Million Vietnam Dong)</v>
      </c>
      <c r="B44" s="89"/>
      <c r="C44" s="89"/>
      <c r="D44" s="89"/>
      <c r="E44" s="90"/>
      <c r="F44" s="30"/>
      <c r="G44" s="31"/>
    </row>
    <row r="45" spans="1:7" ht="7.5" customHeight="1">
      <c r="A45" s="42"/>
      <c r="B45" s="42"/>
      <c r="C45" s="42"/>
      <c r="D45" s="42"/>
      <c r="E45" s="42"/>
      <c r="F45" s="42"/>
      <c r="G45" s="42"/>
    </row>
    <row r="46" spans="1:7">
      <c r="A46" s="32" t="s">
        <v>36</v>
      </c>
    </row>
    <row r="47" spans="1:7">
      <c r="A47" s="33" t="s">
        <v>37</v>
      </c>
      <c r="B47" s="21" t="s">
        <v>38</v>
      </c>
    </row>
    <row r="48" spans="1:7">
      <c r="A48" s="33"/>
      <c r="B48" s="34" t="s">
        <v>39</v>
      </c>
      <c r="C48" s="34"/>
    </row>
    <row r="49" spans="1:4">
      <c r="A49" s="33" t="s">
        <v>37</v>
      </c>
      <c r="B49" s="21" t="s">
        <v>40</v>
      </c>
    </row>
    <row r="50" spans="1:4">
      <c r="A50" s="33"/>
      <c r="B50" s="34" t="s">
        <v>41</v>
      </c>
      <c r="C50" s="34"/>
    </row>
    <row r="51" spans="1:4">
      <c r="A51" s="33" t="s">
        <v>37</v>
      </c>
      <c r="B51" s="21" t="s">
        <v>42</v>
      </c>
    </row>
    <row r="52" spans="1:4">
      <c r="A52" s="33"/>
      <c r="B52" s="34" t="s">
        <v>43</v>
      </c>
      <c r="C52" s="34"/>
    </row>
    <row r="53" spans="1:4">
      <c r="A53" s="33" t="s">
        <v>37</v>
      </c>
      <c r="B53" s="21" t="s">
        <v>44</v>
      </c>
    </row>
    <row r="54" spans="1:4">
      <c r="A54" s="33"/>
      <c r="B54" s="34" t="s">
        <v>45</v>
      </c>
      <c r="C54" s="34"/>
    </row>
    <row r="55" spans="1:4" ht="6.75" customHeight="1">
      <c r="A55" s="35"/>
    </row>
    <row r="56" spans="1:4">
      <c r="A56" s="21" t="s">
        <v>46</v>
      </c>
    </row>
    <row r="57" spans="1:4">
      <c r="A57" s="34" t="s">
        <v>47</v>
      </c>
    </row>
    <row r="58" spans="1:4">
      <c r="A58" s="34"/>
    </row>
    <row r="59" spans="1:4">
      <c r="D59" s="36"/>
    </row>
    <row r="60" spans="1:4">
      <c r="D60" s="37"/>
    </row>
    <row r="61" spans="1:4">
      <c r="A61" s="38"/>
    </row>
    <row r="62" spans="1:4">
      <c r="A62" s="38"/>
    </row>
    <row r="63" spans="1:4">
      <c r="A63" s="39"/>
    </row>
    <row r="64" spans="1:4" ht="21" customHeight="1">
      <c r="A64" s="38"/>
    </row>
  </sheetData>
  <mergeCells count="57">
    <mergeCell ref="B25:C25"/>
    <mergeCell ref="F25:G25"/>
    <mergeCell ref="B24:C24"/>
    <mergeCell ref="F24:G24"/>
    <mergeCell ref="B28:C28"/>
    <mergeCell ref="F28:G28"/>
    <mergeCell ref="B27:C27"/>
    <mergeCell ref="F27:G27"/>
    <mergeCell ref="B26:C26"/>
    <mergeCell ref="F26:G26"/>
    <mergeCell ref="B31:C31"/>
    <mergeCell ref="F31:G31"/>
    <mergeCell ref="B30:C30"/>
    <mergeCell ref="F30:G30"/>
    <mergeCell ref="B29:C29"/>
    <mergeCell ref="F29:G29"/>
    <mergeCell ref="B34:C34"/>
    <mergeCell ref="F34:G34"/>
    <mergeCell ref="B33:C33"/>
    <mergeCell ref="F33:G33"/>
    <mergeCell ref="B32:C32"/>
    <mergeCell ref="F32:G32"/>
    <mergeCell ref="F37:G37"/>
    <mergeCell ref="B36:C36"/>
    <mergeCell ref="F36:G36"/>
    <mergeCell ref="B35:C35"/>
    <mergeCell ref="F35:G35"/>
    <mergeCell ref="A44:E44"/>
    <mergeCell ref="F20:G20"/>
    <mergeCell ref="F21:G21"/>
    <mergeCell ref="F22:G22"/>
    <mergeCell ref="A42:E42"/>
    <mergeCell ref="F42:G42"/>
    <mergeCell ref="A43:E43"/>
    <mergeCell ref="B41:C41"/>
    <mergeCell ref="F41:G41"/>
    <mergeCell ref="B40:C40"/>
    <mergeCell ref="F40:G40"/>
    <mergeCell ref="B39:C39"/>
    <mergeCell ref="F39:G39"/>
    <mergeCell ref="B38:C38"/>
    <mergeCell ref="F38:G38"/>
    <mergeCell ref="B37:C37"/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</mergeCells>
  <conditionalFormatting sqref="A23:B41 D23:G23 D24:F41">
    <cfRule type="expression" dxfId="1" priority="2">
      <formula>MOD(ROW($A23)+1,2)</formula>
    </cfRule>
  </conditionalFormatting>
  <conditionalFormatting sqref="C14">
    <cfRule type="expression" dxfId="0" priority="1">
      <formula>IF($C$14="",1,0)</formula>
    </cfRule>
  </conditionalFormatting>
  <pageMargins left="0.25" right="0.25" top="0.8" bottom="0" header="0.3" footer="0.3"/>
  <pageSetup paperSize="9" scale="44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5"/>
  <cols>
    <col min="1" max="1" width="10" bestFit="1" customWidth="1"/>
    <col min="2" max="2" width="28.2851562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một trăm triệu, đồng</v>
      </c>
      <c r="C1" t="str">
        <f>"Bằng chữ: "&amp;PROPER(SUBSTITUTE(B1,",",""))</f>
        <v>Bằng chữ: Một Trăm Triệu Đồng</v>
      </c>
    </row>
    <row r="2" spans="1:3">
      <c r="A2" s="58">
        <f>Quotation!F20</f>
        <v>100000000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One Hundred Million Dollars and No Cents</v>
      </c>
      <c r="C2" t="str">
        <f>"In words: "&amp;PROPER(SUBSTITUTE(B2,"Dollars and No Cents","Vietnam Dong)"))</f>
        <v>In words: One Hundred Million Vietnam Dong)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5"/>
  <cols>
    <col min="1" max="1" width="11.7109375" customWidth="1"/>
    <col min="5" max="5" width="8.85546875" style="59"/>
    <col min="6" max="6" width="8.85546875" style="60"/>
    <col min="7" max="7" width="22.5703125" style="60" customWidth="1"/>
    <col min="8" max="8" width="21" style="60" customWidth="1"/>
    <col min="10" max="10" width="18.7109375" customWidth="1"/>
    <col min="11" max="11" width="26.28515625" customWidth="1"/>
  </cols>
  <sheetData>
    <row r="1" spans="1:18">
      <c r="A1" s="58">
        <f>Quotation!F20</f>
        <v>100000000</v>
      </c>
      <c r="B1">
        <f>LEN(A1)</f>
        <v>9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>
        <f t="shared" ref="E2:E10" si="0">IF($B$1&lt;=(D2-1),"",VALUE(MID($A$1,($B$1-(D2-1)),1)))</f>
        <v>1</v>
      </c>
      <c r="F2" s="60" t="str">
        <f>IF(E2="","",VLOOKUP(E2,$N$1:$P$12,2,0))</f>
        <v>một</v>
      </c>
      <c r="G2" s="60" t="str">
        <f>IF(F2="","",F2&amp; " trăm")</f>
        <v>một trăm</v>
      </c>
      <c r="I2" t="str">
        <f>IF(E2="","",VLOOKUP(E2,$N$1:$P$12,3,0))</f>
        <v>one</v>
      </c>
      <c r="J2" t="str">
        <f>IF(I2="","",I2&amp;" hundred")</f>
        <v>one hundred</v>
      </c>
    </row>
    <row r="3" spans="1:18">
      <c r="D3">
        <v>8</v>
      </c>
      <c r="E3" s="59">
        <f t="shared" si="0"/>
        <v>0</v>
      </c>
      <c r="F3" s="60" t="str">
        <f>IF(E3="","",VLOOKUP(E3,$N$1:$P$12,2,0))</f>
        <v>không</v>
      </c>
      <c r="G3" s="60" t="str">
        <f>IF(E3="","",IF(E3=0,"linh",IF(E3=1,"mười",F3&amp;" mươi")))</f>
        <v>linh</v>
      </c>
      <c r="I3" t="str">
        <f>IF(E3="","",VLOOKUP(E3,$N$1:$P$12,3,0))</f>
        <v>zero</v>
      </c>
      <c r="J3" t="str">
        <f>IF(E3="","",IF(E3=1,VLOOKUP(E4,$N$3:$R$12,4,0),VLOOKUP(E3,$N$3:$R$12,5,0)))</f>
        <v/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.75" thickBot="1">
      <c r="D4">
        <v>7</v>
      </c>
      <c r="E4" s="59">
        <f t="shared" si="0"/>
        <v>0</v>
      </c>
      <c r="F4" s="60" t="str">
        <f>IF(AND(E3&lt;&gt;"",E4=5),"lăm",IF(E4="","",VLOOKUP(E4,$N$1:$P$12,2,0)))</f>
        <v>không</v>
      </c>
      <c r="G4" s="60" t="str">
        <f>IF(SUM(E3:E4)=0,"triệu",IF(E4=0,G3&amp;" triệu ",G3&amp;" "&amp;F4&amp;" triệu "))</f>
        <v>triệu</v>
      </c>
      <c r="H4" s="61" t="str">
        <f>IF(E2=0,G4,G2&amp;" "&amp;G4)</f>
        <v>một trăm triệu</v>
      </c>
      <c r="I4" t="str">
        <f t="shared" ref="I4:I10" si="1">VLOOKUP(E4,$N$1:$P$12,3,0)</f>
        <v>zero</v>
      </c>
      <c r="J4" t="str">
        <f>IF(E4=0,LEFT(J3,LEN(J3))&amp;" million ",IF(E3="",I4&amp;" million ",IF(E3=1,J3&amp;" million ",J3&amp;"-"&amp;I4&amp;" million ")))</f>
        <v xml:space="preserve"> million </v>
      </c>
      <c r="K4" t="str">
        <f>IF(E2=0,J4,J2&amp;" "&amp;J4)</f>
        <v xml:space="preserve">one hundred  million 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.75" thickBot="1">
      <c r="D5">
        <v>6</v>
      </c>
      <c r="E5" s="59">
        <f t="shared" si="0"/>
        <v>0</v>
      </c>
      <c r="F5" s="60" t="str">
        <f t="shared" ref="F5:F10" si="2">IF(E5="","",VLOOKUP(E5,$N$1:$P$12,2,0))</f>
        <v>không</v>
      </c>
      <c r="G5" s="62" t="str">
        <f>IF(E5=0,"",F5&amp;" trăm")</f>
        <v/>
      </c>
      <c r="H5" s="61"/>
      <c r="I5" s="63" t="str">
        <f t="shared" si="1"/>
        <v>zero</v>
      </c>
      <c r="J5" s="64" t="str">
        <f>IF(E5=0,"",I5&amp;" hundred")</f>
        <v/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.75" thickBot="1">
      <c r="D6">
        <v>5</v>
      </c>
      <c r="E6" s="59">
        <f t="shared" si="0"/>
        <v>0</v>
      </c>
      <c r="F6" s="60" t="str">
        <f t="shared" si="2"/>
        <v>không</v>
      </c>
      <c r="G6" s="60" t="str">
        <f>IF(E6=0,"",IF(E6=1,"mười",F6&amp;" mươi"))</f>
        <v/>
      </c>
      <c r="H6" s="61"/>
      <c r="I6" t="str">
        <f t="shared" si="1"/>
        <v>zero</v>
      </c>
      <c r="J6" s="65" t="str">
        <f>IF(E6=1,VLOOKUP(E7,$N$3:$R$12,4,0),VLOOKUP(E6,$N$3:$R$12,5,0))</f>
        <v/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.75" thickBot="1">
      <c r="D7">
        <v>4</v>
      </c>
      <c r="E7" s="59">
        <f t="shared" si="0"/>
        <v>0</v>
      </c>
      <c r="F7" s="60" t="str">
        <f t="shared" si="2"/>
        <v>không</v>
      </c>
      <c r="G7" s="61" t="str">
        <f>IF(E7=0,G6&amp;" ngàn ",G6&amp;" "&amp;F7&amp;" ngàn ")</f>
        <v xml:space="preserve"> ngàn </v>
      </c>
      <c r="H7" s="61" t="str">
        <f>IF(SUM(E5:E7)=0,"",IF(E5=0,G7,G5&amp;" "&amp;G7))</f>
        <v/>
      </c>
      <c r="I7" s="66" t="str">
        <f t="shared" si="1"/>
        <v>zero</v>
      </c>
      <c r="J7" s="67" t="str">
        <f>IF(E7=0,J6&amp;" thousand ",IF(E6=1,J6&amp;" thousand ",J6&amp;"-"&amp;I7&amp;" thousand "))</f>
        <v xml:space="preserve"> thousand 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.75" thickBot="1">
      <c r="D8">
        <v>3</v>
      </c>
      <c r="E8" s="59">
        <f t="shared" si="0"/>
        <v>0</v>
      </c>
      <c r="F8" s="60" t="str">
        <f t="shared" si="2"/>
        <v>không</v>
      </c>
      <c r="G8" s="62" t="str">
        <f>IF(E8=0,"",F8&amp;" trăm")</f>
        <v/>
      </c>
      <c r="H8" s="61"/>
      <c r="I8" s="63" t="str">
        <f t="shared" si="1"/>
        <v>zero</v>
      </c>
      <c r="J8" s="64" t="str">
        <f>IF(E8=0,"",I8&amp;" hundred")</f>
        <v/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.75" thickBot="1">
      <c r="D9">
        <v>2</v>
      </c>
      <c r="E9" s="59">
        <f t="shared" si="0"/>
        <v>0</v>
      </c>
      <c r="F9" s="60" t="str">
        <f t="shared" si="2"/>
        <v>không</v>
      </c>
      <c r="G9" s="60" t="str">
        <f>IF(E9=1,"mười",IF(E9=0,"lẻ",F9&amp;" mươi"))</f>
        <v>lẻ</v>
      </c>
      <c r="H9" s="61"/>
      <c r="I9" t="str">
        <f t="shared" si="1"/>
        <v>zero</v>
      </c>
      <c r="J9" s="65" t="str">
        <f>IF(E9=0,"and ",IF(E9=1,VLOOKUP(E10,$N$3:$R$12,4,0),VLOOKUP(E9,$N$3:$R$12,5,0)))</f>
        <v xml:space="preserve">and 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.7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>lẻ</v>
      </c>
      <c r="H10" s="61" t="str">
        <f>IF(SUM(E8:E10)=0,"",IF(E8=0,G10,G8&amp;" "&amp;G10))</f>
        <v/>
      </c>
      <c r="I10" s="66" t="str">
        <f t="shared" si="1"/>
        <v>zero</v>
      </c>
      <c r="J10" s="67" t="str">
        <f>IF(E9=1,J9,IF(E10=0,J9,J9&amp;I10))</f>
        <v xml:space="preserve">and 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2" t="str">
        <f>TRIM(PROPER(H4&amp;H7&amp;H10&amp;" đồng"))</f>
        <v>Một Trăm Triệu Đồng</v>
      </c>
      <c r="C14" s="102"/>
      <c r="D14" s="102"/>
      <c r="E14" s="102"/>
      <c r="F14" s="102"/>
      <c r="G14" s="102"/>
      <c r="H14" s="102"/>
      <c r="I14" s="102"/>
      <c r="J14" s="102"/>
    </row>
    <row r="15" spans="1:18">
      <c r="A15" t="s">
        <v>92</v>
      </c>
      <c r="B15" s="68" t="str">
        <f>TRIM(PROPER(K4&amp;K7&amp;K10&amp;"Vietnam Dong)"))</f>
        <v>One Hundred Million Vietnam Dong)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M</v>
      </c>
    </row>
    <row r="19" spans="1:3">
      <c r="B19" t="str">
        <f>TRIM(PROPER(B14))</f>
        <v>Một Trăm Triệu Đồng</v>
      </c>
    </row>
    <row r="22" spans="1:3">
      <c r="A22" t="s">
        <v>93</v>
      </c>
      <c r="B22" t="s">
        <v>94</v>
      </c>
      <c r="C22" t="s">
        <v>95</v>
      </c>
    </row>
    <row r="23" spans="1:3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cp:lastPrinted>2022-07-15T08:02:35Z</cp:lastPrinted>
  <dcterms:created xsi:type="dcterms:W3CDTF">2022-04-07T03:02:23Z</dcterms:created>
  <dcterms:modified xsi:type="dcterms:W3CDTF">2024-01-05T08:16:40Z</dcterms:modified>
</cp:coreProperties>
</file>