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30" yWindow="3510" windowWidth="16635" windowHeight="8520" tabRatio="845"/>
  </bookViews>
  <sheets>
    <sheet name="updating" sheetId="7" r:id="rId1"/>
    <sheet name="BPOP" sheetId="19" r:id="rId2"/>
  </sheets>
  <calcPr calcId="145621"/>
</workbook>
</file>

<file path=xl/calcChain.xml><?xml version="1.0" encoding="utf-8"?>
<calcChain xmlns="http://schemas.openxmlformats.org/spreadsheetml/2006/main">
  <c r="H18" i="7" l="1"/>
  <c r="W54" i="7" l="1"/>
  <c r="O33" i="19"/>
  <c r="P33" i="19"/>
  <c r="Q33" i="19"/>
  <c r="J33" i="19"/>
  <c r="K33" i="19"/>
  <c r="L33" i="19"/>
  <c r="M33" i="19"/>
  <c r="G33" i="19"/>
  <c r="H33" i="19"/>
  <c r="M54" i="7"/>
  <c r="L54" i="7"/>
  <c r="K54" i="7"/>
  <c r="I54" i="7"/>
  <c r="H54" i="7"/>
  <c r="G54" i="7"/>
  <c r="F54" i="7"/>
  <c r="E54" i="7"/>
  <c r="J51" i="7"/>
  <c r="W51" i="7"/>
  <c r="W45" i="7"/>
  <c r="K51" i="7"/>
  <c r="F51" i="7"/>
  <c r="M51" i="7"/>
  <c r="N54" i="7"/>
  <c r="Q54" i="7" l="1"/>
  <c r="Q55" i="7" s="1"/>
  <c r="R54" i="7"/>
  <c r="J54" i="7"/>
  <c r="S54" i="7" s="1"/>
  <c r="S55" i="7" s="1"/>
  <c r="R55" i="7"/>
  <c r="N51" i="7"/>
  <c r="G51" i="7"/>
  <c r="H51" i="7"/>
  <c r="L51" i="7"/>
  <c r="E51" i="7"/>
  <c r="I51" i="7"/>
  <c r="J31" i="19"/>
  <c r="K31" i="19"/>
  <c r="L31" i="19"/>
  <c r="M31" i="19"/>
  <c r="J32" i="19"/>
  <c r="K32" i="19"/>
  <c r="L32" i="19"/>
  <c r="M32" i="19"/>
  <c r="G31" i="19"/>
  <c r="O31" i="19" s="1"/>
  <c r="Q31" i="19" s="1"/>
  <c r="H31" i="19"/>
  <c r="P31" i="19" s="1"/>
  <c r="G32" i="19"/>
  <c r="O32" i="19" s="1"/>
  <c r="Q32" i="19" s="1"/>
  <c r="B54" i="7" s="1"/>
  <c r="H32" i="19"/>
  <c r="P32" i="19" s="1"/>
  <c r="T54" i="7" l="1"/>
  <c r="T55" i="7" s="1"/>
  <c r="Q51" i="7"/>
  <c r="Q52" i="7" s="1"/>
  <c r="S51" i="7"/>
  <c r="S52" i="7" s="1"/>
  <c r="R51" i="7"/>
  <c r="R52" i="7" s="1"/>
  <c r="T51" i="7"/>
  <c r="T52" i="7" s="1"/>
  <c r="K48" i="7"/>
  <c r="K45" i="7"/>
  <c r="K30" i="19"/>
  <c r="L30" i="19"/>
  <c r="M30" i="19"/>
  <c r="J30" i="19"/>
  <c r="G30" i="19"/>
  <c r="O30" i="19" s="1"/>
  <c r="Q30" i="19" s="1"/>
  <c r="H30" i="19"/>
  <c r="P30" i="19" s="1"/>
  <c r="B45" i="7"/>
  <c r="B48" i="7" l="1"/>
  <c r="E48" i="7" s="1"/>
  <c r="I48" i="7"/>
  <c r="M48" i="7"/>
  <c r="J48" i="7"/>
  <c r="N48" i="7"/>
  <c r="H48" i="7"/>
  <c r="L48" i="7"/>
  <c r="G48" i="7"/>
  <c r="L45" i="7"/>
  <c r="G45" i="7"/>
  <c r="F45" i="7"/>
  <c r="J45" i="7"/>
  <c r="N45" i="7"/>
  <c r="E45" i="7"/>
  <c r="I45" i="7"/>
  <c r="M45" i="7"/>
  <c r="H45" i="7"/>
  <c r="F48" i="7" l="1"/>
  <c r="R48" i="7" s="1"/>
  <c r="R49" i="7" s="1"/>
  <c r="S48" i="7"/>
  <c r="S49" i="7" s="1"/>
  <c r="Q48" i="7"/>
  <c r="T48" i="7"/>
  <c r="T49" i="7" s="1"/>
  <c r="T45" i="7"/>
  <c r="R45" i="7"/>
  <c r="Q45" i="7"/>
  <c r="Q46" i="7" s="1"/>
  <c r="S45" i="7"/>
  <c r="Q49" i="7" l="1"/>
  <c r="G42" i="7"/>
  <c r="G39" i="7"/>
  <c r="L36" i="7"/>
  <c r="L33" i="7"/>
  <c r="L30" i="7"/>
  <c r="N27" i="7"/>
  <c r="N24" i="7"/>
  <c r="L21" i="7"/>
  <c r="N18" i="7"/>
  <c r="I18" i="7" l="1"/>
  <c r="K18" i="7"/>
  <c r="G18" i="7"/>
  <c r="J27" i="7"/>
  <c r="K27" i="7"/>
  <c r="M18" i="7"/>
  <c r="L39" i="7"/>
  <c r="L42" i="7"/>
  <c r="K42" i="7"/>
  <c r="F42" i="7"/>
  <c r="J42" i="7"/>
  <c r="N42" i="7"/>
  <c r="E42" i="7"/>
  <c r="I42" i="7"/>
  <c r="M42" i="7"/>
  <c r="H42" i="7"/>
  <c r="K39" i="7"/>
  <c r="F39" i="7"/>
  <c r="J39" i="7"/>
  <c r="N39" i="7"/>
  <c r="E39" i="7"/>
  <c r="I39" i="7"/>
  <c r="M39" i="7"/>
  <c r="H39" i="7"/>
  <c r="G36" i="7"/>
  <c r="K36" i="7"/>
  <c r="F36" i="7"/>
  <c r="J36" i="7"/>
  <c r="N36" i="7"/>
  <c r="E36" i="7"/>
  <c r="I36" i="7"/>
  <c r="M36" i="7"/>
  <c r="H36" i="7"/>
  <c r="G33" i="7"/>
  <c r="K33" i="7"/>
  <c r="F33" i="7"/>
  <c r="J33" i="7"/>
  <c r="N33" i="7"/>
  <c r="E33" i="7"/>
  <c r="I33" i="7"/>
  <c r="M33" i="7"/>
  <c r="H33" i="7"/>
  <c r="G30" i="7"/>
  <c r="K30" i="7"/>
  <c r="F30" i="7"/>
  <c r="J30" i="7"/>
  <c r="N30" i="7"/>
  <c r="E30" i="7"/>
  <c r="I30" i="7"/>
  <c r="M30" i="7"/>
  <c r="H30" i="7"/>
  <c r="G27" i="7"/>
  <c r="L27" i="7"/>
  <c r="F27" i="7"/>
  <c r="E27" i="7"/>
  <c r="I27" i="7"/>
  <c r="M27" i="7"/>
  <c r="H27" i="7"/>
  <c r="J24" i="7"/>
  <c r="K24" i="7"/>
  <c r="G24" i="7"/>
  <c r="L24" i="7"/>
  <c r="E24" i="7"/>
  <c r="I24" i="7"/>
  <c r="M24" i="7"/>
  <c r="F24" i="7"/>
  <c r="H24" i="7"/>
  <c r="G21" i="7"/>
  <c r="K21" i="7"/>
  <c r="F21" i="7"/>
  <c r="J21" i="7"/>
  <c r="N21" i="7"/>
  <c r="E21" i="7"/>
  <c r="I21" i="7"/>
  <c r="M21" i="7"/>
  <c r="H21" i="7"/>
  <c r="L18" i="7"/>
  <c r="J18" i="7"/>
  <c r="F18" i="7"/>
  <c r="E18" i="7"/>
  <c r="S18" i="7" l="1"/>
  <c r="S42" i="7"/>
  <c r="Q18" i="7"/>
  <c r="T24" i="7"/>
  <c r="T21" i="7"/>
  <c r="S24" i="7"/>
  <c r="T27" i="7"/>
  <c r="Q42" i="7"/>
  <c r="R42" i="7"/>
  <c r="T42" i="7"/>
  <c r="S39" i="7"/>
  <c r="Q39" i="7"/>
  <c r="T39" i="7"/>
  <c r="R39" i="7"/>
  <c r="S36" i="7"/>
  <c r="R36" i="7"/>
  <c r="T36" i="7"/>
  <c r="Q36" i="7"/>
  <c r="S33" i="7"/>
  <c r="R33" i="7"/>
  <c r="T33" i="7"/>
  <c r="Q33" i="7"/>
  <c r="S30" i="7"/>
  <c r="R30" i="7"/>
  <c r="Q30" i="7"/>
  <c r="T30" i="7"/>
  <c r="R27" i="7"/>
  <c r="S27" i="7"/>
  <c r="Q27" i="7"/>
  <c r="R24" i="7"/>
  <c r="Q24" i="7"/>
  <c r="S21" i="7"/>
  <c r="R21" i="7"/>
  <c r="Q21" i="7"/>
  <c r="T18" i="7"/>
  <c r="R18" i="7"/>
  <c r="V18" i="7" l="1"/>
  <c r="S46" i="7" l="1"/>
  <c r="T46" i="7"/>
  <c r="R46" i="7"/>
  <c r="T31" i="7"/>
  <c r="S25" i="7"/>
  <c r="S34" i="7"/>
  <c r="S40" i="7"/>
  <c r="S22" i="7"/>
  <c r="T22" i="7"/>
  <c r="T19" i="7"/>
  <c r="T37" i="7"/>
  <c r="T25" i="7"/>
  <c r="Q28" i="7"/>
  <c r="R43" i="7"/>
  <c r="Q22" i="7"/>
  <c r="Q34" i="7"/>
  <c r="R40" i="7"/>
  <c r="R28" i="7"/>
  <c r="R31" i="7"/>
  <c r="R37" i="7"/>
  <c r="Q43" i="7"/>
  <c r="S19" i="7"/>
  <c r="T43" i="7"/>
  <c r="S31" i="7"/>
  <c r="S37" i="7"/>
  <c r="T28" i="7"/>
  <c r="S28" i="7"/>
  <c r="S43" i="7"/>
  <c r="T34" i="7"/>
  <c r="T40" i="7"/>
  <c r="R22" i="7"/>
  <c r="Q31" i="7"/>
  <c r="Q19" i="7"/>
  <c r="R25" i="7"/>
  <c r="Q37" i="7"/>
  <c r="Q25" i="7"/>
  <c r="R19" i="7"/>
  <c r="R34" i="7"/>
  <c r="Q40" i="7"/>
  <c r="R20" i="7" l="1"/>
  <c r="S20" i="7"/>
  <c r="Q20" i="7"/>
  <c r="T20" i="7"/>
  <c r="V21" i="7" l="1"/>
  <c r="R23" i="7"/>
  <c r="AB20" i="7"/>
  <c r="Q23" i="7"/>
  <c r="Z20" i="7"/>
  <c r="AA20" i="7"/>
  <c r="T23" i="7"/>
  <c r="Y20" i="7"/>
  <c r="S23" i="7"/>
  <c r="V24" i="7" l="1"/>
  <c r="S26" i="7"/>
  <c r="Y23" i="7"/>
  <c r="R26" i="7"/>
  <c r="AB23" i="7"/>
  <c r="T26" i="7"/>
  <c r="AA23" i="7"/>
  <c r="Q26" i="7"/>
  <c r="Z23" i="7"/>
  <c r="V27" i="7" l="1"/>
  <c r="Q29" i="7"/>
  <c r="Z26" i="7"/>
  <c r="AA26" i="7"/>
  <c r="Y26" i="7"/>
  <c r="S29" i="7"/>
  <c r="T29" i="7"/>
  <c r="AB26" i="7"/>
  <c r="R29" i="7"/>
  <c r="V30" i="7" l="1"/>
  <c r="R32" i="7"/>
  <c r="AB29" i="7"/>
  <c r="T32" i="7"/>
  <c r="S32" i="7"/>
  <c r="Y29" i="7"/>
  <c r="Z29" i="7"/>
  <c r="Q32" i="7"/>
  <c r="AA29" i="7"/>
  <c r="V33" i="7" l="1"/>
  <c r="T35" i="7"/>
  <c r="Q35" i="7"/>
  <c r="AA32" i="7"/>
  <c r="Z32" i="7"/>
  <c r="S35" i="7"/>
  <c r="Y32" i="7"/>
  <c r="R35" i="7"/>
  <c r="AB32" i="7"/>
  <c r="V36" i="7" l="1"/>
  <c r="Q38" i="7"/>
  <c r="AA35" i="7"/>
  <c r="Z35" i="7"/>
  <c r="R38" i="7"/>
  <c r="AB35" i="7"/>
  <c r="Y35" i="7"/>
  <c r="S38" i="7"/>
  <c r="T38" i="7"/>
  <c r="V39" i="7" l="1"/>
  <c r="Q41" i="7"/>
  <c r="Z38" i="7"/>
  <c r="AA38" i="7"/>
  <c r="T41" i="7"/>
  <c r="Y38" i="7"/>
  <c r="S41" i="7"/>
  <c r="R41" i="7"/>
  <c r="AB38" i="7"/>
  <c r="V42" i="7" l="1"/>
  <c r="Q44" i="7"/>
  <c r="AA41" i="7"/>
  <c r="Z41" i="7"/>
  <c r="R44" i="7"/>
  <c r="AB41" i="7"/>
  <c r="S44" i="7"/>
  <c r="Y41" i="7"/>
  <c r="T44" i="7"/>
  <c r="V45" i="7" l="1"/>
  <c r="Q47" i="7"/>
  <c r="S47" i="7"/>
  <c r="R47" i="7"/>
  <c r="R56" i="7" s="1"/>
  <c r="T47" i="7"/>
  <c r="Y44" i="7"/>
  <c r="AA44" i="7"/>
  <c r="Z44" i="7"/>
  <c r="AB44" i="7"/>
  <c r="S56" i="7" l="1"/>
  <c r="V54" i="7"/>
  <c r="Q56" i="7"/>
  <c r="T56" i="7"/>
  <c r="AB56" i="7" s="1"/>
  <c r="V48" i="7"/>
  <c r="T50" i="7"/>
  <c r="R50" i="7"/>
  <c r="S50" i="7"/>
  <c r="Q50" i="7"/>
  <c r="AB47" i="7"/>
  <c r="Y47" i="7"/>
  <c r="AA47" i="7"/>
  <c r="Z47" i="7"/>
  <c r="Y56" i="7" l="1"/>
  <c r="AA56" i="7"/>
  <c r="Z56" i="7"/>
  <c r="S53" i="7"/>
  <c r="T53" i="7"/>
  <c r="R53" i="7"/>
  <c r="Q53" i="7"/>
</calcChain>
</file>

<file path=xl/sharedStrings.xml><?xml version="1.0" encoding="utf-8"?>
<sst xmlns="http://schemas.openxmlformats.org/spreadsheetml/2006/main" count="155" uniqueCount="71">
  <si>
    <t>Year</t>
  </si>
  <si>
    <t>BPOP(t)</t>
  </si>
  <si>
    <t>Regulations</t>
  </si>
  <si>
    <t>Rs</t>
  </si>
  <si>
    <t>Rw</t>
  </si>
  <si>
    <t>Predictions</t>
  </si>
  <si>
    <t>Sam</t>
  </si>
  <si>
    <t>Saf</t>
  </si>
  <si>
    <t>Sym</t>
  </si>
  <si>
    <t>Syf</t>
  </si>
  <si>
    <t>Additive Model</t>
  </si>
  <si>
    <t>Compensatory Model</t>
  </si>
  <si>
    <t>Recruitment Parameters</t>
  </si>
  <si>
    <t>b0</t>
  </si>
  <si>
    <t>b1(bpop)</t>
  </si>
  <si>
    <t>weak</t>
  </si>
  <si>
    <t>strong</t>
  </si>
  <si>
    <t>Survival Parameters</t>
  </si>
  <si>
    <t>additive</t>
  </si>
  <si>
    <t>compensatory</t>
  </si>
  <si>
    <t>s0m</t>
  </si>
  <si>
    <t>s0f</t>
  </si>
  <si>
    <t>Differential Vulnerability</t>
  </si>
  <si>
    <t>daf</t>
  </si>
  <si>
    <t>dym</t>
  </si>
  <si>
    <t>dyf</t>
  </si>
  <si>
    <t>Miscellaneous Parameters</t>
  </si>
  <si>
    <t>m(ale fraction)</t>
  </si>
  <si>
    <t>phi (m:f survival)</t>
  </si>
  <si>
    <t>sfix</t>
  </si>
  <si>
    <t>rfix</t>
  </si>
  <si>
    <t>c</t>
  </si>
  <si>
    <t>Model Predictions</t>
  </si>
  <si>
    <t>Nhat</t>
  </si>
  <si>
    <t>Likelihood</t>
  </si>
  <si>
    <t>Weight</t>
  </si>
  <si>
    <t>Variance Parameters</t>
  </si>
  <si>
    <t>sigmaB</t>
  </si>
  <si>
    <t>Priors</t>
  </si>
  <si>
    <t>Total</t>
  </si>
  <si>
    <t>Hypothesis weights</t>
  </si>
  <si>
    <t>ScRs</t>
  </si>
  <si>
    <t>ScRw</t>
  </si>
  <si>
    <t>SaRs</t>
  </si>
  <si>
    <t>SaRw</t>
  </si>
  <si>
    <t>H_rate(t)</t>
  </si>
  <si>
    <t>add.</t>
  </si>
  <si>
    <t>OBS</t>
  </si>
  <si>
    <t>comp</t>
  </si>
  <si>
    <t>(Year t + 1)</t>
  </si>
  <si>
    <t>SE</t>
  </si>
  <si>
    <t>Liberal</t>
  </si>
  <si>
    <t>80%UCL</t>
  </si>
  <si>
    <t>Sources</t>
  </si>
  <si>
    <t>NE plot</t>
  </si>
  <si>
    <t>Jon Klimstra</t>
  </si>
  <si>
    <t>Fed</t>
  </si>
  <si>
    <t>MASALL dataset</t>
  </si>
  <si>
    <t>* blue numbers from 2007 AHM report</t>
  </si>
  <si>
    <t>Plot</t>
  </si>
  <si>
    <t>(51:54,56)</t>
  </si>
  <si>
    <t>Northeastern Plot</t>
  </si>
  <si>
    <t>Estimate</t>
  </si>
  <si>
    <t>estimate</t>
  </si>
  <si>
    <t>millions</t>
  </si>
  <si>
    <t>bpop</t>
  </si>
  <si>
    <t>bpopse</t>
  </si>
  <si>
    <t>Old Prediction Var</t>
  </si>
  <si>
    <t>Original MCM Comp Parms</t>
  </si>
  <si>
    <t>Pred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</si>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</sst>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0000"/>
    <numFmt numFmtId="167" formatCode="0.0"/>
    <numFmt numFmtId="168" formatCode="0.000000"/>
    <numFmt numFmtId="169" formatCode="0.000000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nsolas"/>
      <family val="2"/>
    </font>
    <font>
      <sz val="10"/>
      <name val="Consolas"/>
      <family val="3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Consolas"/>
      <family val="3"/>
    </font>
    <font>
      <b/>
      <sz val="10"/>
      <color theme="4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">
    <xf numFmtId="0" fontId="0" fillId="0" borderId="0"/>
    <xf numFmtId="0" fontId="4" fillId="0" borderId="0"/>
    <xf numFmtId="0" fontId="4" fillId="0" borderId="0"/>
    <xf numFmtId="0" fontId="7" fillId="0" borderId="0"/>
    <xf numFmtId="0" fontId="6" fillId="0" borderId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15" applyNumberFormat="0" applyAlignment="0" applyProtection="0"/>
    <xf numFmtId="0" fontId="25" fillId="6" borderId="16" applyNumberFormat="0" applyAlignment="0" applyProtection="0"/>
    <xf numFmtId="0" fontId="26" fillId="6" borderId="15" applyNumberFormat="0" applyAlignment="0" applyProtection="0"/>
    <xf numFmtId="0" fontId="27" fillId="0" borderId="17" applyNumberFormat="0" applyFill="0" applyAlignment="0" applyProtection="0"/>
    <xf numFmtId="0" fontId="28" fillId="7" borderId="1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0" applyNumberFormat="0" applyFill="0" applyAlignment="0" applyProtection="0"/>
    <xf numFmtId="0" fontId="3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2" fillId="32" borderId="0" applyNumberFormat="0" applyBorder="0" applyAlignment="0" applyProtection="0"/>
    <xf numFmtId="0" fontId="3" fillId="0" borderId="0"/>
    <xf numFmtId="0" fontId="3" fillId="8" borderId="19" applyNumberFormat="0" applyFont="0" applyAlignment="0" applyProtection="0"/>
    <xf numFmtId="0" fontId="2" fillId="0" borderId="0"/>
    <xf numFmtId="0" fontId="2" fillId="8" borderId="1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9" applyNumberFormat="0" applyFont="0" applyAlignment="0" applyProtection="0"/>
    <xf numFmtId="0" fontId="1" fillId="0" borderId="0"/>
    <xf numFmtId="0" fontId="1" fillId="8" borderId="1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60">
    <xf numFmtId="0" fontId="0" fillId="0" borderId="0" xfId="0"/>
    <xf numFmtId="0" fontId="5" fillId="0" borderId="0" xfId="0" applyFont="1"/>
    <xf numFmtId="0" fontId="8" fillId="0" borderId="0" xfId="4" applyFont="1" applyAlignment="1">
      <alignment horizontal="left"/>
    </xf>
    <xf numFmtId="0" fontId="8" fillId="0" borderId="0" xfId="4" applyFont="1"/>
    <xf numFmtId="0" fontId="8" fillId="0" borderId="0" xfId="0" applyFont="1"/>
    <xf numFmtId="2" fontId="9" fillId="0" borderId="0" xfId="4" applyNumberFormat="1" applyFont="1" applyAlignment="1">
      <alignment horizontal="left"/>
    </xf>
    <xf numFmtId="2" fontId="8" fillId="0" borderId="0" xfId="4" applyNumberFormat="1" applyFont="1" applyAlignment="1">
      <alignment horizontal="left"/>
    </xf>
    <xf numFmtId="3" fontId="8" fillId="0" borderId="0" xfId="4" applyNumberFormat="1" applyFont="1" applyAlignment="1">
      <alignment horizontal="left"/>
    </xf>
    <xf numFmtId="167" fontId="9" fillId="0" borderId="0" xfId="4" applyNumberFormat="1" applyFont="1" applyAlignment="1">
      <alignment horizontal="left"/>
    </xf>
    <xf numFmtId="167" fontId="8" fillId="0" borderId="0" xfId="4" applyNumberFormat="1" applyFont="1" applyAlignment="1">
      <alignment horizontal="left"/>
    </xf>
    <xf numFmtId="164" fontId="8" fillId="0" borderId="0" xfId="4" applyNumberFormat="1" applyFont="1" applyAlignment="1">
      <alignment horizontal="left"/>
    </xf>
    <xf numFmtId="2" fontId="8" fillId="0" borderId="0" xfId="4" applyNumberFormat="1" applyFont="1" applyFill="1" applyBorder="1" applyAlignment="1">
      <alignment horizontal="left"/>
    </xf>
    <xf numFmtId="0" fontId="10" fillId="0" borderId="0" xfId="3" applyFont="1" applyFill="1" applyBorder="1" applyAlignment="1">
      <alignment horizontal="left"/>
    </xf>
    <xf numFmtId="0" fontId="10" fillId="0" borderId="0" xfId="3" applyFont="1" applyFill="1" applyBorder="1" applyAlignment="1">
      <alignment horizontal="center"/>
    </xf>
    <xf numFmtId="0" fontId="10" fillId="0" borderId="10" xfId="3" applyFont="1" applyFill="1" applyBorder="1" applyAlignment="1">
      <alignment horizontal="right" wrapText="1"/>
    </xf>
    <xf numFmtId="0" fontId="10" fillId="0" borderId="9" xfId="3" applyFont="1" applyFill="1" applyBorder="1" applyAlignment="1">
      <alignment horizontal="right" wrapText="1"/>
    </xf>
    <xf numFmtId="3" fontId="8" fillId="0" borderId="0" xfId="4" applyNumberFormat="1" applyFont="1" applyBorder="1" applyAlignment="1">
      <alignment horizontal="left"/>
    </xf>
    <xf numFmtId="0" fontId="8" fillId="0" borderId="0" xfId="4" applyFont="1" applyBorder="1" applyAlignment="1">
      <alignment horizontal="left"/>
    </xf>
    <xf numFmtId="166" fontId="11" fillId="0" borderId="8" xfId="0" applyNumberFormat="1" applyFont="1" applyBorder="1" applyAlignment="1"/>
    <xf numFmtId="0" fontId="8" fillId="0" borderId="1" xfId="0" applyFont="1" applyBorder="1"/>
    <xf numFmtId="0" fontId="8" fillId="0" borderId="3" xfId="0" applyFont="1" applyBorder="1"/>
    <xf numFmtId="0" fontId="11" fillId="0" borderId="8" xfId="0" applyFont="1" applyBorder="1"/>
    <xf numFmtId="0" fontId="8" fillId="0" borderId="2" xfId="0" applyFont="1" applyBorder="1"/>
    <xf numFmtId="0" fontId="8" fillId="0" borderId="0" xfId="0" applyFont="1" applyBorder="1"/>
    <xf numFmtId="166" fontId="8" fillId="0" borderId="3" xfId="0" applyNumberFormat="1" applyFont="1" applyBorder="1" applyAlignment="1"/>
    <xf numFmtId="0" fontId="8" fillId="0" borderId="4" xfId="0" applyFont="1" applyBorder="1"/>
    <xf numFmtId="0" fontId="12" fillId="0" borderId="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8" fillId="0" borderId="5" xfId="0" applyNumberFormat="1" applyFont="1" applyBorder="1" applyAlignment="1"/>
    <xf numFmtId="0" fontId="8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1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6" xfId="0" applyFont="1" applyFill="1" applyBorder="1"/>
    <xf numFmtId="168" fontId="8" fillId="0" borderId="0" xfId="0" applyNumberFormat="1" applyFont="1"/>
    <xf numFmtId="166" fontId="8" fillId="0" borderId="0" xfId="0" applyNumberFormat="1" applyFont="1" applyAlignment="1"/>
    <xf numFmtId="168" fontId="11" fillId="0" borderId="0" xfId="0" applyNumberFormat="1" applyFont="1"/>
    <xf numFmtId="166" fontId="11" fillId="0" borderId="0" xfId="0" applyNumberFormat="1" applyFont="1" applyAlignment="1"/>
    <xf numFmtId="0" fontId="11" fillId="0" borderId="0" xfId="0" applyFont="1"/>
    <xf numFmtId="0" fontId="11" fillId="0" borderId="0" xfId="0" applyFont="1" applyAlignment="1">
      <alignment horizontal="center"/>
    </xf>
    <xf numFmtId="164" fontId="8" fillId="0" borderId="0" xfId="0" applyNumberFormat="1" applyFont="1"/>
    <xf numFmtId="165" fontId="8" fillId="0" borderId="0" xfId="0" applyNumberFormat="1" applyFont="1"/>
    <xf numFmtId="0" fontId="13" fillId="0" borderId="0" xfId="0" applyFont="1" applyAlignment="1">
      <alignment horizontal="right"/>
    </xf>
    <xf numFmtId="168" fontId="13" fillId="0" borderId="0" xfId="0" applyNumberFormat="1" applyFont="1"/>
    <xf numFmtId="166" fontId="13" fillId="0" borderId="0" xfId="0" applyNumberFormat="1" applyFont="1" applyAlignment="1"/>
    <xf numFmtId="0" fontId="13" fillId="0" borderId="0" xfId="0" applyFont="1"/>
    <xf numFmtId="164" fontId="13" fillId="0" borderId="0" xfId="0" applyNumberFormat="1" applyFont="1"/>
    <xf numFmtId="0" fontId="15" fillId="0" borderId="0" xfId="0" applyFont="1"/>
    <xf numFmtId="0" fontId="14" fillId="0" borderId="0" xfId="0" applyFont="1" applyBorder="1"/>
    <xf numFmtId="0" fontId="14" fillId="0" borderId="11" xfId="0" applyFont="1" applyBorder="1" applyAlignment="1">
      <alignment horizontal="center"/>
    </xf>
    <xf numFmtId="169" fontId="13" fillId="0" borderId="0" xfId="0" applyNumberFormat="1" applyFont="1"/>
    <xf numFmtId="169" fontId="8" fillId="0" borderId="0" xfId="0" applyNumberFormat="1" applyFont="1"/>
    <xf numFmtId="169" fontId="16" fillId="0" borderId="0" xfId="0" applyNumberFormat="1" applyFont="1"/>
    <xf numFmtId="0" fontId="8" fillId="0" borderId="0" xfId="0" applyFont="1" applyAlignment="1">
      <alignment horizontal="left"/>
    </xf>
    <xf numFmtId="167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2" fontId="33" fillId="0" borderId="0" xfId="0" applyNumberFormat="1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</cellXfs>
  <cellStyles count="89">
    <cellStyle name="20% - Accent1" xfId="22" builtinId="30" customBuiltin="1"/>
    <cellStyle name="20% - Accent1 2" xfId="49"/>
    <cellStyle name="20% - Accent1 2 2" xfId="77"/>
    <cellStyle name="20% - Accent1 3" xfId="61"/>
    <cellStyle name="20% - Accent2" xfId="26" builtinId="34" customBuiltin="1"/>
    <cellStyle name="20% - Accent2 2" xfId="51"/>
    <cellStyle name="20% - Accent2 2 2" xfId="79"/>
    <cellStyle name="20% - Accent2 3" xfId="63"/>
    <cellStyle name="20% - Accent3" xfId="30" builtinId="38" customBuiltin="1"/>
    <cellStyle name="20% - Accent3 2" xfId="53"/>
    <cellStyle name="20% - Accent3 2 2" xfId="81"/>
    <cellStyle name="20% - Accent3 3" xfId="65"/>
    <cellStyle name="20% - Accent4" xfId="34" builtinId="42" customBuiltin="1"/>
    <cellStyle name="20% - Accent4 2" xfId="55"/>
    <cellStyle name="20% - Accent4 2 2" xfId="83"/>
    <cellStyle name="20% - Accent4 3" xfId="67"/>
    <cellStyle name="20% - Accent5" xfId="38" builtinId="46" customBuiltin="1"/>
    <cellStyle name="20% - Accent5 2" xfId="57"/>
    <cellStyle name="20% - Accent5 2 2" xfId="85"/>
    <cellStyle name="20% - Accent5 3" xfId="69"/>
    <cellStyle name="20% - Accent6" xfId="42" builtinId="50" customBuiltin="1"/>
    <cellStyle name="20% - Accent6 2" xfId="59"/>
    <cellStyle name="20% - Accent6 2 2" xfId="87"/>
    <cellStyle name="20% - Accent6 3" xfId="71"/>
    <cellStyle name="40% - Accent1" xfId="23" builtinId="31" customBuiltin="1"/>
    <cellStyle name="40% - Accent1 2" xfId="50"/>
    <cellStyle name="40% - Accent1 2 2" xfId="78"/>
    <cellStyle name="40% - Accent1 3" xfId="62"/>
    <cellStyle name="40% - Accent2" xfId="27" builtinId="35" customBuiltin="1"/>
    <cellStyle name="40% - Accent2 2" xfId="52"/>
    <cellStyle name="40% - Accent2 2 2" xfId="80"/>
    <cellStyle name="40% - Accent2 3" xfId="64"/>
    <cellStyle name="40% - Accent3" xfId="31" builtinId="39" customBuiltin="1"/>
    <cellStyle name="40% - Accent3 2" xfId="54"/>
    <cellStyle name="40% - Accent3 2 2" xfId="82"/>
    <cellStyle name="40% - Accent3 3" xfId="66"/>
    <cellStyle name="40% - Accent4" xfId="35" builtinId="43" customBuiltin="1"/>
    <cellStyle name="40% - Accent4 2" xfId="56"/>
    <cellStyle name="40% - Accent4 2 2" xfId="84"/>
    <cellStyle name="40% - Accent4 3" xfId="68"/>
    <cellStyle name="40% - Accent5" xfId="39" builtinId="47" customBuiltin="1"/>
    <cellStyle name="40% - Accent5 2" xfId="58"/>
    <cellStyle name="40% - Accent5 2 2" xfId="86"/>
    <cellStyle name="40% - Accent5 3" xfId="70"/>
    <cellStyle name="40% - Accent6" xfId="43" builtinId="51" customBuiltin="1"/>
    <cellStyle name="40% - Accent6 2" xfId="60"/>
    <cellStyle name="40% - Accent6 2 2" xfId="88"/>
    <cellStyle name="40% - Accent6 3" xfId="72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2"/>
    <cellStyle name="Normal 4" xfId="4"/>
    <cellStyle name="Normal 5" xfId="45"/>
    <cellStyle name="Normal 5 2" xfId="73"/>
    <cellStyle name="Normal 6" xfId="47"/>
    <cellStyle name="Normal 6 2" xfId="75"/>
    <cellStyle name="Normal_BPOP" xfId="3"/>
    <cellStyle name="Note 2" xfId="46"/>
    <cellStyle name="Note 2 2" xfId="74"/>
    <cellStyle name="Note 3" xfId="48"/>
    <cellStyle name="Note 3 2" xfId="7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tabSelected="1" workbookViewId="0">
      <pane ySplit="16" topLeftCell="A46" activePane="bottomLeft" state="frozen"/>
      <selection pane="bottomLeft" activeCell="B52" sqref="B52"/>
    </sheetView>
  </sheetViews>
  <sheetFormatPr defaultColWidth="9" defaultRowHeight="12.75" x14ac:dyDescent="0.2"/>
  <cols>
    <col min="1" max="1" width="4.85546875" style="32" customWidth="1"/>
    <col min="2" max="2" width="14.28515625" style="35" customWidth="1"/>
    <col min="3" max="3" width="9.85546875" style="36" customWidth="1"/>
    <col min="4" max="4" width="11.42578125" style="4" customWidth="1"/>
    <col min="5" max="5" width="8.85546875" style="4" customWidth="1"/>
    <col min="6" max="6" width="21.42578125" style="4" bestFit="1" customWidth="1"/>
    <col min="7" max="7" width="12.7109375" style="4" customWidth="1"/>
    <col min="8" max="8" width="7.7109375" style="4" customWidth="1"/>
    <col min="9" max="14" width="7.85546875" style="4" customWidth="1"/>
    <col min="15" max="15" width="7.7109375" style="4" customWidth="1"/>
    <col min="16" max="16" width="10.140625" style="4" customWidth="1"/>
    <col min="17" max="17" width="14.85546875" style="4" customWidth="1"/>
    <col min="18" max="18" width="16.28515625" style="4" customWidth="1"/>
    <col min="19" max="19" width="10.140625" style="4" customWidth="1"/>
    <col min="20" max="20" width="14.140625" style="4" customWidth="1"/>
    <col min="21" max="21" width="3.140625" style="4" customWidth="1"/>
    <col min="22" max="22" width="6" style="4" customWidth="1"/>
    <col min="23" max="23" width="9.5703125" style="4" customWidth="1"/>
    <col min="24" max="24" width="5.85546875" style="4" customWidth="1"/>
    <col min="25" max="25" width="6.5703125" style="4" customWidth="1"/>
    <col min="26" max="26" width="5.85546875" style="4" customWidth="1"/>
    <col min="27" max="28" width="6.5703125" style="4" customWidth="1"/>
    <col min="29" max="16384" width="9" style="1"/>
  </cols>
  <sheetData>
    <row r="1" spans="1:28" x14ac:dyDescent="0.2">
      <c r="Q1" s="58" t="s">
        <v>68</v>
      </c>
      <c r="R1" s="58"/>
    </row>
    <row r="2" spans="1:28" x14ac:dyDescent="0.2">
      <c r="A2" s="18" t="s">
        <v>12</v>
      </c>
      <c r="B2" s="19"/>
      <c r="C2" s="19" t="s">
        <v>13</v>
      </c>
      <c r="D2" s="19" t="s">
        <v>14</v>
      </c>
      <c r="E2" s="20"/>
      <c r="F2" s="21" t="s">
        <v>17</v>
      </c>
      <c r="G2" s="19"/>
      <c r="H2" s="19" t="s">
        <v>20</v>
      </c>
      <c r="I2" s="22" t="s">
        <v>21</v>
      </c>
      <c r="K2" s="21" t="s">
        <v>36</v>
      </c>
      <c r="L2" s="19"/>
      <c r="M2" s="22"/>
      <c r="O2" s="59" t="s">
        <v>67</v>
      </c>
      <c r="P2" s="59"/>
      <c r="Q2" s="50" t="s">
        <v>20</v>
      </c>
      <c r="R2" s="50" t="s">
        <v>21</v>
      </c>
    </row>
    <row r="3" spans="1:28" x14ac:dyDescent="0.2">
      <c r="A3" s="24"/>
      <c r="B3" s="23" t="s">
        <v>15</v>
      </c>
      <c r="C3" s="23">
        <v>1.5177</v>
      </c>
      <c r="D3" s="23">
        <v>-0.37319999999999998</v>
      </c>
      <c r="E3" s="20"/>
      <c r="F3" s="20"/>
      <c r="G3" s="23" t="s">
        <v>18</v>
      </c>
      <c r="H3" s="23">
        <v>0.73070000000000002</v>
      </c>
      <c r="I3" s="25">
        <v>0.59499999999999997</v>
      </c>
      <c r="K3" s="26" t="s">
        <v>52</v>
      </c>
      <c r="L3" s="27" t="s">
        <v>37</v>
      </c>
      <c r="M3" s="25">
        <v>0.21976000000000001</v>
      </c>
      <c r="O3" s="58">
        <v>0.13572999999999999</v>
      </c>
      <c r="P3" s="58"/>
      <c r="Q3" s="49">
        <v>0.64670000000000005</v>
      </c>
      <c r="R3" s="49">
        <v>0.59650000000000003</v>
      </c>
    </row>
    <row r="4" spans="1:28" x14ac:dyDescent="0.2">
      <c r="A4" s="28"/>
      <c r="B4" s="29" t="s">
        <v>16</v>
      </c>
      <c r="C4" s="29">
        <v>4.1540999999999997</v>
      </c>
      <c r="D4" s="29">
        <v>-1.3766</v>
      </c>
      <c r="E4" s="20"/>
      <c r="F4" s="30"/>
      <c r="G4" s="29" t="s">
        <v>19</v>
      </c>
      <c r="H4" s="29">
        <v>0.59845999999999999</v>
      </c>
      <c r="I4" s="31">
        <v>0.51541899999999996</v>
      </c>
      <c r="K4" s="30"/>
      <c r="L4" s="29"/>
      <c r="M4" s="31"/>
      <c r="O4" s="23"/>
      <c r="P4" s="23"/>
    </row>
    <row r="6" spans="1:28" x14ac:dyDescent="0.2">
      <c r="A6" s="18" t="s">
        <v>26</v>
      </c>
      <c r="B6" s="19"/>
      <c r="C6" s="19"/>
      <c r="D6" s="20"/>
      <c r="F6" s="21" t="s">
        <v>22</v>
      </c>
      <c r="G6" s="19"/>
      <c r="H6" s="19"/>
      <c r="I6" s="22"/>
    </row>
    <row r="7" spans="1:28" x14ac:dyDescent="0.2">
      <c r="A7" s="24"/>
      <c r="B7" s="23" t="s">
        <v>27</v>
      </c>
      <c r="C7" s="23">
        <v>0.54444999999999999</v>
      </c>
      <c r="D7" s="20"/>
      <c r="F7" s="20"/>
      <c r="G7" s="23" t="s">
        <v>23</v>
      </c>
      <c r="H7" s="23">
        <v>1.15337</v>
      </c>
      <c r="I7" s="25"/>
      <c r="X7" s="52"/>
    </row>
    <row r="8" spans="1:28" x14ac:dyDescent="0.2">
      <c r="A8" s="24"/>
      <c r="B8" s="23" t="s">
        <v>28</v>
      </c>
      <c r="C8" s="23">
        <v>1.2163299999999999</v>
      </c>
      <c r="D8" s="20"/>
      <c r="F8" s="20"/>
      <c r="G8" s="23" t="s">
        <v>24</v>
      </c>
      <c r="H8" s="23">
        <v>1.3306</v>
      </c>
      <c r="I8" s="25"/>
      <c r="L8" s="41"/>
      <c r="Q8" s="32" t="s">
        <v>38</v>
      </c>
      <c r="R8" s="33"/>
      <c r="S8" s="33"/>
      <c r="T8" s="33"/>
      <c r="U8" s="33"/>
    </row>
    <row r="9" spans="1:28" x14ac:dyDescent="0.2">
      <c r="A9" s="24"/>
      <c r="B9" s="23" t="s">
        <v>29</v>
      </c>
      <c r="C9" s="23">
        <v>1</v>
      </c>
      <c r="D9" s="20"/>
      <c r="F9" s="20"/>
      <c r="G9" s="23" t="s">
        <v>25</v>
      </c>
      <c r="H9" s="23">
        <v>1.50898</v>
      </c>
      <c r="I9" s="25"/>
      <c r="L9" s="41"/>
      <c r="Q9" s="33" t="s">
        <v>41</v>
      </c>
      <c r="R9" s="33" t="s">
        <v>42</v>
      </c>
      <c r="S9" s="33" t="s">
        <v>43</v>
      </c>
      <c r="T9" s="33" t="s">
        <v>44</v>
      </c>
      <c r="U9" s="33"/>
    </row>
    <row r="10" spans="1:28" x14ac:dyDescent="0.2">
      <c r="A10" s="28"/>
      <c r="B10" s="29" t="s">
        <v>30</v>
      </c>
      <c r="C10" s="29">
        <v>0.70089000000000001</v>
      </c>
      <c r="D10" s="20"/>
      <c r="F10" s="30"/>
      <c r="G10" s="34" t="s">
        <v>31</v>
      </c>
      <c r="H10" s="34">
        <v>0.2</v>
      </c>
      <c r="I10" s="31"/>
      <c r="L10" s="41"/>
      <c r="Q10" s="33">
        <v>0.25</v>
      </c>
      <c r="R10" s="33">
        <v>0.25</v>
      </c>
      <c r="S10" s="33">
        <v>0.25</v>
      </c>
      <c r="T10" s="33">
        <v>0.25</v>
      </c>
      <c r="U10" s="33"/>
    </row>
    <row r="11" spans="1:28" x14ac:dyDescent="0.2">
      <c r="L11" s="41"/>
      <c r="Q11" s="33"/>
      <c r="R11" s="33"/>
      <c r="S11" s="33"/>
      <c r="T11" s="33"/>
      <c r="U11" s="33"/>
    </row>
    <row r="12" spans="1:28" x14ac:dyDescent="0.2">
      <c r="L12" s="41"/>
      <c r="Q12" s="33"/>
      <c r="R12" s="33"/>
      <c r="S12" s="33"/>
      <c r="T12" s="33"/>
      <c r="U12" s="33"/>
    </row>
    <row r="13" spans="1:28" x14ac:dyDescent="0.2">
      <c r="B13" s="37"/>
      <c r="C13" s="38"/>
      <c r="D13" s="39"/>
      <c r="O13" s="39"/>
      <c r="P13" s="39"/>
      <c r="Q13" s="32"/>
      <c r="R13" s="32"/>
      <c r="S13" s="32"/>
      <c r="T13" s="32"/>
      <c r="U13" s="32"/>
      <c r="V13" s="39"/>
      <c r="W13" s="39"/>
      <c r="X13" s="39"/>
      <c r="Y13" s="39"/>
      <c r="Z13" s="39"/>
    </row>
    <row r="14" spans="1:28" x14ac:dyDescent="0.2">
      <c r="B14" s="37"/>
      <c r="C14" s="38"/>
      <c r="D14" s="39"/>
      <c r="E14" s="39" t="s">
        <v>5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2" t="s">
        <v>32</v>
      </c>
      <c r="R14" s="32"/>
      <c r="S14" s="32" t="s">
        <v>49</v>
      </c>
      <c r="T14" s="32"/>
      <c r="U14" s="32"/>
      <c r="V14" s="39"/>
      <c r="W14" s="39"/>
      <c r="X14" s="39"/>
      <c r="Y14" s="39" t="s">
        <v>40</v>
      </c>
      <c r="Z14" s="39"/>
    </row>
    <row r="15" spans="1:28" x14ac:dyDescent="0.2">
      <c r="E15" s="39"/>
      <c r="F15" s="39"/>
      <c r="G15" s="39" t="s">
        <v>10</v>
      </c>
      <c r="H15" s="39"/>
      <c r="I15" s="39"/>
      <c r="J15" s="39"/>
      <c r="K15" s="39" t="s">
        <v>11</v>
      </c>
      <c r="L15" s="39"/>
      <c r="M15" s="39"/>
      <c r="N15" s="39"/>
      <c r="O15" s="39"/>
      <c r="P15" s="39"/>
      <c r="Q15" s="32"/>
      <c r="R15" s="32"/>
      <c r="S15" s="32"/>
      <c r="T15" s="32"/>
      <c r="U15" s="32"/>
      <c r="V15" s="39" t="s">
        <v>69</v>
      </c>
      <c r="W15" s="39" t="s">
        <v>47</v>
      </c>
      <c r="X15" s="39"/>
      <c r="Y15" s="40" t="s">
        <v>46</v>
      </c>
      <c r="Z15" s="40" t="s">
        <v>16</v>
      </c>
      <c r="AA15" s="39" t="s">
        <v>48</v>
      </c>
      <c r="AB15" s="39" t="s">
        <v>15</v>
      </c>
    </row>
    <row r="16" spans="1:28" x14ac:dyDescent="0.2">
      <c r="A16" s="32" t="s">
        <v>0</v>
      </c>
      <c r="B16" s="37" t="s">
        <v>1</v>
      </c>
      <c r="C16" s="38" t="s">
        <v>45</v>
      </c>
      <c r="D16" s="39" t="s">
        <v>2</v>
      </c>
      <c r="E16" s="40" t="s">
        <v>3</v>
      </c>
      <c r="F16" s="40" t="s">
        <v>4</v>
      </c>
      <c r="G16" s="40" t="s">
        <v>6</v>
      </c>
      <c r="H16" s="40" t="s">
        <v>7</v>
      </c>
      <c r="I16" s="40" t="s">
        <v>8</v>
      </c>
      <c r="J16" s="40" t="s">
        <v>9</v>
      </c>
      <c r="K16" s="40" t="s">
        <v>6</v>
      </c>
      <c r="L16" s="40" t="s">
        <v>7</v>
      </c>
      <c r="M16" s="40" t="s">
        <v>8</v>
      </c>
      <c r="N16" s="40" t="s">
        <v>9</v>
      </c>
      <c r="O16" s="39"/>
      <c r="P16" s="39"/>
      <c r="Q16" s="32" t="s">
        <v>41</v>
      </c>
      <c r="R16" s="32" t="s">
        <v>42</v>
      </c>
      <c r="S16" s="32" t="s">
        <v>43</v>
      </c>
      <c r="T16" s="32" t="s">
        <v>44</v>
      </c>
      <c r="U16" s="32"/>
      <c r="V16" s="39"/>
      <c r="W16" s="39"/>
      <c r="X16" s="39"/>
      <c r="Y16" s="39"/>
      <c r="Z16" s="39"/>
    </row>
    <row r="18" spans="1:33" s="48" customFormat="1" x14ac:dyDescent="0.2">
      <c r="A18" s="43">
        <v>2002</v>
      </c>
      <c r="B18" s="44">
        <v>1.0249999999999999</v>
      </c>
      <c r="C18" s="45">
        <v>0.14677000000000001</v>
      </c>
      <c r="D18" s="46" t="s">
        <v>51</v>
      </c>
      <c r="E18" s="47">
        <f>$C$4*EXP($D$4*B18)</f>
        <v>1.0131667262490858</v>
      </c>
      <c r="F18" s="47">
        <f>$C$3*EXP($D$3*B18)</f>
        <v>1.035273901652034</v>
      </c>
      <c r="G18" s="47">
        <f>$H$3*(1-$C18/(1-$H$10))</f>
        <v>0.59664395125000003</v>
      </c>
      <c r="H18" s="47">
        <f>$I$3*(1-$C18*$H$7/(1-$H$10))</f>
        <v>0.46909791454312499</v>
      </c>
      <c r="I18" s="47">
        <f>$H$3*(1-$C18*$H$8/(1-$H$10))</f>
        <v>0.55232502153325003</v>
      </c>
      <c r="J18" s="47">
        <f>$I$3*(1-$C18*$H$9/(1-$H$10))*$C$8</f>
        <v>0.52336181590564779</v>
      </c>
      <c r="K18" s="47">
        <f>IF($C18/(1-$H$10)&lt;=(1-$H$4),$H$4,1-$C18/(1-$H$10))</f>
        <v>0.59845999999999999</v>
      </c>
      <c r="L18" s="47">
        <f>IF($C18*$H$7/(1-$H$10)&lt;=(1-$I$4),$I$4,1-$C18*$H$7/(1-$H$10))</f>
        <v>0.51541899999999996</v>
      </c>
      <c r="M18" s="47">
        <f>IF($C18*$H$8/(1-$H$10)&lt;=(1-$H$4),$H$4,(1-$C18*$H$8/(1-$H$10)))</f>
        <v>0.59845999999999999</v>
      </c>
      <c r="N18" s="47">
        <f>IF(C18*$H$9/(1-$H$10)&lt;=(1-$I$4),$I$4*$C$8,(1-(C18*$H$9/(1-$H$10)))*$C$8)</f>
        <v>0.62691959226999994</v>
      </c>
      <c r="O18" s="46"/>
      <c r="P18" s="46" t="s">
        <v>33</v>
      </c>
      <c r="Q18" s="51">
        <f>$B18*$C$9*($C$7*$K18+((1-$C$7)*$L18)+($C$7*$C$10*$E18*($M18+$N18)))</f>
        <v>1.0602515994068167</v>
      </c>
      <c r="R18" s="51">
        <f>$B18*$C$9*($C$7*$K18+((1-$C$7)*$L18)+($C$7*$C$10*$F18*($M18+$N18)))</f>
        <v>1.070847445257044</v>
      </c>
      <c r="S18" s="51">
        <f>$B18*$C$9*($C$7*$G18+((1-$C$7)*$H18)+($C$7*$C$10*$E18*($I18+$J18)))</f>
        <v>0.97828734475451895</v>
      </c>
      <c r="T18" s="51">
        <f>$B18*$C$9*($C$7*$G18+((1-$C$7)*$H18)+($C$7*$C$10*$F18*($I18+$J18)))</f>
        <v>0.98758879875662697</v>
      </c>
      <c r="U18" s="51"/>
      <c r="V18" s="4">
        <f>Q18*Q10+R18*R10+S18*S10+T18*T10</f>
        <v>1.0242437970437517</v>
      </c>
      <c r="W18" s="44">
        <v>1.0402</v>
      </c>
      <c r="X18" s="46">
        <v>2003</v>
      </c>
      <c r="Y18" s="47"/>
      <c r="Z18" s="47"/>
      <c r="AA18" s="46"/>
      <c r="AB18" s="46"/>
    </row>
    <row r="19" spans="1:33" x14ac:dyDescent="0.2">
      <c r="E19" s="41"/>
      <c r="F19" s="41"/>
      <c r="G19" s="41"/>
      <c r="H19" s="41"/>
      <c r="I19" s="41"/>
      <c r="J19" s="41"/>
      <c r="K19" s="41"/>
      <c r="L19" s="41"/>
      <c r="M19" s="41"/>
      <c r="N19" s="41"/>
      <c r="P19" s="4" t="s">
        <v>34</v>
      </c>
      <c r="Q19" s="52">
        <f>NORMDIST(LN($W18),LN(Q18),$M$3,FALSE)</f>
        <v>1.8085156832944753</v>
      </c>
      <c r="R19" s="52">
        <f>NORMDIST(LN($W18),LN(R18),$M$3,FALSE)</f>
        <v>1.7995763313451887</v>
      </c>
      <c r="S19" s="52">
        <f>NORMDIST(LN($W18),LN(S18),$M$3,FALSE)</f>
        <v>1.7459422916675527</v>
      </c>
      <c r="T19" s="52">
        <f>NORMDIST(LN($W18),LN(T18),$M$3,FALSE)</f>
        <v>1.7654247928998179</v>
      </c>
      <c r="U19" s="52"/>
      <c r="W19" s="41"/>
      <c r="Y19" s="41"/>
      <c r="Z19" s="41"/>
    </row>
    <row r="20" spans="1:33" x14ac:dyDescent="0.2">
      <c r="E20" s="41"/>
      <c r="F20" s="41"/>
      <c r="G20" s="41"/>
      <c r="H20" s="41"/>
      <c r="I20" s="41"/>
      <c r="J20" s="41"/>
      <c r="K20" s="41"/>
      <c r="L20" s="41"/>
      <c r="M20" s="41"/>
      <c r="N20" s="41"/>
      <c r="P20" s="4" t="s">
        <v>35</v>
      </c>
      <c r="Q20" s="52">
        <f>Q19*Q10/(SUM($Q19*$Q10,$R19*$R10,$S19*$S10,$T19*$T10))</f>
        <v>0.25402430972542672</v>
      </c>
      <c r="R20" s="52">
        <f>R19*R10/(SUM($Q19*$Q10,$R19*$R10,$S19*$S10,$T19*$T10))</f>
        <v>0.25276868737761632</v>
      </c>
      <c r="S20" s="52">
        <f>S19*S10/(SUM($Q19*$Q10,$R19*$R10,$S19*$S10,$T19*$T10))</f>
        <v>0.24523524432663932</v>
      </c>
      <c r="T20" s="52">
        <f>T19*T10/(SUM($Q19*$Q10,$R19*$R10,$S19*$S10,$T19*$T10))</f>
        <v>0.24797175857031764</v>
      </c>
      <c r="U20" s="52"/>
      <c r="V20" s="41"/>
      <c r="W20" s="41"/>
      <c r="Y20" s="42">
        <f>SUM(S20,T20)</f>
        <v>0.49320700289695696</v>
      </c>
      <c r="Z20" s="42">
        <f>SUM(Q20,S20)</f>
        <v>0.49925955405206601</v>
      </c>
      <c r="AA20" s="42">
        <f>SUM(Q20,R20)</f>
        <v>0.50679299710304304</v>
      </c>
      <c r="AB20" s="42">
        <f>SUM(R20,T20)</f>
        <v>0.50074044594793399</v>
      </c>
    </row>
    <row r="21" spans="1:33" x14ac:dyDescent="0.2">
      <c r="A21" s="32">
        <v>2003</v>
      </c>
      <c r="B21" s="35">
        <v>1.0402</v>
      </c>
      <c r="C21" s="36">
        <v>0.1114</v>
      </c>
      <c r="D21" s="4" t="s">
        <v>51</v>
      </c>
      <c r="E21" s="41">
        <f>$C$4*EXP($D$4*B21)</f>
        <v>0.99218715849672801</v>
      </c>
      <c r="F21" s="41">
        <f>$C$3*EXP($D$3*B21)</f>
        <v>1.0294177910138564</v>
      </c>
      <c r="G21" s="41">
        <f>$H$3*(1-$C21/(1-$H$10))</f>
        <v>0.62895002500000008</v>
      </c>
      <c r="H21" s="41">
        <f>$I$3*(1-$C21*$H$7/(1-$H$10))</f>
        <v>0.49943897036249996</v>
      </c>
      <c r="I21" s="41">
        <f>$H$3*(1-$C21*$H$8/(1-$H$10))</f>
        <v>0.59531148326500005</v>
      </c>
      <c r="J21" s="41">
        <f>$I$3*(1-$C21*$H$9/(1-$H$10))*$C$8</f>
        <v>0.57164511542814722</v>
      </c>
      <c r="K21" s="41">
        <f>IF($C21/(1-$H$10)&lt;=(1-$H$4),$H$4,1-$C21/(1-$H$10))</f>
        <v>0.59845999999999999</v>
      </c>
      <c r="L21" s="41">
        <f>IF($C21*$H$7/(1-$H$10)&lt;=(1-$I$4),$I$4,1-$C21*$H$7/(1-$H$10))</f>
        <v>0.51541899999999996</v>
      </c>
      <c r="M21" s="41">
        <f>IF($C21*$H$8/(1-$H$10)&lt;=(1-$H$4),$H$4,(1-$C21*$H$8/(1-$H$10)))</f>
        <v>0.59845999999999999</v>
      </c>
      <c r="N21" s="41">
        <f>IF(C21*$H$9/(1-$H$10)&lt;=(1-$I$4),$I$4*$C$8,(1-(C21*$H$9/(1-$H$10)))*$C$8)</f>
        <v>0.62691959226999994</v>
      </c>
      <c r="P21" s="4" t="s">
        <v>33</v>
      </c>
      <c r="Q21" s="52">
        <f>$B21*$C$9*($C$7*$K21+((1-$C$7)*$L21)+($C$7*$C$10*$E21*($M21+$N21)))</f>
        <v>1.0657698509657016</v>
      </c>
      <c r="R21" s="52">
        <f>$B21*$C$9*($C$7*$K21+((1-$C$7)*$L21)+($C$7*$C$10*$F21*($M21+$N21)))</f>
        <v>1.0838789053540729</v>
      </c>
      <c r="S21" s="52">
        <f>$B21*$C$9*($C$7*$G21+((1-$C$7)*$H21)+($C$7*$C$10*$E21*($I21+$J21)))</f>
        <v>1.0524558983389023</v>
      </c>
      <c r="T21" s="52">
        <f>$B21*$C$9*($C$7*$G21+((1-$C$7)*$H21)+($C$7*$C$10*$F21*($I21+$J21)))</f>
        <v>1.0697015589063803</v>
      </c>
      <c r="U21" s="52"/>
      <c r="V21" s="4">
        <f>Q21*Q20+R21*R20+S21*S20+T21*T20</f>
        <v>1.0680571549799487</v>
      </c>
      <c r="W21" s="35">
        <v>1.1081000000000001</v>
      </c>
      <c r="X21" s="4">
        <v>2004</v>
      </c>
      <c r="Y21" s="41"/>
      <c r="Z21" s="41"/>
      <c r="AC21" s="48"/>
      <c r="AD21" s="48"/>
      <c r="AE21" s="48"/>
      <c r="AF21" s="48"/>
      <c r="AG21" s="48"/>
    </row>
    <row r="22" spans="1:33" x14ac:dyDescent="0.2">
      <c r="E22" s="41"/>
      <c r="F22" s="41"/>
      <c r="G22" s="41"/>
      <c r="H22" s="41"/>
      <c r="I22" s="41"/>
      <c r="J22" s="41"/>
      <c r="K22" s="41"/>
      <c r="L22" s="41"/>
      <c r="M22" s="41"/>
      <c r="N22" s="41"/>
      <c r="P22" s="4" t="s">
        <v>34</v>
      </c>
      <c r="Q22" s="52">
        <f>NORMDIST(LN($W21),LN(Q21),$M$3,FALSE)</f>
        <v>1.7870645600729762</v>
      </c>
      <c r="R22" s="52">
        <f>NORMDIST(LN($W21),LN(R21),$M$3,FALSE)</f>
        <v>1.8061975269812227</v>
      </c>
      <c r="S22" s="52">
        <f>NORMDIST(LN($W21),LN(S21),$M$3,FALSE)</f>
        <v>1.7661459337199599</v>
      </c>
      <c r="T22" s="52">
        <f>NORMDIST(LN($W21),LN(T21),$M$3,FALSE)</f>
        <v>1.7921280085423663</v>
      </c>
      <c r="U22" s="52"/>
      <c r="W22" s="41"/>
      <c r="Y22" s="41"/>
      <c r="Z22" s="41"/>
    </row>
    <row r="23" spans="1:33" x14ac:dyDescent="0.2">
      <c r="E23" s="41"/>
      <c r="F23" s="41"/>
      <c r="G23" s="41"/>
      <c r="H23" s="41"/>
      <c r="I23" s="41"/>
      <c r="J23" s="41"/>
      <c r="K23" s="41"/>
      <c r="L23" s="41"/>
      <c r="M23" s="41"/>
      <c r="N23" s="41"/>
      <c r="P23" s="4" t="s">
        <v>35</v>
      </c>
      <c r="Q23" s="52">
        <f>Q22*Q20/(SUM($Q22*$Q20,$R22*$R20,$S22*$S20,$T22*$T20))</f>
        <v>0.25388766389526984</v>
      </c>
      <c r="R23" s="52">
        <f>R22*R20/(SUM($Q22*$Q20,$R22*$R20,$S22*$S20,$T22*$T20))</f>
        <v>0.25533749526095567</v>
      </c>
      <c r="S23" s="52">
        <f t="shared" ref="S23" si="0">S22*S20/(SUM($Q22*$Q20,$R22*$R20,$S22*$S20,$T22*$T20))</f>
        <v>0.2422342498653319</v>
      </c>
      <c r="T23" s="52">
        <f t="shared" ref="T23" si="1">T22*T20/(SUM($Q22*$Q20,$R22*$R20,$S22*$S20,$T22*$T20))</f>
        <v>0.24854059097844267</v>
      </c>
      <c r="U23" s="52"/>
      <c r="V23" s="41"/>
      <c r="W23" s="41"/>
      <c r="Y23" s="42">
        <f>SUM(S23,T23)</f>
        <v>0.49077484084377454</v>
      </c>
      <c r="Z23" s="42">
        <f>SUM(Q23,S23)</f>
        <v>0.49612191376060177</v>
      </c>
      <c r="AA23" s="42">
        <f>SUM(Q23,R23)</f>
        <v>0.50922515915622557</v>
      </c>
      <c r="AB23" s="42">
        <f>SUM(R23,T23)</f>
        <v>0.50387808623939834</v>
      </c>
    </row>
    <row r="24" spans="1:33" x14ac:dyDescent="0.2">
      <c r="A24" s="32">
        <v>2004</v>
      </c>
      <c r="B24" s="35">
        <v>1.1081000000000001</v>
      </c>
      <c r="C24" s="36">
        <v>0.13538</v>
      </c>
      <c r="D24" s="4" t="s">
        <v>51</v>
      </c>
      <c r="E24" s="41">
        <f>$C$4*EXP($D$4*B24)</f>
        <v>0.90364864456860561</v>
      </c>
      <c r="F24" s="41">
        <f>$C$3*EXP($D$3*B24)</f>
        <v>1.0036597917264809</v>
      </c>
      <c r="G24" s="41">
        <f>$H$3*(1-$C24/(1-$H$10))</f>
        <v>0.6070472925</v>
      </c>
      <c r="H24" s="41">
        <f>$I$3*(1-$C24*$H$7/(1-$H$10))</f>
        <v>0.47886847224125001</v>
      </c>
      <c r="I24" s="41">
        <f>$H$3*(1-$C24*$H$8/(1-$H$10))</f>
        <v>0.56616770740050004</v>
      </c>
      <c r="J24" s="41">
        <f>$I$3*(1-$C24*$H$9/(1-$H$10))*$C$8</f>
        <v>0.53891021233090286</v>
      </c>
      <c r="K24" s="41">
        <f>IF($C24/(1-$H$10)&lt;=(1-$H$4),$H$4,1-$C24/(1-$H$10))</f>
        <v>0.59845999999999999</v>
      </c>
      <c r="L24" s="41">
        <f>IF($C24*$H$7/(1-$H$10)&lt;=(1-$I$4),$I$4,1-$C24*$H$7/(1-$H$10))</f>
        <v>0.51541899999999996</v>
      </c>
      <c r="M24" s="41">
        <f>IF($C24*$H$8/(1-$H$10)&lt;=(1-$H$4),$H$4,(1-$C24*$H$8/(1-$H$10)))</f>
        <v>0.59845999999999999</v>
      </c>
      <c r="N24" s="41">
        <f>IF(C24*$H$9/(1-$H$10)&lt;=(1-$I$4),$I$4*$C$8,(1-(C24*$H$9/(1-$H$10)))*$C$8)</f>
        <v>0.62691959226999994</v>
      </c>
      <c r="P24" s="4" t="s">
        <v>33</v>
      </c>
      <c r="Q24" s="52">
        <f>$B24*$C$9*($C$7*$K24+((1-$C$7)*$L24)+($C$7*$C$10*$E24*($M24+$N24)))</f>
        <v>1.0894625080289184</v>
      </c>
      <c r="R24" s="52">
        <f>$B24*$C$9*($C$7*$K24+((1-$C$7)*$L24)+($C$7*$C$10*$F24*($M24+$N24)))</f>
        <v>1.1412835179732301</v>
      </c>
      <c r="S24" s="52">
        <f>$B24*$C$9*($C$7*$G24+((1-$C$7)*$H24)+($C$7*$C$10*$E24*($I24+$J24)))</f>
        <v>1.0302244805212968</v>
      </c>
      <c r="T24" s="52">
        <f>$B24*$C$9*($C$7*$G24+((1-$C$7)*$H24)+($C$7*$C$10*$F24*($I24+$J24)))</f>
        <v>1.0769579615004892</v>
      </c>
      <c r="U24" s="52"/>
      <c r="V24" s="4">
        <f>Q24*Q23+R24*R23+S24*S23+T24*T23</f>
        <v>1.0852369883690882</v>
      </c>
      <c r="W24" s="35">
        <v>1.0469999999999999</v>
      </c>
      <c r="X24" s="4">
        <v>2005</v>
      </c>
      <c r="Y24" s="41"/>
      <c r="Z24" s="41"/>
      <c r="AC24" s="48"/>
      <c r="AD24" s="48"/>
      <c r="AE24" s="48"/>
      <c r="AF24" s="48"/>
      <c r="AG24" s="48"/>
    </row>
    <row r="25" spans="1:33" x14ac:dyDescent="0.2">
      <c r="E25" s="41"/>
      <c r="F25" s="41"/>
      <c r="G25" s="41"/>
      <c r="H25" s="41"/>
      <c r="I25" s="41"/>
      <c r="J25" s="41"/>
      <c r="K25" s="41"/>
      <c r="L25" s="41"/>
      <c r="M25" s="41"/>
      <c r="N25" s="41"/>
      <c r="P25" s="4" t="s">
        <v>34</v>
      </c>
      <c r="Q25" s="52">
        <f>NORMDIST(LN($W24),LN(Q24),$M$3,FALSE)</f>
        <v>1.7858911236181132</v>
      </c>
      <c r="R25" s="52">
        <f>NORMDIST(LN($W24),LN(R24),$M$3,FALSE)</f>
        <v>1.6808646118719714</v>
      </c>
      <c r="S25" s="52">
        <f>NORMDIST(LN($W24),LN(S24),$M$3,FALSE)</f>
        <v>1.810457595968662</v>
      </c>
      <c r="T25" s="52">
        <f>NORMDIST(LN($W24),LN(T24),$M$3,FALSE)</f>
        <v>1.8004574726114355</v>
      </c>
      <c r="U25" s="52"/>
      <c r="W25" s="41"/>
      <c r="Y25" s="41"/>
      <c r="Z25" s="41"/>
    </row>
    <row r="26" spans="1:33" x14ac:dyDescent="0.2">
      <c r="E26" s="41"/>
      <c r="F26" s="41"/>
      <c r="G26" s="41"/>
      <c r="H26" s="41"/>
      <c r="I26" s="41"/>
      <c r="J26" s="41"/>
      <c r="K26" s="41"/>
      <c r="L26" s="41"/>
      <c r="M26" s="41"/>
      <c r="N26" s="41"/>
      <c r="P26" s="4" t="s">
        <v>35</v>
      </c>
      <c r="Q26" s="52">
        <f>Q25*Q23/(SUM($Q25*$Q23,$R25*$R23,$S25*$S23,$T25*$T23))</f>
        <v>0.25636331937818563</v>
      </c>
      <c r="R26" s="52">
        <f>R25*R23/(SUM($Q25*$Q23,$R25*$R23,$S25*$S23,$T25*$T23))</f>
        <v>0.24266471718015273</v>
      </c>
      <c r="S26" s="52">
        <f t="shared" ref="S26" si="2">S25*S23/(SUM($Q25*$Q23,$R25*$R23,$S25*$S23,$T25*$T23))</f>
        <v>0.24796090569885965</v>
      </c>
      <c r="T26" s="52">
        <f t="shared" ref="T26" si="3">T25*T23/(SUM($Q25*$Q23,$R25*$R23,$S25*$S23,$T25*$T23))</f>
        <v>0.25301105774280203</v>
      </c>
      <c r="U26" s="52"/>
      <c r="V26" s="41"/>
      <c r="W26" s="41"/>
      <c r="Y26" s="42">
        <f>SUM(S26,T26)</f>
        <v>0.50097196344166162</v>
      </c>
      <c r="Z26" s="42">
        <f>SUM(Q26,S26)</f>
        <v>0.50432422507704522</v>
      </c>
      <c r="AA26" s="42">
        <f>SUM(Q26,R26)</f>
        <v>0.49902803655833838</v>
      </c>
      <c r="AB26" s="42">
        <f>SUM(R26,T26)</f>
        <v>0.49567577492295478</v>
      </c>
    </row>
    <row r="27" spans="1:33" x14ac:dyDescent="0.2">
      <c r="A27" s="32">
        <v>2005</v>
      </c>
      <c r="B27" s="35">
        <v>1.0469999999999999</v>
      </c>
      <c r="C27" s="36">
        <v>0.14688999999999999</v>
      </c>
      <c r="D27" s="4" t="s">
        <v>51</v>
      </c>
      <c r="E27" s="41">
        <f>$C$4*EXP($D$4*B27)</f>
        <v>0.98294274897677059</v>
      </c>
      <c r="F27" s="41">
        <f>$C$3*EXP($D$3*B27)</f>
        <v>1.0268086877597378</v>
      </c>
      <c r="G27" s="41">
        <f>$H$3*(1-$C27/(1-$H$10))</f>
        <v>0.59653434625000001</v>
      </c>
      <c r="H27" s="41">
        <f>$I$3*(1-$C27*$H$7/(1-$H$10))</f>
        <v>0.46899497627062497</v>
      </c>
      <c r="I27" s="41">
        <f>$H$3*(1-$C27*$H$8/(1-$H$10))</f>
        <v>0.55217918112025</v>
      </c>
      <c r="J27" s="41">
        <f>$I$3*(1-$C27*$H$9/(1-$H$10))*$C$8</f>
        <v>0.52319800488097445</v>
      </c>
      <c r="K27" s="41">
        <f>IF($C27/(1-$H$10)&lt;=(1-$H$4),$H$4,1-$C27/(1-$H$10))</f>
        <v>0.59845999999999999</v>
      </c>
      <c r="L27" s="41">
        <f>IF($C27*$H$7/(1-$H$10)&lt;=(1-$I$4),$I$4,1-$C27*$H$7/(1-$H$10))</f>
        <v>0.51541899999999996</v>
      </c>
      <c r="M27" s="41">
        <f>IF($C27*$H$8/(1-$H$10)&lt;=(1-$H$4),$H$4,(1-$C27*$H$8/(1-$H$10)))</f>
        <v>0.59845999999999999</v>
      </c>
      <c r="N27" s="41">
        <f>IF(C27*$H$9/(1-$H$10)&lt;=(1-$I$4),$I$4*$C$8,(1-(C27*$H$9/(1-$H$10)))*$C$8)</f>
        <v>0.62691959226999994</v>
      </c>
      <c r="P27" s="4" t="s">
        <v>33</v>
      </c>
      <c r="Q27" s="52">
        <f>$B27*$C$9*($C$7*$K27+((1-$C$7)*$L27)+($C$7*$C$10*$E27*($M27+$N27)))</f>
        <v>1.0682111124257272</v>
      </c>
      <c r="R27" s="52">
        <f>$B27*$C$9*($C$7*$K27+((1-$C$7)*$L27)+($C$7*$C$10*$F27*($M27+$N27)))</f>
        <v>1.0896870740356754</v>
      </c>
      <c r="S27" s="52">
        <f>$B27*$C$9*($C$7*$G27+((1-$C$7)*$H27)+($C$7*$C$10*$E27*($I27+$J27)))</f>
        <v>0.98606206126714324</v>
      </c>
      <c r="T27" s="52">
        <f>$B27*$C$9*($C$7*$G27+((1-$C$7)*$H27)+($C$7*$C$10*$F27*($I27+$J27)))</f>
        <v>1.0049090857389593</v>
      </c>
      <c r="U27" s="52"/>
      <c r="V27" s="4">
        <f>Q27*Q26+R27*R26+S27*S26+T27*T26</f>
        <v>1.0370367047191105</v>
      </c>
      <c r="W27" s="35">
        <v>0.89539999999999997</v>
      </c>
      <c r="X27" s="4">
        <v>2006</v>
      </c>
      <c r="Y27" s="41"/>
      <c r="Z27" s="41"/>
      <c r="AC27" s="48"/>
      <c r="AD27" s="48"/>
      <c r="AE27" s="48"/>
      <c r="AF27" s="48"/>
      <c r="AG27" s="48"/>
    </row>
    <row r="28" spans="1:33" x14ac:dyDescent="0.2">
      <c r="E28" s="41"/>
      <c r="F28" s="41"/>
      <c r="G28" s="41"/>
      <c r="H28" s="41"/>
      <c r="I28" s="41"/>
      <c r="J28" s="41"/>
      <c r="K28" s="41"/>
      <c r="L28" s="41"/>
      <c r="M28" s="41"/>
      <c r="N28" s="41"/>
      <c r="P28" s="4" t="s">
        <v>34</v>
      </c>
      <c r="Q28" s="52">
        <f>NORMDIST(LN($W27),LN(Q27),$M$3,FALSE)</f>
        <v>1.3150383232409371</v>
      </c>
      <c r="R28" s="52">
        <f>NORMDIST(LN($W27),LN(R27),$M$3,FALSE)</f>
        <v>1.2177797399320029</v>
      </c>
      <c r="S28" s="52">
        <f>NORMDIST(LN($W27),LN(S27),$M$3,FALSE)</f>
        <v>1.6486749706968791</v>
      </c>
      <c r="T28" s="52">
        <f>NORMDIST(LN($W27),LN(T27),$M$3,FALSE)</f>
        <v>1.5816198584925676</v>
      </c>
      <c r="U28" s="52"/>
      <c r="W28" s="41"/>
      <c r="Y28" s="41"/>
      <c r="Z28" s="41"/>
    </row>
    <row r="29" spans="1:33" x14ac:dyDescent="0.2">
      <c r="E29" s="41"/>
      <c r="F29" s="41"/>
      <c r="G29" s="41"/>
      <c r="H29" s="41"/>
      <c r="I29" s="41"/>
      <c r="J29" s="41"/>
      <c r="K29" s="41"/>
      <c r="L29" s="41"/>
      <c r="M29" s="41"/>
      <c r="N29" s="41"/>
      <c r="P29" s="4" t="s">
        <v>35</v>
      </c>
      <c r="Q29" s="52">
        <f>Q28*Q26/(SUM($Q28*$Q26,$R28*$R26,$S28*$S26,$T28*$T26))</f>
        <v>0.23385426710566354</v>
      </c>
      <c r="R29" s="52">
        <f>R28*R26/(SUM($Q28*$Q26,$R28*$R26,$S28*$S26,$T28*$T26))</f>
        <v>0.20498703013771222</v>
      </c>
      <c r="S29" s="52">
        <f t="shared" ref="S29" si="4">S28*S26/(SUM($Q28*$Q26,$R28*$R26,$S28*$S26,$T28*$T26))</f>
        <v>0.28357586274829366</v>
      </c>
      <c r="T29" s="52">
        <f t="shared" ref="T29" si="5">T28*T26/(SUM($Q28*$Q26,$R28*$R26,$S28*$S26,$T28*$T26))</f>
        <v>0.27758284000833061</v>
      </c>
      <c r="U29" s="52"/>
      <c r="V29" s="41"/>
      <c r="W29" s="41"/>
      <c r="Y29" s="42">
        <f>SUM(S29,T29)</f>
        <v>0.56115870275662427</v>
      </c>
      <c r="Z29" s="42">
        <f>SUM(Q29,S29)</f>
        <v>0.5174301298539572</v>
      </c>
      <c r="AA29" s="42">
        <f>SUM(Q29,R29)</f>
        <v>0.43884129724337573</v>
      </c>
      <c r="AB29" s="42">
        <f>SUM(R29,T29)</f>
        <v>0.4825698701460428</v>
      </c>
    </row>
    <row r="30" spans="1:33" x14ac:dyDescent="0.2">
      <c r="A30" s="32">
        <v>2006</v>
      </c>
      <c r="B30" s="35">
        <v>0.89539999999999997</v>
      </c>
      <c r="C30" s="36">
        <v>0.12695999999999999</v>
      </c>
      <c r="D30" s="4" t="s">
        <v>51</v>
      </c>
      <c r="E30" s="41">
        <f>$C$4*EXP($D$4*B30)</f>
        <v>1.2110504922149534</v>
      </c>
      <c r="F30" s="41">
        <f>$C$3*EXP($D$3*B30)</f>
        <v>1.0865773944442099</v>
      </c>
      <c r="G30" s="41">
        <f>$H$3*(1-$C30/(1-$H$10))</f>
        <v>0.61473791</v>
      </c>
      <c r="H30" s="41">
        <f>$I$3*(1-$C30*$H$7/(1-$H$10))</f>
        <v>0.48609130769499997</v>
      </c>
      <c r="I30" s="41">
        <f>$H$3*(1-$C30*$H$8/(1-$H$10))</f>
        <v>0.57640084304600003</v>
      </c>
      <c r="J30" s="41">
        <f>$I$3*(1-$C30*$H$9/(1-$H$10))*$C$8</f>
        <v>0.55040428589548984</v>
      </c>
      <c r="K30" s="41">
        <f>IF($C30/(1-$H$10)&lt;=(1-$H$4),$H$4,1-$C30/(1-$H$10))</f>
        <v>0.59845999999999999</v>
      </c>
      <c r="L30" s="41">
        <f>IF($C30*$H$7/(1-$H$10)&lt;=(1-$I$4),$I$4,1-$C30*$H$7/(1-$H$10))</f>
        <v>0.51541899999999996</v>
      </c>
      <c r="M30" s="41">
        <f>IF($C30*$H$8/(1-$H$10)&lt;=(1-$H$4),$H$4,(1-$C30*$H$8/(1-$H$10)))</f>
        <v>0.59845999999999999</v>
      </c>
      <c r="N30" s="41">
        <f>IF(C30*$H$9/(1-$H$10)&lt;=(1-$I$4),$I$4*$C$8,(1-(C30*$H$9/(1-$H$10)))*$C$8)</f>
        <v>0.62691959226999994</v>
      </c>
      <c r="P30" s="4" t="s">
        <v>33</v>
      </c>
      <c r="Q30" s="52">
        <f>$B30*$C$9*($C$7*$K30+((1-$C$7)*$L30)+($C$7*$C$10*$E30*($M30+$N30)))</f>
        <v>1.0090469499245498</v>
      </c>
      <c r="R30" s="52">
        <f>$B30*$C$9*($C$7*$K30+((1-$C$7)*$L30)+($C$7*$C$10*$F30*($M30+$N30)))</f>
        <v>0.95693094731999573</v>
      </c>
      <c r="S30" s="52">
        <f>$B30*$C$9*($C$7*$G30+((1-$C$7)*$H30)+($C$7*$C$10*$E30*($I30+$J30)))</f>
        <v>0.96422988466182247</v>
      </c>
      <c r="T30" s="52">
        <f>$B30*$C$9*($C$7*$G30+((1-$C$7)*$H30)+($C$7*$C$10*$F30*($I30+$J30)))</f>
        <v>0.91630630293646242</v>
      </c>
      <c r="U30" s="52"/>
      <c r="V30" s="4">
        <f>Q30*Q29+R30*R29+S30*S29+T30*T29</f>
        <v>0.95991159520510516</v>
      </c>
      <c r="W30" s="35">
        <v>0.90690000000000004</v>
      </c>
      <c r="X30" s="4">
        <v>2007</v>
      </c>
      <c r="Y30" s="41"/>
      <c r="Z30" s="41"/>
      <c r="AC30" s="48"/>
      <c r="AD30" s="48"/>
      <c r="AE30" s="48"/>
      <c r="AF30" s="48"/>
      <c r="AG30" s="48"/>
    </row>
    <row r="31" spans="1:33" x14ac:dyDescent="0.2">
      <c r="E31" s="41"/>
      <c r="F31" s="41"/>
      <c r="G31" s="41"/>
      <c r="H31" s="41"/>
      <c r="I31" s="41"/>
      <c r="J31" s="41"/>
      <c r="K31" s="41"/>
      <c r="L31" s="41"/>
      <c r="M31" s="41"/>
      <c r="N31" s="41"/>
      <c r="P31" s="4" t="s">
        <v>34</v>
      </c>
      <c r="Q31" s="52">
        <f>NORMDIST(LN($W30),LN(Q30),$M$3,FALSE)</f>
        <v>1.6134041062956592</v>
      </c>
      <c r="R31" s="52">
        <f>NORMDIST(LN($W30),LN(R30),$M$3,FALSE)</f>
        <v>1.7619593886767004</v>
      </c>
      <c r="S31" s="52">
        <f>NORMDIST(LN($W30),LN(S30),$M$3,FALSE)</f>
        <v>1.7460915201266598</v>
      </c>
      <c r="T31" s="52">
        <f>NORMDIST(LN($W30),LN(T30),$M$3,FALSE)</f>
        <v>1.8133543940225156</v>
      </c>
      <c r="U31" s="52"/>
      <c r="W31" s="41"/>
      <c r="Y31" s="41"/>
      <c r="Z31" s="41"/>
    </row>
    <row r="32" spans="1:33" x14ac:dyDescent="0.2">
      <c r="E32" s="41"/>
      <c r="F32" s="41"/>
      <c r="G32" s="41"/>
      <c r="H32" s="41"/>
      <c r="I32" s="41"/>
      <c r="J32" s="41"/>
      <c r="K32" s="41"/>
      <c r="L32" s="41"/>
      <c r="M32" s="41"/>
      <c r="N32" s="41"/>
      <c r="P32" s="4" t="s">
        <v>35</v>
      </c>
      <c r="Q32" s="52">
        <f>Q31*Q29/(SUM($Q31*$Q29,$R31*$R29,$S31*$S29,$T31*$T29))</f>
        <v>0.21721619730018399</v>
      </c>
      <c r="R32" s="52">
        <f>R31*R29/(SUM($Q31*$Q29,$R31*$R29,$S31*$S29,$T31*$T29))</f>
        <v>0.20793424855094861</v>
      </c>
      <c r="S32" s="52">
        <f t="shared" ref="S32" si="6">S31*S29/(SUM($Q31*$Q29,$R31*$R29,$S31*$S29,$T31*$T29))</f>
        <v>0.28506245099430677</v>
      </c>
      <c r="T32" s="52">
        <f t="shared" ref="T32" si="7">T31*T29/(SUM($Q31*$Q29,$R31*$R29,$S31*$S29,$T31*$T29))</f>
        <v>0.28978710315456069</v>
      </c>
      <c r="U32" s="52"/>
      <c r="V32" s="41"/>
      <c r="W32" s="41"/>
      <c r="Y32" s="42">
        <f>SUM(S32,T32)</f>
        <v>0.5748495541488674</v>
      </c>
      <c r="Z32" s="42">
        <f>SUM(Q32,S32)</f>
        <v>0.50227864829449076</v>
      </c>
      <c r="AA32" s="42">
        <f>SUM(Q32,R32)</f>
        <v>0.4251504458511326</v>
      </c>
      <c r="AB32" s="42">
        <f>SUM(R32,T32)</f>
        <v>0.4977213517055093</v>
      </c>
    </row>
    <row r="33" spans="1:35" x14ac:dyDescent="0.2">
      <c r="A33" s="32">
        <v>2007</v>
      </c>
      <c r="B33" s="35">
        <v>0.90690000000000004</v>
      </c>
      <c r="C33" s="36">
        <v>0.12263</v>
      </c>
      <c r="D33" s="4" t="s">
        <v>51</v>
      </c>
      <c r="E33" s="41">
        <f>$C$4*EXP($D$4*B33)</f>
        <v>1.1920294304898651</v>
      </c>
      <c r="F33" s="41">
        <f>$C$3*EXP($D$3*B33)</f>
        <v>1.0819240144137021</v>
      </c>
      <c r="G33" s="41">
        <f>$H$3*(1-$C33/(1-$H$10))</f>
        <v>0.61869282375000001</v>
      </c>
      <c r="H33" s="41">
        <f>$I$3*(1-$C33*$H$7/(1-$H$10))</f>
        <v>0.489805663694375</v>
      </c>
      <c r="I33" s="41">
        <f>$H$3*(1-$C33*$H$8/(1-$H$10))</f>
        <v>0.58166325128175</v>
      </c>
      <c r="J33" s="41">
        <f>$I$3*(1-$C33*$H$9/(1-$H$10))*$C$8</f>
        <v>0.55631513370245689</v>
      </c>
      <c r="K33" s="41">
        <f>IF($C33/(1-$H$10)&lt;=(1-$H$4),$H$4,1-$C33/(1-$H$10))</f>
        <v>0.59845999999999999</v>
      </c>
      <c r="L33" s="41">
        <f>IF($C33*$H$7/(1-$H$10)&lt;=(1-$I$4),$I$4,1-$C33*$H$7/(1-$H$10))</f>
        <v>0.51541899999999996</v>
      </c>
      <c r="M33" s="41">
        <f>IF($C33*$H$8/(1-$H$10)&lt;=(1-$H$4),$H$4,(1-$C33*$H$8/(1-$H$10)))</f>
        <v>0.59845999999999999</v>
      </c>
      <c r="N33" s="41">
        <f>IF(C33*$H$9/(1-$H$10)&lt;=(1-$I$4),$I$4*$C$8,(1-(C33*$H$9/(1-$H$10)))*$C$8)</f>
        <v>0.62691959226999994</v>
      </c>
      <c r="P33" s="4" t="s">
        <v>33</v>
      </c>
      <c r="Q33" s="52">
        <f>$B33*$C$9*($C$7*$K33+((1-$C$7)*$L33)+($C$7*$C$10*$E33*($M33+$N33)))</f>
        <v>1.0139402973083216</v>
      </c>
      <c r="R33" s="52">
        <f>$B33*$C$9*($C$7*$K33+((1-$C$7)*$L33)+($C$7*$C$10*$F33*($M33+$N33)))</f>
        <v>0.96724785472982067</v>
      </c>
      <c r="S33" s="52">
        <f>$B33*$C$9*($C$7*$G33+((1-$C$7)*$H33)+($C$7*$C$10*$E33*($I33+$J33)))</f>
        <v>0.97729312791177203</v>
      </c>
      <c r="T33" s="52">
        <f>$B33*$C$9*($C$7*$G33+((1-$C$7)*$H33)+($C$7*$C$10*$F33*($I33+$J33)))</f>
        <v>0.93393106220442801</v>
      </c>
      <c r="U33" s="52"/>
      <c r="V33" s="4">
        <f>Q33*Q32+R33*R32+S33*S32+T33*T32</f>
        <v>0.9705989629511993</v>
      </c>
      <c r="W33" s="35">
        <v>0.81510000000000005</v>
      </c>
      <c r="X33" s="4">
        <v>2008</v>
      </c>
      <c r="Y33" s="41"/>
      <c r="Z33" s="41"/>
      <c r="AC33" s="48"/>
      <c r="AD33" s="48"/>
      <c r="AE33" s="48"/>
      <c r="AF33" s="48"/>
      <c r="AG33" s="48"/>
    </row>
    <row r="34" spans="1:35" x14ac:dyDescent="0.2">
      <c r="E34" s="41"/>
      <c r="F34" s="41"/>
      <c r="G34" s="41"/>
      <c r="H34" s="41"/>
      <c r="I34" s="41"/>
      <c r="J34" s="41"/>
      <c r="K34" s="41"/>
      <c r="L34" s="41"/>
      <c r="M34" s="41"/>
      <c r="N34" s="41"/>
      <c r="P34" s="4" t="s">
        <v>34</v>
      </c>
      <c r="Q34" s="52">
        <f>NORMDIST(LN($W33),LN(Q33),$M$3,FALSE)</f>
        <v>1.108440676881068</v>
      </c>
      <c r="R34" s="52">
        <f>NORMDIST(LN($W33),LN(R33),$M$3,FALSE)</f>
        <v>1.3404885260498154</v>
      </c>
      <c r="S34" s="52">
        <f>NORMDIST(LN($W33),LN(S33),$M$3,FALSE)</f>
        <v>1.2908685867154099</v>
      </c>
      <c r="T34" s="52">
        <f>NORMDIST(LN($W33),LN(T33),$M$3,FALSE)</f>
        <v>1.4985981282709433</v>
      </c>
      <c r="U34" s="52"/>
      <c r="W34" s="41"/>
      <c r="Y34" s="41"/>
      <c r="Z34" s="41"/>
    </row>
    <row r="35" spans="1:35" x14ac:dyDescent="0.2">
      <c r="E35" s="41"/>
      <c r="F35" s="41"/>
      <c r="G35" s="41"/>
      <c r="H35" s="41"/>
      <c r="I35" s="41"/>
      <c r="J35" s="41"/>
      <c r="K35" s="41"/>
      <c r="L35" s="41"/>
      <c r="M35" s="41"/>
      <c r="N35" s="41"/>
      <c r="P35" s="4" t="s">
        <v>35</v>
      </c>
      <c r="Q35" s="52">
        <f>Q34*Q32/(SUM($Q34*$Q32,$R34*$R32,$S34*$S32,$T34*$T32))</f>
        <v>0.18215996667058504</v>
      </c>
      <c r="R35" s="52">
        <f>R34*R32/(SUM($Q34*$Q32,$R34*$R32,$S34*$S32,$T34*$T32))</f>
        <v>0.21088097703265693</v>
      </c>
      <c r="S35" s="52">
        <f t="shared" ref="S35" si="8">S34*S32/(SUM($Q34*$Q32,$R34*$R32,$S34*$S32,$T34*$T32))</f>
        <v>0.27840070077821022</v>
      </c>
      <c r="T35" s="52">
        <f t="shared" ref="T35" si="9">T34*T32/(SUM($Q34*$Q32,$R34*$R32,$S34*$S32,$T34*$T32))</f>
        <v>0.32855835551854784</v>
      </c>
      <c r="U35" s="52"/>
      <c r="V35" s="41"/>
      <c r="W35" s="41"/>
      <c r="Y35" s="42">
        <f>SUM(S35,T35)</f>
        <v>0.60695905629675806</v>
      </c>
      <c r="Z35" s="42">
        <f>SUM(Q35,S35)</f>
        <v>0.46056066744879526</v>
      </c>
      <c r="AA35" s="42">
        <f>SUM(Q35,R35)</f>
        <v>0.39304094370324194</v>
      </c>
      <c r="AB35" s="42">
        <f>SUM(R35,T35)</f>
        <v>0.5394393325512048</v>
      </c>
    </row>
    <row r="36" spans="1:35" x14ac:dyDescent="0.2">
      <c r="A36" s="32">
        <v>2008</v>
      </c>
      <c r="B36" s="35">
        <v>0.81510000000000005</v>
      </c>
      <c r="C36" s="36">
        <v>0.13632</v>
      </c>
      <c r="D36" s="4" t="s">
        <v>51</v>
      </c>
      <c r="E36" s="41">
        <f>$C$4*EXP($D$4*B36)</f>
        <v>1.3526006386815561</v>
      </c>
      <c r="F36" s="41">
        <f>$C$3*EXP($D$3*B36)</f>
        <v>1.1196327289891059</v>
      </c>
      <c r="G36" s="41">
        <f>$H$3*(1-$C36/(1-$H$10))</f>
        <v>0.60618872000000001</v>
      </c>
      <c r="H36" s="41">
        <f>$I$3*(1-$C36*$H$7/(1-$H$10))</f>
        <v>0.47806212244000001</v>
      </c>
      <c r="I36" s="41">
        <f>$H$3*(1-$C36*$H$8/(1-$H$10))</f>
        <v>0.56502529083200004</v>
      </c>
      <c r="J36" s="41">
        <f>$I$3*(1-$C36*$H$9/(1-$H$10))*$C$8</f>
        <v>0.53762702597096079</v>
      </c>
      <c r="K36" s="41">
        <f>IF($C36/(1-$H$10)&lt;=(1-$H$4),$H$4,1-$C36/(1-$H$10))</f>
        <v>0.59845999999999999</v>
      </c>
      <c r="L36" s="41">
        <f>IF($C36*$H$7/(1-$H$10)&lt;=(1-$I$4),$I$4,1-$C36*$H$7/(1-$H$10))</f>
        <v>0.51541899999999996</v>
      </c>
      <c r="M36" s="41">
        <f>IF($C36*$H$8/(1-$H$10)&lt;=(1-$H$4),$H$4,(1-$C36*$H$8/(1-$H$10)))</f>
        <v>0.59845999999999999</v>
      </c>
      <c r="N36" s="41">
        <f>IF(C36*$H$9/(1-$H$10)&lt;=(1-$I$4),$I$4*$C$8,(1-(C36*$H$9/(1-$H$10)))*$C$8)</f>
        <v>0.62691959226999994</v>
      </c>
      <c r="P36" s="4" t="s">
        <v>33</v>
      </c>
      <c r="Q36" s="52">
        <f>$B36*$C$9*($C$7*$K36+((1-$C$7)*$L36)+($C$7*$C$10*$E36*($M36+$N36)))</f>
        <v>0.97250605256432243</v>
      </c>
      <c r="R36" s="52">
        <f>$B36*$C$9*($C$7*$K36+((1-$C$7)*$L36)+($C$7*$C$10*$F36*($M36+$N36)))</f>
        <v>0.88371166724118821</v>
      </c>
      <c r="S36" s="52">
        <f>$B36*$C$9*($C$7*$G36+((1-$C$7)*$H36)+($C$7*$C$10*$E36*($I36+$J36)))</f>
        <v>0.91043135463635649</v>
      </c>
      <c r="T36" s="52">
        <f>$B36*$C$9*($C$7*$G36+((1-$C$7)*$H36)+($C$7*$C$10*$F36*($I36+$J36)))</f>
        <v>0.83053012622249589</v>
      </c>
      <c r="U36" s="52"/>
      <c r="V36" s="4">
        <f>Q36*Q35+R36*R35+S36*S35+T36*T35</f>
        <v>0.88985198954653133</v>
      </c>
      <c r="W36" s="35">
        <v>0.90780000000000005</v>
      </c>
      <c r="X36" s="4">
        <v>2009</v>
      </c>
      <c r="Y36" s="41"/>
      <c r="Z36" s="41"/>
      <c r="AC36" s="48"/>
      <c r="AD36" s="48"/>
      <c r="AE36" s="48"/>
      <c r="AF36" s="48"/>
      <c r="AG36" s="48"/>
    </row>
    <row r="37" spans="1:35" x14ac:dyDescent="0.2">
      <c r="E37" s="41"/>
      <c r="F37" s="41"/>
      <c r="G37" s="41"/>
      <c r="H37" s="41"/>
      <c r="I37" s="41"/>
      <c r="J37" s="41"/>
      <c r="K37" s="41"/>
      <c r="L37" s="41"/>
      <c r="M37" s="41"/>
      <c r="N37" s="41"/>
      <c r="P37" s="4" t="s">
        <v>34</v>
      </c>
      <c r="Q37" s="52">
        <f>NORMDIST(LN($W36),LN(Q36),$M$3,FALSE)</f>
        <v>1.7284071492398876</v>
      </c>
      <c r="R37" s="52">
        <f>NORMDIST(LN($W36),LN(R36),$M$3,FALSE)</f>
        <v>1.8018119860636646</v>
      </c>
      <c r="S37" s="52">
        <f>NORMDIST(LN($W36),LN(S36),$M$3,FALSE)</f>
        <v>1.8151969407103412</v>
      </c>
      <c r="T37" s="52">
        <f>NORMDIST(LN($W36),LN(T36),$M$3,FALSE)</f>
        <v>1.6725464249500368</v>
      </c>
      <c r="U37" s="52"/>
      <c r="W37" s="41"/>
      <c r="Y37" s="41"/>
      <c r="Z37" s="41"/>
    </row>
    <row r="38" spans="1:35" x14ac:dyDescent="0.2">
      <c r="E38" s="41"/>
      <c r="F38" s="41"/>
      <c r="G38" s="41"/>
      <c r="H38" s="41"/>
      <c r="I38" s="41"/>
      <c r="J38" s="41"/>
      <c r="K38" s="41"/>
      <c r="L38" s="41"/>
      <c r="M38" s="41"/>
      <c r="N38" s="41"/>
      <c r="P38" s="4" t="s">
        <v>35</v>
      </c>
      <c r="Q38" s="53">
        <f>Q37*Q35/(SUM($Q37*$Q35,$R37*$R35,$S37*$S35,$T37*$T35))</f>
        <v>0.17994362972723107</v>
      </c>
      <c r="R38" s="53">
        <f>R37*R35/(SUM($Q37*$Q35,$R37*$R35,$S37*$S35,$T37*$T35))</f>
        <v>0.21716226419679596</v>
      </c>
      <c r="S38" s="53">
        <f t="shared" ref="S38" si="10">S37*S35/(SUM($Q37*$Q35,$R37*$R35,$S37*$S35,$T37*$T35))</f>
        <v>0.28882285687786308</v>
      </c>
      <c r="T38" s="53">
        <f t="shared" ref="T38" si="11">T37*T35/(SUM($Q37*$Q35,$R37*$R35,$S37*$S35,$T37*$T35))</f>
        <v>0.31407124919810975</v>
      </c>
      <c r="U38" s="53"/>
      <c r="V38" s="41"/>
      <c r="W38" s="41"/>
      <c r="Y38" s="42">
        <f>SUM(S38,T38)</f>
        <v>0.60289410607597282</v>
      </c>
      <c r="Z38" s="42">
        <f>SUM(Q38,S38)</f>
        <v>0.46876648660509412</v>
      </c>
      <c r="AA38" s="42">
        <f>SUM(Q38,R38)</f>
        <v>0.39710589392402706</v>
      </c>
      <c r="AB38" s="42">
        <f>SUM(R38,T38)</f>
        <v>0.53123351339490577</v>
      </c>
    </row>
    <row r="39" spans="1:35" x14ac:dyDescent="0.2">
      <c r="A39" s="32">
        <v>2009</v>
      </c>
      <c r="B39" s="35">
        <v>0.90780000000000005</v>
      </c>
      <c r="C39" s="36">
        <v>0.13836999999999999</v>
      </c>
      <c r="D39" s="4" t="s">
        <v>51</v>
      </c>
      <c r="E39" s="41">
        <f>$C$4*EXP($D$4*B39)</f>
        <v>1.1905534920356415</v>
      </c>
      <c r="F39" s="41">
        <f>$C$3*EXP($D$3*B39)</f>
        <v>1.0815606787977401</v>
      </c>
      <c r="G39" s="41">
        <f>$H$3*(1-$C39/(1-$H$10))</f>
        <v>0.60431630125000002</v>
      </c>
      <c r="H39" s="41">
        <f>$I$3*(1-$C39*$H$7/(1-$H$10))</f>
        <v>0.47630359361812502</v>
      </c>
      <c r="I39" s="41">
        <f>$H$3*(1-$C39*$H$8/(1-$H$10))</f>
        <v>0.56253385044325011</v>
      </c>
      <c r="J39" s="41">
        <f>$I$3*(1-$C39*$H$9/(1-$H$10))*$C$8</f>
        <v>0.53482858763278929</v>
      </c>
      <c r="K39" s="41">
        <f>IF($C39/(1-$H$10)&lt;=(1-$H$4),$H$4,1-$C39/(1-$H$10))</f>
        <v>0.59845999999999999</v>
      </c>
      <c r="L39" s="41">
        <f>IF($C39*$H$7/(1-$H$10)&lt;=(1-$I$4),$I$4,1-$C39*$H$7/(1-$H$10))</f>
        <v>0.51541899999999996</v>
      </c>
      <c r="M39" s="41">
        <f>IF($C39*$H$8/(1-$H$10)&lt;=(1-$H$4),$H$4,(1-$C39*$H$8/(1-$H$10)))</f>
        <v>0.59845999999999999</v>
      </c>
      <c r="N39" s="41">
        <f>IF(C39*$H$9/(1-$H$10)&lt;=(1-$I$4),$I$4*$C$8,(1-(C39*$H$9/(1-$H$10)))*$C$8)</f>
        <v>0.62691959226999994</v>
      </c>
      <c r="P39" s="4" t="s">
        <v>33</v>
      </c>
      <c r="Q39" s="52">
        <f>$B39*$C$9*($C$7*$K39+((1-$C$7)*$L39)+($C$7*$C$10*$E39*($M39+$N39)))</f>
        <v>1.0143200003272419</v>
      </c>
      <c r="R39" s="52">
        <f>$B39*$C$9*($C$7*$K39+((1-$C$7)*$L39)+($C$7*$C$10*$F39*($M39+$N39)))</f>
        <v>0.96805351066757739</v>
      </c>
      <c r="S39" s="52">
        <f>$B39*$C$9*($C$7*$G39+((1-$C$7)*$H39)+($C$7*$C$10*$E39*($I39+$J39)))</f>
        <v>0.94824066296722831</v>
      </c>
      <c r="T39" s="52">
        <f>$B39*$C$9*($C$7*$G39+((1-$C$7)*$H39)+($C$7*$C$10*$F39*($I39+$J39)))</f>
        <v>0.90680769948846118</v>
      </c>
      <c r="U39" s="52"/>
      <c r="V39" s="4">
        <f>Q39*Q38+R39*R38+S39*S38+T39*T38</f>
        <v>0.95142091905079718</v>
      </c>
      <c r="W39" s="35">
        <v>0.76170000000000004</v>
      </c>
      <c r="X39" s="4">
        <v>2010</v>
      </c>
      <c r="Y39" s="41"/>
      <c r="Z39" s="41"/>
      <c r="AC39" s="48"/>
      <c r="AD39" s="48"/>
      <c r="AE39" s="48"/>
      <c r="AF39" s="48"/>
      <c r="AG39" s="48"/>
    </row>
    <row r="40" spans="1:35" x14ac:dyDescent="0.2">
      <c r="E40" s="41"/>
      <c r="F40" s="41"/>
      <c r="G40" s="41"/>
      <c r="H40" s="41"/>
      <c r="I40" s="41"/>
      <c r="J40" s="41"/>
      <c r="K40" s="41"/>
      <c r="L40" s="41"/>
      <c r="M40" s="41"/>
      <c r="N40" s="41"/>
      <c r="P40" s="4" t="s">
        <v>34</v>
      </c>
      <c r="Q40" s="52">
        <f>NORMDIST(LN($W39),LN(Q39),$M$3,FALSE)</f>
        <v>0.77642083569154641</v>
      </c>
      <c r="R40" s="52">
        <f>NORMDIST(LN($W39),LN(R39),$M$3,FALSE)</f>
        <v>1.0012580122983064</v>
      </c>
      <c r="S40" s="52">
        <f>NORMDIST(LN($W39),LN(S39),$M$3,FALSE)</f>
        <v>1.1045975703959949</v>
      </c>
      <c r="T40" s="52">
        <f>NORMDIST(LN($W39),LN(T39),$M$3,FALSE)</f>
        <v>1.3250716590811678</v>
      </c>
      <c r="U40" s="52"/>
      <c r="W40" s="41"/>
      <c r="Y40" s="41"/>
      <c r="Z40" s="41"/>
    </row>
    <row r="41" spans="1:35" x14ac:dyDescent="0.2">
      <c r="E41" s="41"/>
      <c r="F41" s="41"/>
      <c r="G41" s="41"/>
      <c r="H41" s="41"/>
      <c r="I41" s="41"/>
      <c r="J41" s="41"/>
      <c r="K41" s="41"/>
      <c r="L41" s="41"/>
      <c r="M41" s="41"/>
      <c r="N41" s="41"/>
      <c r="P41" s="4" t="s">
        <v>35</v>
      </c>
      <c r="Q41" s="53">
        <f>Q40*Q38/(SUM($Q40*$Q38,$R40*$R38,$S40*$S38,$T40*$T38))</f>
        <v>0.12790069005160851</v>
      </c>
      <c r="R41" s="53">
        <f>R40*R38/(SUM($Q40*$Q38,$R40*$R38,$S40*$S38,$T40*$T38))</f>
        <v>0.19905339771588088</v>
      </c>
      <c r="S41" s="53">
        <f t="shared" ref="S41" si="12">S40*S38/(SUM($Q40*$Q38,$R40*$R38,$S40*$S38,$T40*$T38))</f>
        <v>0.29206187750014334</v>
      </c>
      <c r="T41" s="53">
        <f t="shared" ref="T41" si="13">T40*T38/(SUM($Q40*$Q38,$R40*$R38,$S40*$S38,$T40*$T38))</f>
        <v>0.38098403473236725</v>
      </c>
      <c r="U41" s="53"/>
      <c r="V41" s="41"/>
      <c r="W41" s="41"/>
      <c r="Y41" s="42">
        <f>SUM(S41,T41)</f>
        <v>0.67304591223251053</v>
      </c>
      <c r="Z41" s="42">
        <f>SUM(Q41,S41)</f>
        <v>0.41996256755175188</v>
      </c>
      <c r="AA41" s="42">
        <f>SUM(Q41,R41)</f>
        <v>0.32695408776748935</v>
      </c>
      <c r="AB41" s="42">
        <f>SUM(R41,T41)</f>
        <v>0.58003743244824812</v>
      </c>
    </row>
    <row r="42" spans="1:35" x14ac:dyDescent="0.2">
      <c r="A42" s="32">
        <v>2010</v>
      </c>
      <c r="B42" s="35">
        <v>0.76170000000000004</v>
      </c>
      <c r="C42" s="36">
        <v>0.13144</v>
      </c>
      <c r="D42" s="4" t="s">
        <v>51</v>
      </c>
      <c r="E42" s="41">
        <f>$C$4*EXP($D$4*B42)</f>
        <v>1.4557767083247646</v>
      </c>
      <c r="F42" s="41">
        <f>$C$3*EXP($D$3*B42)</f>
        <v>1.1421695764635749</v>
      </c>
      <c r="G42" s="41">
        <f>$H$3*(1-$C42/(1-$H$10))</f>
        <v>0.61064598999999997</v>
      </c>
      <c r="H42" s="41">
        <f>$I$3*(1-$C42*$H$7/(1-$H$10))</f>
        <v>0.48224827885499999</v>
      </c>
      <c r="I42" s="41">
        <f>$H$3*(1-$C42*$H$8/(1-$H$10))</f>
        <v>0.57095613429400005</v>
      </c>
      <c r="J42" s="41">
        <f>$I$3*(1-$C42*$H$9/(1-$H$10))*$C$8</f>
        <v>0.54428867430768102</v>
      </c>
      <c r="K42" s="41">
        <f>IF($C42/(1-$H$10)&lt;=(1-$H$4),$H$4,1-$C42/(1-$H$10))</f>
        <v>0.59845999999999999</v>
      </c>
      <c r="L42" s="41">
        <f>IF($C42*$H$7/(1-$H$10)&lt;=(1-$I$4),$I$4,1-$C42*$H$7/(1-$H$10))</f>
        <v>0.51541899999999996</v>
      </c>
      <c r="M42" s="41">
        <f>IF($C42*$H$8/(1-$H$10)&lt;=(1-$H$4),$H$4,(1-$C42*$H$8/(1-$H$10)))</f>
        <v>0.59845999999999999</v>
      </c>
      <c r="N42" s="41">
        <f>IF(C42*$H$9/(1-$H$10)&lt;=(1-$I$4),$I$4*$C$8,(1-(C42*$H$9/(1-$H$10)))*$C$8)</f>
        <v>0.62691959226999994</v>
      </c>
      <c r="P42" s="4" t="s">
        <v>33</v>
      </c>
      <c r="Q42" s="52">
        <f>$B42*$C$9*($C$7*$K42+((1-$C$7)*$L42)+($C$7*$C$10*$E42*($M42+$N42)))</f>
        <v>0.94554249620810416</v>
      </c>
      <c r="R42" s="52">
        <f>$B42*$C$9*($C$7*$K42+((1-$C$7)*$L42)+($C$7*$C$10*$F42*($M42+$N42)))</f>
        <v>0.83384372506414561</v>
      </c>
      <c r="S42" s="52">
        <f>$B42*$C$9*($C$7*$G42+((1-$C$7)*$H42)+($C$7*$C$10*$E42*($I42+$J42)))</f>
        <v>0.89248342784099277</v>
      </c>
      <c r="T42" s="52">
        <f>$B42*$C$9*($C$7*$G42+((1-$C$7)*$H42)+($C$7*$C$10*$F42*($I42+$J42)))</f>
        <v>0.79082392948528746</v>
      </c>
      <c r="U42" s="52"/>
      <c r="V42" s="4">
        <f>Q42*Q41+R42*R41+S42*S41+T42*T41</f>
        <v>0.84886664136743595</v>
      </c>
      <c r="W42" s="35">
        <v>0.746</v>
      </c>
      <c r="X42" s="4">
        <v>2011</v>
      </c>
      <c r="Y42" s="41"/>
      <c r="Z42" s="41"/>
      <c r="AC42" s="48"/>
      <c r="AD42" s="48"/>
      <c r="AE42" s="48"/>
      <c r="AF42" s="48"/>
      <c r="AG42" s="48"/>
    </row>
    <row r="43" spans="1:35" x14ac:dyDescent="0.2">
      <c r="E43" s="41"/>
      <c r="F43" s="41"/>
      <c r="G43" s="41"/>
      <c r="H43" s="41"/>
      <c r="I43" s="41"/>
      <c r="J43" s="41"/>
      <c r="K43" s="41"/>
      <c r="L43" s="41"/>
      <c r="M43" s="41"/>
      <c r="N43" s="41"/>
      <c r="P43" s="4" t="s">
        <v>34</v>
      </c>
      <c r="Q43" s="52">
        <f>NORMDIST(LN($W42),LN(Q42),$M$3,FALSE)</f>
        <v>1.0146982216268505</v>
      </c>
      <c r="R43" s="52">
        <f>NORMDIST(LN($W42),LN(R42),$M$3,FALSE)</f>
        <v>1.5967686633129363</v>
      </c>
      <c r="S43" s="52">
        <f>NORMDIST(LN($W42),LN(S42),$M$3,FALSE)</f>
        <v>1.3014876427484876</v>
      </c>
      <c r="T43" s="52">
        <f>NORMDIST(LN($W42),LN(T42),$M$3,FALSE)</f>
        <v>1.7524790509630532</v>
      </c>
      <c r="U43" s="52"/>
      <c r="W43" s="41"/>
      <c r="Y43" s="41"/>
      <c r="Z43" s="41"/>
    </row>
    <row r="44" spans="1:35" x14ac:dyDescent="0.2">
      <c r="E44" s="41"/>
      <c r="F44" s="41"/>
      <c r="G44" s="41"/>
      <c r="H44" s="41"/>
      <c r="I44" s="41"/>
      <c r="J44" s="41"/>
      <c r="K44" s="41"/>
      <c r="L44" s="41"/>
      <c r="M44" s="41"/>
      <c r="N44" s="41"/>
      <c r="P44" s="4" t="s">
        <v>35</v>
      </c>
      <c r="Q44" s="53">
        <f>Q43*Q41/(SUM($Q43*$Q41,$R43*$R41,$S43*$S41,$T43*$T41))</f>
        <v>8.6786297996547551E-2</v>
      </c>
      <c r="R44" s="53">
        <f>R43*R41/(SUM($Q43*$Q41,$R43*$R41,$S43*$S41,$T43*$T41))</f>
        <v>0.21254601778079044</v>
      </c>
      <c r="S44" s="53">
        <f t="shared" ref="S44" si="14">S43*S41/(SUM($Q43*$Q41,$R43*$R41,$S43*$S41,$T43*$T41))</f>
        <v>0.25418873400726449</v>
      </c>
      <c r="T44" s="53">
        <f t="shared" ref="T44" si="15">T43*T41/(SUM($Q43*$Q41,$R43*$R41,$S43*$S41,$T43*$T41))</f>
        <v>0.44647895021539752</v>
      </c>
      <c r="U44" s="53"/>
      <c r="V44" s="41"/>
      <c r="W44" s="41"/>
      <c r="Y44" s="42">
        <f>SUM(S44,T44)</f>
        <v>0.70066768422266201</v>
      </c>
      <c r="Z44" s="42">
        <f>SUM(Q44,S44)</f>
        <v>0.34097503200381207</v>
      </c>
      <c r="AA44" s="42">
        <f>SUM(Q44,R44)</f>
        <v>0.29933231577733799</v>
      </c>
      <c r="AB44" s="42">
        <f>SUM(R44,T44)</f>
        <v>0.65902496799618793</v>
      </c>
      <c r="AI44" s="4"/>
    </row>
    <row r="45" spans="1:35" x14ac:dyDescent="0.2">
      <c r="A45" s="32">
        <v>2011</v>
      </c>
      <c r="B45" s="35">
        <f>BPOP!Q29</f>
        <v>0.74600076235955237</v>
      </c>
      <c r="C45" s="36">
        <v>0.11168</v>
      </c>
      <c r="D45" s="4" t="s">
        <v>51</v>
      </c>
      <c r="E45" s="41">
        <f>$C$4*EXP($D$4*B45)</f>
        <v>1.4875807592288968</v>
      </c>
      <c r="F45" s="41">
        <f>$C$3*EXP($D$3*B45)</f>
        <v>1.1488811393460694</v>
      </c>
      <c r="G45" s="41">
        <f>$H$3*(1-$C45/(1-$H$10))</f>
        <v>0.62869428000000005</v>
      </c>
      <c r="H45" s="41">
        <f>$I$3*(1-$C45*$H$7/(1-$H$10))</f>
        <v>0.49919878105999999</v>
      </c>
      <c r="I45" s="41">
        <f>$H$3*(1-$C45*$H$8/(1-$H$10))</f>
        <v>0.59497118896799994</v>
      </c>
      <c r="J45" s="41">
        <f>$I$3*(1-$C45*$H$9/(1-$H$10))*$C$8</f>
        <v>0.57126288970390915</v>
      </c>
      <c r="K45" s="41">
        <f>IF($C45/(1-$H$10)&lt;=(1-$H$4),$H$4,1-$C45/(1-$H$10))</f>
        <v>0.59845999999999999</v>
      </c>
      <c r="L45" s="41">
        <f>IF($C45*$H$7/(1-$H$10)&lt;=(1-$I$4),$I$4,1-$C45*$H$7/(1-$H$10))</f>
        <v>0.51541899999999996</v>
      </c>
      <c r="M45" s="41">
        <f>IF($C45*$H$8/(1-$H$10)&lt;=(1-$H$4),$H$4,(1-$C45*$H$8/(1-$H$10)))</f>
        <v>0.59845999999999999</v>
      </c>
      <c r="N45" s="41">
        <f>IF(C45*$H$9/(1-$H$10)&lt;=(1-$I$4),$I$4*$C$8,(1-(C45*$H$9/(1-$H$10)))*$C$8)</f>
        <v>0.62691959226999994</v>
      </c>
      <c r="P45" s="4" t="s">
        <v>33</v>
      </c>
      <c r="Q45" s="52">
        <f>$B45*$C$9*($C$7*$K45+((1-$C$7)*$L45)+($C$7*$C$10*$E45*($M45+$N45)))</f>
        <v>0.93714842779398178</v>
      </c>
      <c r="R45" s="52">
        <f>$B45*$C$9*($C$7*$K45+((1-$C$7)*$L45)+($C$7*$C$10*$F45*($M45+$N45)))</f>
        <v>0.8189987641479668</v>
      </c>
      <c r="S45" s="52">
        <f>$B45*$C$9*($C$7*$G45+((1-$C$7)*$H45)+($C$7*$C$10*$E45*($I45+$J45)))</f>
        <v>0.91886945538722398</v>
      </c>
      <c r="T45" s="52">
        <f>$B45*$C$9*($C$7*$G45+((1-$C$7)*$H45)+($C$7*$C$10*$F45*($I45+$J45)))</f>
        <v>0.80642253281986531</v>
      </c>
      <c r="U45" s="52"/>
      <c r="V45" s="4">
        <f>Q45*Q44+R45*R44+S45*S44+T45*T44</f>
        <v>0.84902351807484222</v>
      </c>
      <c r="W45" s="35">
        <f>BPOP!Q30</f>
        <v>0.83764145388</v>
      </c>
      <c r="X45" s="4">
        <v>2012</v>
      </c>
      <c r="Y45" s="41"/>
      <c r="Z45" s="41"/>
      <c r="AC45" s="48"/>
      <c r="AD45" s="48"/>
      <c r="AE45" s="48"/>
      <c r="AF45" s="48"/>
      <c r="AG45" s="48"/>
    </row>
    <row r="46" spans="1:35" x14ac:dyDescent="0.2">
      <c r="E46" s="41"/>
      <c r="F46" s="41"/>
      <c r="G46" s="41"/>
      <c r="H46" s="41"/>
      <c r="I46" s="41"/>
      <c r="J46" s="41"/>
      <c r="K46" s="41"/>
      <c r="L46" s="41"/>
      <c r="M46" s="41"/>
      <c r="N46" s="41"/>
      <c r="P46" s="4" t="s">
        <v>34</v>
      </c>
      <c r="Q46" s="52">
        <f>NORMDIST(LN($W45),LN(Q45),$M$3,FALSE)</f>
        <v>1.5933309384191907</v>
      </c>
      <c r="R46" s="52">
        <f>NORMDIST(LN($W45),LN(R45),$M$3,FALSE)</f>
        <v>1.8058581167088774</v>
      </c>
      <c r="S46" s="52">
        <f>NORMDIST(LN($W45),LN(S45),$M$3,FALSE)</f>
        <v>1.6612880462596498</v>
      </c>
      <c r="T46" s="52">
        <f>NORMDIST(LN($W45),LN(T45),$M$3,FALSE)</f>
        <v>1.7884416679895521</v>
      </c>
      <c r="U46" s="52"/>
      <c r="W46" s="41"/>
      <c r="Y46" s="41"/>
      <c r="Z46" s="41"/>
      <c r="AI46" s="4"/>
    </row>
    <row r="47" spans="1:35" x14ac:dyDescent="0.2">
      <c r="E47" s="41"/>
      <c r="F47" s="41"/>
      <c r="G47" s="41"/>
      <c r="H47" s="41"/>
      <c r="I47" s="41"/>
      <c r="J47" s="41"/>
      <c r="K47" s="41"/>
      <c r="L47" s="41"/>
      <c r="M47" s="41"/>
      <c r="N47" s="41"/>
      <c r="P47" s="4" t="s">
        <v>35</v>
      </c>
      <c r="Q47" s="53">
        <f>Q46*Q44/(SUM($Q46*$Q44,$R46*$R44,$S46*$S44,$T46*$T44))</f>
        <v>7.9339104936898691E-2</v>
      </c>
      <c r="R47" s="53">
        <f>R46*R44/(SUM($Q46*$Q44,$R46*$R44,$S46*$S44,$T46*$T44))</f>
        <v>0.22022506272191675</v>
      </c>
      <c r="S47" s="53">
        <f t="shared" ref="S47:T47" si="16">S46*S44/(SUM($Q46*$Q44,$R46*$R44,$S46*$S44,$T46*$T44))</f>
        <v>0.24228770853126319</v>
      </c>
      <c r="T47" s="53">
        <f t="shared" si="16"/>
        <v>0.45814812380992148</v>
      </c>
      <c r="U47" s="53"/>
      <c r="V47" s="41"/>
      <c r="W47" s="41"/>
      <c r="Y47" s="42">
        <f>SUM(S47,T47)</f>
        <v>0.70043583234118467</v>
      </c>
      <c r="Z47" s="42">
        <f>SUM(Q47,S47)</f>
        <v>0.32162681346816191</v>
      </c>
      <c r="AA47" s="42">
        <f>SUM(Q47,R47)</f>
        <v>0.29956416765881544</v>
      </c>
      <c r="AB47" s="42">
        <f>SUM(R47,T47)</f>
        <v>0.6783731865318382</v>
      </c>
    </row>
    <row r="48" spans="1:35" x14ac:dyDescent="0.2">
      <c r="A48" s="32">
        <v>2012</v>
      </c>
      <c r="B48" s="35">
        <f>BPOP!Q30</f>
        <v>0.83764145388</v>
      </c>
      <c r="C48" s="36">
        <v>0.13197</v>
      </c>
      <c r="D48" s="4" t="s">
        <v>51</v>
      </c>
      <c r="E48" s="41">
        <f>$C$4*EXP($D$4*B48)</f>
        <v>1.3112731991117326</v>
      </c>
      <c r="F48" s="41">
        <f>$C$3*EXP($D$3*B48)</f>
        <v>1.1102533587397894</v>
      </c>
      <c r="G48" s="41">
        <f>$H$3*(1-$C48/(1-$H$10))</f>
        <v>0.61016190125000003</v>
      </c>
      <c r="H48" s="41">
        <f>$I$3*(1-$C48*$H$7/(1-$H$10))</f>
        <v>0.48179363481812493</v>
      </c>
      <c r="I48" s="41">
        <f>$H$3*(1-$C48*$H$8/(1-$H$10))</f>
        <v>0.57031200580325003</v>
      </c>
      <c r="J48" s="41">
        <f>$I$3*(1-$C48*$H$9/(1-$H$10))*$C$8</f>
        <v>0.54356517561537332</v>
      </c>
      <c r="K48" s="41">
        <f>IF($C48/(1-$H$10)&lt;=(1-$H$4),$H$4,1-$C48/(1-$H$10))</f>
        <v>0.59845999999999999</v>
      </c>
      <c r="L48" s="41">
        <f>IF($C48*$H$7/(1-$H$10)&lt;=(1-$I$4),$I$4,1-$C48*$H$7/(1-$H$10))</f>
        <v>0.51541899999999996</v>
      </c>
      <c r="M48" s="41">
        <f>IF($C48*$H$8/(1-$H$10)&lt;=(1-$H$4),$H$4,(1-$C48*$H$8/(1-$H$10)))</f>
        <v>0.59845999999999999</v>
      </c>
      <c r="N48" s="41">
        <f>IF(C48*$H$9/(1-$H$10)&lt;=(1-$I$4),$I$4*$C$8,(1-(C48*$H$9/(1-$H$10)))*$C$8)</f>
        <v>0.62691959226999994</v>
      </c>
      <c r="P48" s="4" t="s">
        <v>33</v>
      </c>
      <c r="Q48" s="52">
        <f>$B48*$C$9*($C$7*$K48+((1-$C$7)*$L48)+($C$7*$C$10*$E48*($M48+$N48)))</f>
        <v>0.98321321630726222</v>
      </c>
      <c r="R48" s="52">
        <f>$B48*$C$9*($C$7*$K48+((1-$C$7)*$L48)+($C$7*$C$10*$F48*($M48+$N48)))</f>
        <v>0.90447680891893067</v>
      </c>
      <c r="S48" s="52">
        <f>$B48*$C$9*($C$7*$G48+((1-$C$7)*$H48)+($C$7*$C$10*$E48*($I48+$J48)))</f>
        <v>0.92898376106287617</v>
      </c>
      <c r="T48" s="52">
        <f>$B48*$C$9*($C$7*$G48+((1-$C$7)*$H48)+($C$7*$C$10*$F48*($I48+$J48)))</f>
        <v>0.85741190847940429</v>
      </c>
      <c r="U48" s="52"/>
      <c r="V48" s="4">
        <f>Q48*Q47+R48*R47+S48*S47+T48*T47</f>
        <v>0.89509872245144018</v>
      </c>
      <c r="W48" s="35" t="s">
        <v>70</v>
      </c>
      <c r="X48" s="4">
        <v>2013</v>
      </c>
      <c r="Y48" s="41"/>
      <c r="Z48" s="41"/>
    </row>
    <row r="49" spans="1:28" x14ac:dyDescent="0.2">
      <c r="E49" s="41"/>
      <c r="F49" s="41"/>
      <c r="G49" s="41"/>
      <c r="H49" s="41"/>
      <c r="I49" s="41"/>
      <c r="J49" s="41"/>
      <c r="K49" s="41"/>
      <c r="L49" s="41"/>
      <c r="M49" s="41"/>
      <c r="N49" s="41"/>
      <c r="P49" s="4" t="s">
        <v>34</v>
      </c>
      <c r="Q49" s="52" t="e">
        <f>NORMDIST(LN($W48),LN(Q48),$M$3,FALSE)</f>
        <v>#VALUE!</v>
      </c>
      <c r="R49" s="52" t="e">
        <f>NORMDIST(LN($W48),LN(R48),$M$3,FALSE)</f>
        <v>#VALUE!</v>
      </c>
      <c r="S49" s="52" t="e">
        <f>NORMDIST(LN($W48),LN(S48),$M$3,FALSE)</f>
        <v>#VALUE!</v>
      </c>
      <c r="T49" s="52" t="e">
        <f>NORMDIST(LN($W48),LN(T48),$M$3,FALSE)</f>
        <v>#VALUE!</v>
      </c>
      <c r="U49" s="52"/>
      <c r="W49" s="41"/>
      <c r="Y49" s="41"/>
      <c r="Z49" s="41"/>
    </row>
    <row r="50" spans="1:28" x14ac:dyDescent="0.2">
      <c r="E50" s="41"/>
      <c r="F50" s="41"/>
      <c r="G50" s="41"/>
      <c r="H50" s="41"/>
      <c r="I50" s="41"/>
      <c r="J50" s="41"/>
      <c r="K50" s="41"/>
      <c r="L50" s="41"/>
      <c r="M50" s="41"/>
      <c r="N50" s="41"/>
      <c r="P50" s="4" t="s">
        <v>35</v>
      </c>
      <c r="Q50" s="53" t="e">
        <f>Q49*Q47/(SUM($Q49*$Q47,$R49*$R47,$S49*$S47,$T49*$T47))</f>
        <v>#VALUE!</v>
      </c>
      <c r="R50" s="53" t="e">
        <f>R49*R47/(SUM($Q49*$Q47,$R49*$R47,$S49*$S47,$T49*$T47))</f>
        <v>#VALUE!</v>
      </c>
      <c r="S50" s="53" t="e">
        <f t="shared" ref="S50:T50" si="17">S49*S47/(SUM($Q49*$Q47,$R49*$R47,$S49*$S47,$T49*$T47))</f>
        <v>#VALUE!</v>
      </c>
      <c r="T50" s="53" t="e">
        <f t="shared" si="17"/>
        <v>#VALUE!</v>
      </c>
      <c r="U50" s="53"/>
      <c r="V50" s="41"/>
      <c r="W50" s="41"/>
      <c r="Y50" s="42" t="s">
        <v>70</v>
      </c>
      <c r="Z50" s="42" t="s">
        <v>70</v>
      </c>
      <c r="AA50" s="42" t="s">
        <v>70</v>
      </c>
      <c r="AB50" s="42" t="s">
        <v>70</v>
      </c>
    </row>
    <row r="51" spans="1:28" x14ac:dyDescent="0.2">
      <c r="A51" s="32">
        <v>2013</v>
      </c>
      <c r="B51" s="35" t="s">
        <v>70</v>
      </c>
      <c r="C51" s="36">
        <v>0.15048</v>
      </c>
      <c r="D51" s="4" t="s">
        <v>51</v>
      </c>
      <c r="E51" s="41" t="e">
        <f>$C$4*EXP($D$4*B51)</f>
        <v>#VALUE!</v>
      </c>
      <c r="F51" s="41" t="e">
        <f>$C$3*EXP($D$3*B51)</f>
        <v>#VALUE!</v>
      </c>
      <c r="G51" s="41">
        <f>$H$3*(1-$C51/(1-$H$10))</f>
        <v>0.59325533000000008</v>
      </c>
      <c r="H51" s="41">
        <f>$I$3*(1-$C51*$H$7/(1-$H$10))</f>
        <v>0.465915406285</v>
      </c>
      <c r="I51" s="41">
        <f>$H$3*(1-$C51*$H$8/(1-$H$10))</f>
        <v>0.54781612209800001</v>
      </c>
      <c r="J51" s="41">
        <f>$I$3*(1-$C51*$H$9/(1-$H$10))*$C$8</f>
        <v>0.51829732505949355</v>
      </c>
      <c r="K51" s="41">
        <f>IF($C51/(1-$H$10)&lt;=(1-$H$4),$H$4,1-$C51/(1-$H$10))</f>
        <v>0.59845999999999999</v>
      </c>
      <c r="L51" s="41">
        <f>IF($C51*$H$7/(1-$H$10)&lt;=(1-$I$4),$I$4,1-$C51*$H$7/(1-$H$10))</f>
        <v>0.51541899999999996</v>
      </c>
      <c r="M51" s="41">
        <f>IF($C51*$H$8/(1-$H$10)&lt;=(1-$H$4),$H$4,(1-$C51*$H$8/(1-$H$10)))</f>
        <v>0.59845999999999999</v>
      </c>
      <c r="N51" s="41">
        <f>IF(C51*$H$9/(1-$H$10)&lt;=(1-$I$4),$I$4*$C$8,(1-(C51*$H$9/(1-$H$10)))*$C$8)</f>
        <v>0.62691959226999994</v>
      </c>
      <c r="P51" s="4" t="s">
        <v>33</v>
      </c>
      <c r="Q51" s="52" t="e">
        <f>$B51*$C$9*($C$7*$K51+((1-$C$7)*$L51)+($C$7*$C$10*$E51*($M51+$N51)))</f>
        <v>#VALUE!</v>
      </c>
      <c r="R51" s="52" t="e">
        <f>$B51*$C$9*($C$7*$K51+((1-$C$7)*$L51)+($C$7*$C$10*$F51*($M51+$N51)))</f>
        <v>#VALUE!</v>
      </c>
      <c r="S51" s="52" t="e">
        <f>$B51*$C$9*($C$7*$G51+((1-$C$7)*$H51)+($C$7*$C$10*$E51*($I51+$J51)))</f>
        <v>#VALUE!</v>
      </c>
      <c r="T51" s="52" t="e">
        <f>$B51*$C$9*($C$7*$G51+((1-$C$7)*$H51)+($C$7*$C$10*$F51*($I51+$J51)))</f>
        <v>#VALUE!</v>
      </c>
      <c r="U51" s="53"/>
      <c r="V51" s="41" t="s">
        <v>70</v>
      </c>
      <c r="W51" s="35">
        <f>BPOP!Q32</f>
        <v>0.85538597157999996</v>
      </c>
      <c r="X51" s="4">
        <v>2014</v>
      </c>
      <c r="Y51" s="42"/>
      <c r="Z51" s="42"/>
      <c r="AA51" s="42"/>
      <c r="AB51" s="42"/>
    </row>
    <row r="52" spans="1:28" x14ac:dyDescent="0.2">
      <c r="E52" s="41"/>
      <c r="F52" s="41"/>
      <c r="G52" s="41"/>
      <c r="H52" s="41"/>
      <c r="I52" s="41"/>
      <c r="J52" s="41"/>
      <c r="K52" s="41"/>
      <c r="L52" s="41"/>
      <c r="M52" s="41"/>
      <c r="N52" s="41"/>
      <c r="P52" s="4" t="s">
        <v>34</v>
      </c>
      <c r="Q52" s="52" t="e">
        <f>NORMDIST(LN($W51),LN(Q51),$M$3,FALSE)</f>
        <v>#VALUE!</v>
      </c>
      <c r="R52" s="52" t="e">
        <f>NORMDIST(LN($W51),LN(R51),$M$3,FALSE)</f>
        <v>#VALUE!</v>
      </c>
      <c r="S52" s="52" t="e">
        <f>NORMDIST(LN($W51),LN(S51),$M$3,FALSE)</f>
        <v>#VALUE!</v>
      </c>
      <c r="T52" s="52" t="e">
        <f>NORMDIST(LN($W51),LN(T51),$M$3,FALSE)</f>
        <v>#VALUE!</v>
      </c>
      <c r="U52" s="53"/>
      <c r="V52" s="41"/>
      <c r="W52" s="41"/>
      <c r="Y52" s="42"/>
      <c r="Z52" s="42"/>
      <c r="AA52" s="42"/>
      <c r="AB52" s="42"/>
    </row>
    <row r="53" spans="1:28" x14ac:dyDescent="0.2">
      <c r="E53" s="41"/>
      <c r="F53" s="41"/>
      <c r="G53" s="41"/>
      <c r="H53" s="41"/>
      <c r="I53" s="41"/>
      <c r="J53" s="41"/>
      <c r="K53" s="41"/>
      <c r="L53" s="41"/>
      <c r="M53" s="41"/>
      <c r="N53" s="41"/>
      <c r="P53" s="4" t="s">
        <v>35</v>
      </c>
      <c r="Q53" s="53" t="e">
        <f>Q52*Q50/(SUM($Q52*$Q50,$R52*$R50,$S52*$S50,$T52*$T50))</f>
        <v>#VALUE!</v>
      </c>
      <c r="R53" s="53" t="e">
        <f>R52*R50/(SUM($Q52*$Q50,$R52*$R50,$S52*$S50,$T52*$T50))</f>
        <v>#VALUE!</v>
      </c>
      <c r="S53" s="53" t="e">
        <f t="shared" ref="S53:T53" si="18">S52*S50/(SUM($Q52*$Q50,$R52*$R50,$S52*$S50,$T52*$T50))</f>
        <v>#VALUE!</v>
      </c>
      <c r="T53" s="53" t="e">
        <f t="shared" si="18"/>
        <v>#VALUE!</v>
      </c>
      <c r="U53" s="53"/>
      <c r="V53" s="41"/>
      <c r="W53" s="41"/>
      <c r="Y53" s="42" t="s">
        <v>70</v>
      </c>
      <c r="Z53" s="42" t="s">
        <v>70</v>
      </c>
      <c r="AA53" s="42" t="s">
        <v>70</v>
      </c>
      <c r="AB53" s="42" t="s">
        <v>70</v>
      </c>
    </row>
    <row r="54" spans="1:28" x14ac:dyDescent="0.2">
      <c r="A54" s="32">
        <v>2014</v>
      </c>
      <c r="B54" s="35">
        <f>BPOP!Q32</f>
        <v>0.85538597157999996</v>
      </c>
      <c r="C54" s="36">
        <v>0.14599999999999999</v>
      </c>
      <c r="D54" s="4" t="s">
        <v>51</v>
      </c>
      <c r="E54" s="41">
        <f>$C$4*EXP($D$4*B54)</f>
        <v>1.279630634984176</v>
      </c>
      <c r="F54" s="41">
        <f>$C$3*EXP($D$3*B54)</f>
        <v>1.1029252700007348</v>
      </c>
      <c r="G54" s="41">
        <f>$H$3*(1-$C54/(1-$H$10))</f>
        <v>0.59734725</v>
      </c>
      <c r="H54" s="41">
        <f>$I$3*(1-$C54*$H$7/(1-$H$10))</f>
        <v>0.46975843512499998</v>
      </c>
      <c r="I54" s="41">
        <f>$H$3*(1-$C54*$H$8/(1-$H$10))</f>
        <v>0.55326083085</v>
      </c>
      <c r="J54" s="41">
        <f>$I$3*(1-$C54*$H$9/(1-$H$10))*$C$8</f>
        <v>0.52441293664730249</v>
      </c>
      <c r="K54" s="41">
        <f>IF($C54/(1-$H$10)&lt;=(1-$H$4),$H$4,1-$C54/(1-$H$10))</f>
        <v>0.59845999999999999</v>
      </c>
      <c r="L54" s="41">
        <f>IF($C54*$H$7/(1-$H$10)&lt;=(1-$I$4),$I$4,1-$C54*$H$7/(1-$H$10))</f>
        <v>0.51541899999999996</v>
      </c>
      <c r="M54" s="41">
        <f>IF($C54*$H$8/(1-$H$10)&lt;=(1-$H$4),$H$4,(1-$C54*$H$8/(1-$H$10)))</f>
        <v>0.59845999999999999</v>
      </c>
      <c r="N54" s="41">
        <f>IF(C54*$H$9/(1-$H$10)&lt;=(1-$I$4),$I$4*$C$8,(1-(C54*$H$9/(1-$H$10)))*$C$8)</f>
        <v>0.62691959226999994</v>
      </c>
      <c r="P54" s="4" t="s">
        <v>33</v>
      </c>
      <c r="Q54" s="52">
        <f>$B54*$C$9*($C$7*$K54+((1-$C$7)*$L54)+($C$7*$C$10*$E54*($M54+$N54)))</f>
        <v>0.99138505104348695</v>
      </c>
      <c r="R54" s="52">
        <f>$B54*$C$9*($C$7*$K54+((1-$C$7)*$L54)+($C$7*$C$10*$F54*($M54+$N54)))</f>
        <v>0.92070605564975772</v>
      </c>
      <c r="S54" s="52">
        <f>$B54*$C$9*($C$7*$G54+((1-$C$7)*$H54)+($C$7*$C$10*$E54*($I54+$J54)))</f>
        <v>0.91137890250241493</v>
      </c>
      <c r="T54" s="52">
        <f>$B54*$C$9*($C$7*$G54+((1-$C$7)*$H54)+($C$7*$C$10*$F54*($I54+$J54)))</f>
        <v>0.8492194706582934</v>
      </c>
      <c r="U54" s="53"/>
      <c r="V54" s="4">
        <f>Q54*Q47+R54*R47+S54*S47+T54*T47</f>
        <v>0.89130236452752776</v>
      </c>
      <c r="W54" s="35">
        <f>BPOP!Q33</f>
        <v>0.19148260000000003</v>
      </c>
      <c r="X54" s="4">
        <v>2015</v>
      </c>
    </row>
    <row r="55" spans="1:28" x14ac:dyDescent="0.2">
      <c r="E55" s="41"/>
      <c r="F55" s="41"/>
      <c r="G55" s="41"/>
      <c r="H55" s="41"/>
      <c r="I55" s="41"/>
      <c r="J55" s="41"/>
      <c r="K55" s="41"/>
      <c r="L55" s="41"/>
      <c r="M55" s="41"/>
      <c r="N55" s="41"/>
      <c r="P55" s="4" t="s">
        <v>34</v>
      </c>
      <c r="Q55" s="52">
        <f>NORMDIST(LN($W54),LN(Q54),$M$3,FALSE)</f>
        <v>1.2649563694516115E-12</v>
      </c>
      <c r="R55" s="52">
        <f>NORMDIST(LN($W54),LN(R54),$M$3,FALSE)</f>
        <v>1.482966827180323E-11</v>
      </c>
      <c r="S55" s="52">
        <f>NORMDIST(LN($W54),LN(S54),$M$3,FALSE)</f>
        <v>2.0627760705138534E-11</v>
      </c>
      <c r="T55" s="52">
        <f>NORMDIST(LN($W54),LN(T54),$M$3,FALSE)</f>
        <v>1.9191400085583681E-10</v>
      </c>
      <c r="U55" s="53"/>
      <c r="V55" s="41"/>
    </row>
    <row r="56" spans="1:28" x14ac:dyDescent="0.2">
      <c r="E56" s="41"/>
      <c r="F56" s="41"/>
      <c r="G56" s="41"/>
      <c r="H56" s="41"/>
      <c r="I56" s="41"/>
      <c r="J56" s="41"/>
      <c r="K56" s="41"/>
      <c r="L56" s="41"/>
      <c r="M56" s="41"/>
      <c r="N56" s="41"/>
      <c r="P56" s="4" t="s">
        <v>35</v>
      </c>
      <c r="Q56" s="53">
        <f>Q55*Q47/(SUM($Q55*$Q47,$R55*$R47,$S55*$S47,$T55*$T47))</f>
        <v>1.0422829579854952E-3</v>
      </c>
      <c r="R56" s="53">
        <f>R55*R47/(SUM($Q55*$Q47,$R55*$R47,$S55*$S47,$T55*$T47))</f>
        <v>3.3917276557082238E-2</v>
      </c>
      <c r="S56" s="53">
        <f t="shared" ref="S56:T56" si="19">S55*S47/(SUM($Q55*$Q47,$R55*$R47,$S55*$S47,$T55*$T47))</f>
        <v>5.1904649318488073E-2</v>
      </c>
      <c r="T56" s="53">
        <f t="shared" si="19"/>
        <v>0.91313579116644417</v>
      </c>
      <c r="U56" s="53"/>
      <c r="V56" s="41"/>
      <c r="W56" s="41"/>
      <c r="Y56" s="42">
        <f>SUM(S56,T56)</f>
        <v>0.9650404404849322</v>
      </c>
      <c r="Z56" s="42">
        <f>SUM(Q56,S56)</f>
        <v>5.2946932276473568E-2</v>
      </c>
      <c r="AA56" s="42">
        <f>SUM(Q56,R56)</f>
        <v>3.4959559515067733E-2</v>
      </c>
      <c r="AB56" s="42">
        <f>SUM(R56,T56)</f>
        <v>0.94705306772352638</v>
      </c>
    </row>
  </sheetData>
  <mergeCells count="3">
    <mergeCell ref="Q1:R1"/>
    <mergeCell ref="O3:P3"/>
    <mergeCell ref="O2:P2"/>
  </mergeCells>
  <phoneticPr fontId="0" type="noConversion"/>
  <pageMargins left="0" right="0" top="0" bottom="0" header="0" footer="0"/>
  <pageSetup scale="56" orientation="landscape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opLeftCell="A5" workbookViewId="0">
      <selection activeCell="Q34" sqref="Q34"/>
    </sheetView>
  </sheetViews>
  <sheetFormatPr defaultRowHeight="12.75" x14ac:dyDescent="0.2"/>
  <cols>
    <col min="1" max="1" width="9.140625" style="4"/>
    <col min="2" max="2" width="13.140625" style="4" customWidth="1"/>
    <col min="3" max="3" width="9.140625" style="4"/>
    <col min="4" max="4" width="10.5703125" style="4" customWidth="1"/>
    <col min="5" max="18" width="9.140625" style="4"/>
  </cols>
  <sheetData>
    <row r="1" spans="1:17" x14ac:dyDescent="0.2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3"/>
      <c r="B2" s="2" t="s">
        <v>54</v>
      </c>
      <c r="C2" s="2" t="s">
        <v>55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/>
      <c r="B3" s="2" t="s">
        <v>56</v>
      </c>
      <c r="C3" s="2" t="s">
        <v>57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/>
      <c r="B4" s="2" t="s">
        <v>58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6" spans="1:17" x14ac:dyDescent="0.2">
      <c r="A6" s="3"/>
      <c r="B6" s="2" t="s">
        <v>59</v>
      </c>
      <c r="C6" s="3"/>
      <c r="D6" s="2" t="s">
        <v>56</v>
      </c>
      <c r="E6" s="2" t="s">
        <v>60</v>
      </c>
      <c r="F6" s="3"/>
      <c r="G6" s="2" t="s">
        <v>39</v>
      </c>
      <c r="H6" s="3"/>
      <c r="I6" s="3"/>
      <c r="J6" s="2" t="s">
        <v>61</v>
      </c>
      <c r="K6" s="3"/>
      <c r="L6" s="2" t="s">
        <v>56</v>
      </c>
      <c r="M6" s="2" t="s">
        <v>60</v>
      </c>
      <c r="N6" s="3"/>
      <c r="O6" s="2" t="s">
        <v>39</v>
      </c>
      <c r="P6" s="3"/>
      <c r="Q6" s="2" t="s">
        <v>62</v>
      </c>
    </row>
    <row r="7" spans="1:17" x14ac:dyDescent="0.2">
      <c r="A7" s="3"/>
      <c r="B7" s="2" t="s">
        <v>63</v>
      </c>
      <c r="C7" s="2" t="s">
        <v>50</v>
      </c>
      <c r="D7" s="2" t="s">
        <v>63</v>
      </c>
      <c r="E7" s="2" t="s">
        <v>50</v>
      </c>
      <c r="F7" s="3"/>
      <c r="G7" s="2" t="s">
        <v>63</v>
      </c>
      <c r="H7" s="2" t="s">
        <v>50</v>
      </c>
      <c r="I7" s="3"/>
      <c r="J7" s="2" t="s">
        <v>63</v>
      </c>
      <c r="K7" s="2" t="s">
        <v>50</v>
      </c>
      <c r="L7" s="2" t="s">
        <v>63</v>
      </c>
      <c r="M7" s="2" t="s">
        <v>50</v>
      </c>
      <c r="N7" s="3"/>
      <c r="O7" s="2" t="s">
        <v>63</v>
      </c>
      <c r="P7" s="2" t="s">
        <v>50</v>
      </c>
      <c r="Q7" s="2" t="s">
        <v>64</v>
      </c>
    </row>
    <row r="8" spans="1:17" x14ac:dyDescent="0.2">
      <c r="A8" s="2">
        <v>1990</v>
      </c>
      <c r="B8" s="5">
        <v>665100</v>
      </c>
      <c r="C8" s="5">
        <v>78300</v>
      </c>
      <c r="D8" s="6">
        <v>190718.65</v>
      </c>
      <c r="E8" s="2">
        <v>47153.018199999999</v>
      </c>
      <c r="F8" s="3"/>
      <c r="G8" s="7">
        <v>855818.65</v>
      </c>
      <c r="H8" s="2">
        <v>91401.844212081036</v>
      </c>
      <c r="I8" s="3"/>
      <c r="J8" s="8">
        <v>665.1</v>
      </c>
      <c r="K8" s="8">
        <v>78.3</v>
      </c>
      <c r="L8" s="9">
        <v>190.71865</v>
      </c>
      <c r="M8" s="9">
        <v>47.153018199999998</v>
      </c>
      <c r="N8" s="9"/>
      <c r="O8" s="9">
        <v>855.81865000000005</v>
      </c>
      <c r="P8" s="9">
        <v>91.401844212081031</v>
      </c>
      <c r="Q8" s="10">
        <v>0.85581865000000001</v>
      </c>
    </row>
    <row r="9" spans="1:17" x14ac:dyDescent="0.2">
      <c r="A9" s="2">
        <v>1991</v>
      </c>
      <c r="B9" s="5">
        <v>779200</v>
      </c>
      <c r="C9" s="5">
        <v>88300</v>
      </c>
      <c r="D9" s="6">
        <v>152812.9</v>
      </c>
      <c r="E9" s="2">
        <v>33718.248639999998</v>
      </c>
      <c r="F9" s="3"/>
      <c r="G9" s="7">
        <v>932012.9</v>
      </c>
      <c r="H9" s="2">
        <v>94518.835643213795</v>
      </c>
      <c r="I9" s="3"/>
      <c r="J9" s="8">
        <v>779.2</v>
      </c>
      <c r="K9" s="8">
        <v>88.3</v>
      </c>
      <c r="L9" s="9">
        <v>152.81289999999998</v>
      </c>
      <c r="M9" s="9">
        <v>33.718248639999999</v>
      </c>
      <c r="N9" s="9"/>
      <c r="O9" s="9">
        <v>932.01290000000006</v>
      </c>
      <c r="P9" s="9">
        <v>94.518835643213791</v>
      </c>
      <c r="Q9" s="10">
        <v>0.93201290000000003</v>
      </c>
    </row>
    <row r="10" spans="1:17" x14ac:dyDescent="0.2">
      <c r="A10" s="2">
        <v>1992</v>
      </c>
      <c r="B10" s="5">
        <v>562200</v>
      </c>
      <c r="C10" s="5">
        <v>47900</v>
      </c>
      <c r="D10" s="6">
        <v>320286.98</v>
      </c>
      <c r="E10" s="2">
        <v>53023.372739999999</v>
      </c>
      <c r="F10" s="3"/>
      <c r="G10" s="7">
        <v>882486.98</v>
      </c>
      <c r="H10" s="2">
        <v>71455.49703644203</v>
      </c>
      <c r="I10" s="3"/>
      <c r="J10" s="8">
        <v>562.20000000000005</v>
      </c>
      <c r="K10" s="8">
        <v>47.9</v>
      </c>
      <c r="L10" s="9">
        <v>320.28697999999997</v>
      </c>
      <c r="M10" s="9">
        <v>53.023372739999999</v>
      </c>
      <c r="N10" s="9"/>
      <c r="O10" s="9">
        <v>882.48698000000002</v>
      </c>
      <c r="P10" s="9">
        <v>71.455497036442026</v>
      </c>
      <c r="Q10" s="10">
        <v>0.88248698000000003</v>
      </c>
    </row>
    <row r="11" spans="1:17" x14ac:dyDescent="0.2">
      <c r="A11" s="2">
        <v>1993</v>
      </c>
      <c r="B11" s="6">
        <v>686561.62930000003</v>
      </c>
      <c r="C11" s="6">
        <v>49870.476838000002</v>
      </c>
      <c r="D11" s="6">
        <v>292074.01</v>
      </c>
      <c r="E11" s="2">
        <v>48228.568099999997</v>
      </c>
      <c r="F11" s="3"/>
      <c r="G11" s="7">
        <v>978635.63930000004</v>
      </c>
      <c r="H11" s="2">
        <v>69376.215239992962</v>
      </c>
      <c r="I11" s="3"/>
      <c r="J11" s="9">
        <v>686.56162930000005</v>
      </c>
      <c r="K11" s="9">
        <v>49.870476838000002</v>
      </c>
      <c r="L11" s="9">
        <v>292.07400999999999</v>
      </c>
      <c r="M11" s="9">
        <v>48.228568099999997</v>
      </c>
      <c r="N11" s="9"/>
      <c r="O11" s="9">
        <v>978.63563930000009</v>
      </c>
      <c r="P11" s="9">
        <v>69.376215239992959</v>
      </c>
      <c r="Q11" s="10">
        <v>0.97863563930000008</v>
      </c>
    </row>
    <row r="12" spans="1:17" x14ac:dyDescent="0.2">
      <c r="A12" s="2">
        <v>1994</v>
      </c>
      <c r="B12" s="6">
        <v>856312.93643999996</v>
      </c>
      <c r="C12" s="6">
        <v>62773.862021000001</v>
      </c>
      <c r="D12" s="6">
        <v>219478.39999999999</v>
      </c>
      <c r="E12" s="2">
        <v>28168.027450000001</v>
      </c>
      <c r="F12" s="3"/>
      <c r="G12" s="7">
        <v>1075791.33644</v>
      </c>
      <c r="H12" s="2">
        <v>68804.037115967978</v>
      </c>
      <c r="I12" s="3"/>
      <c r="J12" s="9">
        <v>856.31293643999993</v>
      </c>
      <c r="K12" s="9">
        <v>62.773862020999999</v>
      </c>
      <c r="L12" s="9">
        <v>219.47839999999999</v>
      </c>
      <c r="M12" s="9">
        <v>28.16802745</v>
      </c>
      <c r="N12" s="9"/>
      <c r="O12" s="9">
        <v>1075.7913364399999</v>
      </c>
      <c r="P12" s="9">
        <v>68.804037115967972</v>
      </c>
      <c r="Q12" s="10">
        <v>1.0757913364399998</v>
      </c>
    </row>
    <row r="13" spans="1:17" x14ac:dyDescent="0.2">
      <c r="A13" s="2">
        <v>1995</v>
      </c>
      <c r="B13" s="6">
        <v>864120.22248999996</v>
      </c>
      <c r="C13" s="6">
        <v>70395.444545000006</v>
      </c>
      <c r="D13" s="6">
        <v>184430.81</v>
      </c>
      <c r="E13" s="2">
        <v>40038.572890000003</v>
      </c>
      <c r="F13" s="3"/>
      <c r="G13" s="7">
        <v>1048551.0324899999</v>
      </c>
      <c r="H13" s="2">
        <v>80985.220452598718</v>
      </c>
      <c r="I13" s="3"/>
      <c r="J13" s="9">
        <v>864.12022248999995</v>
      </c>
      <c r="K13" s="9">
        <v>70.395444545000004</v>
      </c>
      <c r="L13" s="9">
        <v>184.43081000000001</v>
      </c>
      <c r="M13" s="9">
        <v>40.038572890000005</v>
      </c>
      <c r="N13" s="9"/>
      <c r="O13" s="9">
        <v>1048.5510324899999</v>
      </c>
      <c r="P13" s="9">
        <v>80.985220452598725</v>
      </c>
      <c r="Q13" s="10">
        <v>1.0485510324899998</v>
      </c>
    </row>
    <row r="14" spans="1:17" x14ac:dyDescent="0.2">
      <c r="A14" s="2">
        <v>1996</v>
      </c>
      <c r="B14" s="6">
        <v>848644.70236</v>
      </c>
      <c r="C14" s="6">
        <v>61073.912976</v>
      </c>
      <c r="D14" s="6">
        <v>283085.07</v>
      </c>
      <c r="E14" s="2">
        <v>55658.943740000002</v>
      </c>
      <c r="F14" s="3"/>
      <c r="G14" s="7">
        <v>1131729.7723600001</v>
      </c>
      <c r="H14" s="2">
        <v>82631.355213699033</v>
      </c>
      <c r="I14" s="3"/>
      <c r="J14" s="9">
        <v>848.64470236</v>
      </c>
      <c r="K14" s="9">
        <v>61.073912976000003</v>
      </c>
      <c r="L14" s="9">
        <v>283.08507000000003</v>
      </c>
      <c r="M14" s="9">
        <v>55.658943740000005</v>
      </c>
      <c r="N14" s="9"/>
      <c r="O14" s="9">
        <v>1131.72977236</v>
      </c>
      <c r="P14" s="9">
        <v>82.631355213699038</v>
      </c>
      <c r="Q14" s="10">
        <v>1.1317297723599999</v>
      </c>
    </row>
    <row r="15" spans="1:17" x14ac:dyDescent="0.2">
      <c r="A15" s="2">
        <v>1997</v>
      </c>
      <c r="B15" s="6">
        <v>795176.45389</v>
      </c>
      <c r="C15" s="6">
        <v>49595.545892000002</v>
      </c>
      <c r="D15" s="6">
        <v>212128.13</v>
      </c>
      <c r="E15" s="2">
        <v>39560.332580000002</v>
      </c>
      <c r="F15" s="3"/>
      <c r="G15" s="7">
        <v>1007304.58389</v>
      </c>
      <c r="H15" s="2">
        <v>63440.823498483114</v>
      </c>
      <c r="I15" s="3"/>
      <c r="J15" s="9">
        <v>795.17645388999995</v>
      </c>
      <c r="K15" s="9">
        <v>49.595545892000004</v>
      </c>
      <c r="L15" s="9">
        <v>212.12813</v>
      </c>
      <c r="M15" s="9">
        <v>39.560332580000001</v>
      </c>
      <c r="N15" s="9"/>
      <c r="O15" s="9">
        <v>1007.30458389</v>
      </c>
      <c r="P15" s="9">
        <v>63.440823498483113</v>
      </c>
      <c r="Q15" s="10">
        <v>1.0073045838900001</v>
      </c>
    </row>
    <row r="16" spans="1:17" x14ac:dyDescent="0.2">
      <c r="A16" s="2">
        <v>1998</v>
      </c>
      <c r="B16" s="6">
        <v>775213.30874000001</v>
      </c>
      <c r="C16" s="6">
        <v>49717.983526999997</v>
      </c>
      <c r="D16" s="6">
        <v>263821.48</v>
      </c>
      <c r="E16" s="2">
        <v>67192.919750000001</v>
      </c>
      <c r="F16" s="3"/>
      <c r="G16" s="7">
        <v>1039034.78874</v>
      </c>
      <c r="H16" s="2">
        <v>83586.879057188053</v>
      </c>
      <c r="I16" s="3"/>
      <c r="J16" s="9">
        <v>775.21330874</v>
      </c>
      <c r="K16" s="9">
        <v>49.717983526999994</v>
      </c>
      <c r="L16" s="9">
        <v>263.82148000000001</v>
      </c>
      <c r="M16" s="9">
        <v>67.192919750000001</v>
      </c>
      <c r="N16" s="9"/>
      <c r="O16" s="9">
        <v>1039.0347887400001</v>
      </c>
      <c r="P16" s="9">
        <v>83.586879057188057</v>
      </c>
      <c r="Q16" s="10">
        <v>1.03903478874</v>
      </c>
    </row>
    <row r="17" spans="1:17" x14ac:dyDescent="0.2">
      <c r="A17" s="2">
        <v>1999</v>
      </c>
      <c r="B17" s="6">
        <v>879952.79044999997</v>
      </c>
      <c r="C17" s="6">
        <v>60173.084593</v>
      </c>
      <c r="D17" s="6">
        <v>212477.23</v>
      </c>
      <c r="E17" s="2">
        <v>36875.794170000001</v>
      </c>
      <c r="F17" s="3"/>
      <c r="G17" s="7">
        <v>1092430.02045</v>
      </c>
      <c r="H17" s="2">
        <v>70573.538278199849</v>
      </c>
      <c r="I17" s="3"/>
      <c r="J17" s="9">
        <v>879.95279044999995</v>
      </c>
      <c r="K17" s="9">
        <v>60.173084592999999</v>
      </c>
      <c r="L17" s="9">
        <v>212.47723000000002</v>
      </c>
      <c r="M17" s="9">
        <v>36.875794169999999</v>
      </c>
      <c r="N17" s="9"/>
      <c r="O17" s="9">
        <v>1092.43002045</v>
      </c>
      <c r="P17" s="9">
        <v>70.573538278199848</v>
      </c>
      <c r="Q17" s="10">
        <v>1.0924300204499999</v>
      </c>
    </row>
    <row r="18" spans="1:17" x14ac:dyDescent="0.2">
      <c r="A18" s="2">
        <v>2000</v>
      </c>
      <c r="B18" s="6">
        <v>762555.34635000001</v>
      </c>
      <c r="C18" s="6">
        <v>48700.779949000003</v>
      </c>
      <c r="D18" s="6">
        <v>132260.70000000001</v>
      </c>
      <c r="E18" s="2">
        <v>26367.020769999999</v>
      </c>
      <c r="F18" s="3"/>
      <c r="G18" s="7">
        <v>894816.04634999996</v>
      </c>
      <c r="H18" s="2">
        <v>55380.37334585721</v>
      </c>
      <c r="I18" s="3"/>
      <c r="J18" s="9">
        <v>762.55534635000004</v>
      </c>
      <c r="K18" s="9">
        <v>48.700779949000001</v>
      </c>
      <c r="L18" s="9">
        <v>132.26070000000001</v>
      </c>
      <c r="M18" s="9">
        <v>26.36702077</v>
      </c>
      <c r="N18" s="9"/>
      <c r="O18" s="9">
        <v>894.81604634999997</v>
      </c>
      <c r="P18" s="9">
        <v>55.380373345857208</v>
      </c>
      <c r="Q18" s="10">
        <v>0.89481604635000001</v>
      </c>
    </row>
    <row r="19" spans="1:17" x14ac:dyDescent="0.2">
      <c r="A19" s="2">
        <v>2001</v>
      </c>
      <c r="B19" s="6">
        <v>809438.24997999996</v>
      </c>
      <c r="C19" s="6">
        <v>51572.316463000003</v>
      </c>
      <c r="D19" s="6">
        <v>200227.75</v>
      </c>
      <c r="E19" s="2">
        <v>35588.011460000002</v>
      </c>
      <c r="F19" s="3"/>
      <c r="G19" s="7">
        <v>1009665.99998</v>
      </c>
      <c r="H19" s="2">
        <v>62659.479610326423</v>
      </c>
      <c r="I19" s="3"/>
      <c r="J19" s="9">
        <v>809.43824997999991</v>
      </c>
      <c r="K19" s="9">
        <v>51.572316463</v>
      </c>
      <c r="L19" s="9">
        <v>200.22774999999999</v>
      </c>
      <c r="M19" s="9">
        <v>35.588011460000004</v>
      </c>
      <c r="N19" s="9"/>
      <c r="O19" s="9">
        <v>1009.6659999799999</v>
      </c>
      <c r="P19" s="9">
        <v>62.659479610326422</v>
      </c>
      <c r="Q19" s="10">
        <v>1.00966599998</v>
      </c>
    </row>
    <row r="20" spans="1:17" x14ac:dyDescent="0.2">
      <c r="A20" s="2">
        <v>2002</v>
      </c>
      <c r="B20" s="6">
        <v>833514.06238999998</v>
      </c>
      <c r="C20" s="6">
        <v>56235.101956999999</v>
      </c>
      <c r="D20" s="6">
        <v>191507.4</v>
      </c>
      <c r="E20" s="2">
        <v>31913.326700000001</v>
      </c>
      <c r="F20" s="3"/>
      <c r="G20" s="7">
        <v>1025021.46239</v>
      </c>
      <c r="H20" s="2">
        <v>64659.470405928303</v>
      </c>
      <c r="I20" s="3"/>
      <c r="J20" s="9">
        <v>833.51406238999994</v>
      </c>
      <c r="K20" s="9">
        <v>56.235101956999998</v>
      </c>
      <c r="L20" s="9">
        <v>191.50739999999999</v>
      </c>
      <c r="M20" s="9">
        <v>31.913326700000002</v>
      </c>
      <c r="N20" s="9"/>
      <c r="O20" s="9">
        <v>1025.0214623899999</v>
      </c>
      <c r="P20" s="9">
        <v>64.659470405928303</v>
      </c>
      <c r="Q20" s="10">
        <v>1.0250214623899998</v>
      </c>
    </row>
    <row r="21" spans="1:17" x14ac:dyDescent="0.2">
      <c r="A21" s="2">
        <v>2003</v>
      </c>
      <c r="B21" s="6">
        <v>731906.86667999998</v>
      </c>
      <c r="C21" s="6">
        <v>47024.901847000001</v>
      </c>
      <c r="D21" s="6">
        <v>308280.89</v>
      </c>
      <c r="E21" s="2">
        <v>55366.00548</v>
      </c>
      <c r="F21" s="3"/>
      <c r="G21" s="7">
        <v>1040187.75668</v>
      </c>
      <c r="H21" s="2">
        <v>72641.14506621832</v>
      </c>
      <c r="I21" s="3"/>
      <c r="J21" s="9">
        <v>731.90686668000001</v>
      </c>
      <c r="K21" s="9">
        <v>47.024901847000002</v>
      </c>
      <c r="L21" s="9">
        <v>308.28089</v>
      </c>
      <c r="M21" s="9">
        <v>55.366005479999998</v>
      </c>
      <c r="N21" s="9"/>
      <c r="O21" s="9">
        <v>1040.1877566799999</v>
      </c>
      <c r="P21" s="9">
        <v>72.641145066218314</v>
      </c>
      <c r="Q21" s="10">
        <v>1.04018775668</v>
      </c>
    </row>
    <row r="22" spans="1:17" x14ac:dyDescent="0.2">
      <c r="A22" s="2">
        <v>2004</v>
      </c>
      <c r="B22" s="6">
        <v>806553.68833000003</v>
      </c>
      <c r="C22" s="6">
        <v>51747.376050999999</v>
      </c>
      <c r="D22" s="6">
        <v>301521.53999999998</v>
      </c>
      <c r="E22" s="2">
        <v>53292.226600000002</v>
      </c>
      <c r="F22" s="3"/>
      <c r="G22" s="7">
        <v>1108075.2283300001</v>
      </c>
      <c r="H22" s="2">
        <v>74282.247839906922</v>
      </c>
      <c r="I22" s="3"/>
      <c r="J22" s="9">
        <v>806.55368833</v>
      </c>
      <c r="K22" s="9">
        <v>51.747376050999996</v>
      </c>
      <c r="L22" s="9">
        <v>301.52153999999996</v>
      </c>
      <c r="M22" s="9">
        <v>53.292226599999999</v>
      </c>
      <c r="N22" s="9"/>
      <c r="O22" s="9">
        <v>1108.0752283300001</v>
      </c>
      <c r="P22" s="9">
        <v>74.282247839906915</v>
      </c>
      <c r="Q22" s="10">
        <v>1.1080752283300002</v>
      </c>
    </row>
    <row r="23" spans="1:17" x14ac:dyDescent="0.2">
      <c r="A23" s="2">
        <v>2005</v>
      </c>
      <c r="B23" s="6">
        <v>753621.71429999999</v>
      </c>
      <c r="C23" s="6">
        <v>53618.662351999999</v>
      </c>
      <c r="D23" s="6">
        <v>293411.5</v>
      </c>
      <c r="E23" s="2">
        <v>53097.221899999997</v>
      </c>
      <c r="F23" s="3"/>
      <c r="G23" s="7">
        <v>1047033.2143</v>
      </c>
      <c r="H23" s="2">
        <v>75460.426224052178</v>
      </c>
      <c r="I23" s="3"/>
      <c r="J23" s="9">
        <v>753.62171430000001</v>
      </c>
      <c r="K23" s="9">
        <v>53.618662352000001</v>
      </c>
      <c r="L23" s="9">
        <v>293.41149999999999</v>
      </c>
      <c r="M23" s="9">
        <v>53.097221899999994</v>
      </c>
      <c r="N23" s="9"/>
      <c r="O23" s="9">
        <v>1047.0332143000001</v>
      </c>
      <c r="P23" s="9">
        <v>75.460426224052185</v>
      </c>
      <c r="Q23" s="10">
        <v>1.0470332143000001</v>
      </c>
    </row>
    <row r="24" spans="1:17" x14ac:dyDescent="0.2">
      <c r="A24" s="2">
        <v>2006</v>
      </c>
      <c r="B24" s="6">
        <v>721402.05260000005</v>
      </c>
      <c r="C24" s="6">
        <v>47638.689047</v>
      </c>
      <c r="D24" s="6">
        <v>173961.66</v>
      </c>
      <c r="E24" s="2">
        <v>28413.2556</v>
      </c>
      <c r="F24" s="3"/>
      <c r="G24" s="7">
        <v>895363.71260000009</v>
      </c>
      <c r="H24" s="2">
        <v>55468.529707462854</v>
      </c>
      <c r="I24" s="3"/>
      <c r="J24" s="9">
        <v>721.40205260000005</v>
      </c>
      <c r="K24" s="9">
        <v>47.638689047</v>
      </c>
      <c r="L24" s="9">
        <v>173.96165999999999</v>
      </c>
      <c r="M24" s="9">
        <v>28.413255599999999</v>
      </c>
      <c r="N24" s="9"/>
      <c r="O24" s="9">
        <v>895.3637126000001</v>
      </c>
      <c r="P24" s="9">
        <v>55.468529707462856</v>
      </c>
      <c r="Q24" s="10">
        <v>0.89536371260000014</v>
      </c>
    </row>
    <row r="25" spans="1:17" x14ac:dyDescent="0.2">
      <c r="A25" s="2">
        <v>2007</v>
      </c>
      <c r="B25" s="6">
        <v>687577.74678000004</v>
      </c>
      <c r="C25" s="6">
        <v>46723.624062000003</v>
      </c>
      <c r="D25" s="6">
        <v>219285.97</v>
      </c>
      <c r="E25" s="2">
        <v>33646.903010000002</v>
      </c>
      <c r="F25" s="3"/>
      <c r="G25" s="7">
        <v>906863.71678000002</v>
      </c>
      <c r="H25" s="2">
        <v>57577.870120832471</v>
      </c>
      <c r="I25" s="3"/>
      <c r="J25" s="9">
        <v>687.5777467800001</v>
      </c>
      <c r="K25" s="9">
        <v>46.723624062000006</v>
      </c>
      <c r="L25" s="9">
        <v>219.28596999999999</v>
      </c>
      <c r="M25" s="9">
        <v>33.646903010000003</v>
      </c>
      <c r="N25" s="9"/>
      <c r="O25" s="9">
        <v>906.86371678</v>
      </c>
      <c r="P25" s="9">
        <v>57.577870120832472</v>
      </c>
      <c r="Q25" s="10">
        <v>0.90686371678</v>
      </c>
    </row>
    <row r="26" spans="1:17" x14ac:dyDescent="0.2">
      <c r="A26" s="2">
        <v>2008</v>
      </c>
      <c r="B26" s="11">
        <v>619094.87115000002</v>
      </c>
      <c r="C26" s="11">
        <v>40681.953931999997</v>
      </c>
      <c r="D26" s="6">
        <v>196022.01</v>
      </c>
      <c r="E26" s="2">
        <v>29958.480301911179</v>
      </c>
      <c r="F26" s="3"/>
      <c r="G26" s="7">
        <v>815116.88115000003</v>
      </c>
      <c r="H26" s="2">
        <v>50522.588193058458</v>
      </c>
      <c r="I26" s="3"/>
      <c r="J26" s="9">
        <v>619.09487115000002</v>
      </c>
      <c r="K26" s="9">
        <v>40.681953931999999</v>
      </c>
      <c r="L26" s="9">
        <v>196.02201000000002</v>
      </c>
      <c r="M26" s="9">
        <v>29.95848030191118</v>
      </c>
      <c r="N26" s="9"/>
      <c r="O26" s="9">
        <v>815.11688115000004</v>
      </c>
      <c r="P26" s="9">
        <v>50.522588193058461</v>
      </c>
      <c r="Q26" s="10">
        <v>0.81511688115000003</v>
      </c>
    </row>
    <row r="27" spans="1:17" x14ac:dyDescent="0.2">
      <c r="A27" s="2">
        <v>2009</v>
      </c>
      <c r="B27" s="2">
        <v>666752.40683999995</v>
      </c>
      <c r="C27" s="2">
        <v>45694.777698999998</v>
      </c>
      <c r="D27" s="2">
        <v>241056.82509562775</v>
      </c>
      <c r="E27" s="2">
        <v>43424.267801843111</v>
      </c>
      <c r="F27" s="3"/>
      <c r="G27" s="7">
        <v>907809.23193562776</v>
      </c>
      <c r="H27" s="2">
        <v>63037.129876662497</v>
      </c>
      <c r="I27" s="3"/>
      <c r="J27" s="9">
        <v>666.75240683999994</v>
      </c>
      <c r="K27" s="9">
        <v>45.694777698999999</v>
      </c>
      <c r="L27" s="9">
        <v>241.05682509562774</v>
      </c>
      <c r="M27" s="9">
        <v>43.424267801843108</v>
      </c>
      <c r="N27" s="9"/>
      <c r="O27" s="9">
        <v>907.80923193562774</v>
      </c>
      <c r="P27" s="9">
        <v>63.037129876662497</v>
      </c>
      <c r="Q27" s="10">
        <v>0.90780923193562768</v>
      </c>
    </row>
    <row r="28" spans="1:17" x14ac:dyDescent="0.2">
      <c r="A28" s="2">
        <v>2010</v>
      </c>
      <c r="B28" s="2">
        <v>651708.71843999997</v>
      </c>
      <c r="C28" s="2">
        <v>49121.710294999997</v>
      </c>
      <c r="D28" s="2">
        <v>109996.35307309455</v>
      </c>
      <c r="E28" s="2">
        <v>20541.213795978769</v>
      </c>
      <c r="F28" s="3"/>
      <c r="G28" s="7">
        <v>761705.07151309447</v>
      </c>
      <c r="H28" s="2">
        <v>53243.627661139108</v>
      </c>
      <c r="I28" s="3"/>
      <c r="J28" s="9">
        <v>651.70871843999998</v>
      </c>
      <c r="K28" s="9">
        <v>49.121710295</v>
      </c>
      <c r="L28" s="9">
        <v>109.99635307309455</v>
      </c>
      <c r="M28" s="9">
        <v>20.54121379597877</v>
      </c>
      <c r="N28" s="3"/>
      <c r="O28" s="9">
        <v>761.70507151309448</v>
      </c>
      <c r="P28" s="9">
        <v>53.243627661139108</v>
      </c>
      <c r="Q28" s="10">
        <v>0.76170507151309452</v>
      </c>
    </row>
    <row r="29" spans="1:17" x14ac:dyDescent="0.2">
      <c r="A29" s="2">
        <v>2011</v>
      </c>
      <c r="B29" s="2">
        <v>586089.12029999995</v>
      </c>
      <c r="C29" s="2">
        <v>41560.682950000002</v>
      </c>
      <c r="D29" s="2">
        <v>159911.6420595524</v>
      </c>
      <c r="E29" s="2">
        <v>34315.304466924266</v>
      </c>
      <c r="F29" s="3"/>
      <c r="G29" s="7">
        <v>746000.76235955232</v>
      </c>
      <c r="H29" s="2">
        <v>53896.479364872554</v>
      </c>
      <c r="I29" s="3"/>
      <c r="J29" s="9">
        <v>586.08912029999999</v>
      </c>
      <c r="K29" s="9">
        <v>41.56068295</v>
      </c>
      <c r="L29" s="9">
        <v>159.91164205955241</v>
      </c>
      <c r="M29" s="9">
        <v>34.315304466924268</v>
      </c>
      <c r="N29" s="3"/>
      <c r="O29" s="9">
        <v>746.00076235955237</v>
      </c>
      <c r="P29" s="9">
        <v>53.896479364872555</v>
      </c>
      <c r="Q29" s="10">
        <v>0.74600076235955237</v>
      </c>
    </row>
    <row r="30" spans="1:17" x14ac:dyDescent="0.2">
      <c r="A30" s="2">
        <v>2012</v>
      </c>
      <c r="B30" s="54">
        <v>612587.38387999998</v>
      </c>
      <c r="C30" s="54">
        <v>45775.661246000003</v>
      </c>
      <c r="D30" s="54">
        <v>225054.07</v>
      </c>
      <c r="E30" s="54">
        <v>39939.879999999997</v>
      </c>
      <c r="G30" s="54">
        <f>B30+D30</f>
        <v>837641.45387999993</v>
      </c>
      <c r="H30" s="54">
        <f>SQRT(C30^2+E30^2)</f>
        <v>60750.351249379179</v>
      </c>
      <c r="J30" s="55">
        <f>B30/1000</f>
        <v>612.58738387999995</v>
      </c>
      <c r="K30" s="55">
        <f t="shared" ref="K30:M30" si="0">C30/1000</f>
        <v>45.775661246000006</v>
      </c>
      <c r="L30" s="55">
        <f t="shared" si="0"/>
        <v>225.05407</v>
      </c>
      <c r="M30" s="55">
        <f t="shared" si="0"/>
        <v>39.939879999999995</v>
      </c>
      <c r="O30" s="55">
        <f>G30/1000</f>
        <v>837.64145387999997</v>
      </c>
      <c r="P30" s="55">
        <f t="shared" ref="P30" si="1">H30/1000</f>
        <v>60.750351249379179</v>
      </c>
      <c r="Q30" s="56">
        <f>O30/1000</f>
        <v>0.83764145388</v>
      </c>
    </row>
    <row r="31" spans="1:17" x14ac:dyDescent="0.2">
      <c r="A31" s="54">
        <v>2013</v>
      </c>
      <c r="B31" s="54">
        <v>604157.05795000005</v>
      </c>
      <c r="C31" s="54">
        <v>42755.461730000003</v>
      </c>
      <c r="D31" s="54"/>
      <c r="E31" s="54"/>
      <c r="G31" s="54">
        <f t="shared" ref="G31:G32" si="2">B31+D31</f>
        <v>604157.05795000005</v>
      </c>
      <c r="H31" s="54">
        <f t="shared" ref="H31:H32" si="3">SQRT(C31^2+E31^2)</f>
        <v>42755.461730000003</v>
      </c>
      <c r="J31" s="55">
        <f t="shared" ref="J31:J32" si="4">B31/1000</f>
        <v>604.15705795000008</v>
      </c>
      <c r="K31" s="55">
        <f t="shared" ref="K31:K32" si="5">C31/1000</f>
        <v>42.75546173</v>
      </c>
      <c r="L31" s="55">
        <f t="shared" ref="L31:L32" si="6">D31/1000</f>
        <v>0</v>
      </c>
      <c r="M31" s="55">
        <f t="shared" ref="M31:M32" si="7">E31/1000</f>
        <v>0</v>
      </c>
      <c r="O31" s="55">
        <f t="shared" ref="O31:O32" si="8">G31/1000</f>
        <v>604.15705795000008</v>
      </c>
      <c r="P31" s="55">
        <f t="shared" ref="P31:P32" si="9">H31/1000</f>
        <v>42.75546173</v>
      </c>
      <c r="Q31" s="56">
        <f t="shared" ref="Q31:Q32" si="10">O31/1000</f>
        <v>0.60415705795000008</v>
      </c>
    </row>
    <row r="32" spans="1:17" x14ac:dyDescent="0.2">
      <c r="A32" s="54">
        <v>2014</v>
      </c>
      <c r="B32" s="54">
        <v>634581.92157999997</v>
      </c>
      <c r="C32" s="54">
        <v>48936.676927</v>
      </c>
      <c r="D32" s="54">
        <v>220804.05</v>
      </c>
      <c r="E32" s="54">
        <v>36556.9</v>
      </c>
      <c r="G32" s="54">
        <f t="shared" si="2"/>
        <v>855385.9715799999</v>
      </c>
      <c r="H32" s="54">
        <f t="shared" si="3"/>
        <v>61083.592611007865</v>
      </c>
      <c r="J32" s="55">
        <f t="shared" si="4"/>
        <v>634.58192157999997</v>
      </c>
      <c r="K32" s="55">
        <f t="shared" si="5"/>
        <v>48.936676927000001</v>
      </c>
      <c r="L32" s="55">
        <f t="shared" si="6"/>
        <v>220.80404999999999</v>
      </c>
      <c r="M32" s="55">
        <f t="shared" si="7"/>
        <v>36.556899999999999</v>
      </c>
      <c r="O32" s="55">
        <f t="shared" si="8"/>
        <v>855.38597157999993</v>
      </c>
      <c r="P32" s="55">
        <f t="shared" si="9"/>
        <v>61.083592611007866</v>
      </c>
      <c r="Q32" s="56">
        <f t="shared" si="10"/>
        <v>0.85538597157999996</v>
      </c>
    </row>
    <row r="33" spans="1:17" x14ac:dyDescent="0.2">
      <c r="A33" s="54">
        <v>2015</v>
      </c>
      <c r="D33" s="57">
        <v>191482.6</v>
      </c>
      <c r="E33" s="57">
        <v>34136.559999999998</v>
      </c>
      <c r="G33" s="54">
        <f t="shared" ref="G33" si="11">B33+D33</f>
        <v>191482.6</v>
      </c>
      <c r="H33" s="54">
        <f t="shared" ref="H33" si="12">SQRT(C33^2+E33^2)</f>
        <v>34136.559999999998</v>
      </c>
      <c r="J33" s="55">
        <f t="shared" ref="J33" si="13">B33/1000</f>
        <v>0</v>
      </c>
      <c r="K33" s="55">
        <f t="shared" ref="K33" si="14">C33/1000</f>
        <v>0</v>
      </c>
      <c r="L33" s="55">
        <f t="shared" ref="L33" si="15">D33/1000</f>
        <v>191.48260000000002</v>
      </c>
      <c r="M33" s="55">
        <f t="shared" ref="M33" si="16">E33/1000</f>
        <v>34.136559999999996</v>
      </c>
      <c r="O33" s="55">
        <f t="shared" ref="O33" si="17">G33/1000</f>
        <v>191.48260000000002</v>
      </c>
      <c r="P33" s="55">
        <f t="shared" ref="P33" si="18">H33/1000</f>
        <v>34.136559999999996</v>
      </c>
      <c r="Q33" s="56">
        <f t="shared" ref="Q33" si="19">O33/1000</f>
        <v>0.19148260000000003</v>
      </c>
    </row>
    <row r="34" spans="1:17" x14ac:dyDescent="0.2">
      <c r="A34" s="54"/>
    </row>
    <row r="35" spans="1:17" x14ac:dyDescent="0.2">
      <c r="A35" s="54"/>
    </row>
    <row r="36" spans="1:17" x14ac:dyDescent="0.2">
      <c r="A36" s="54"/>
    </row>
    <row r="37" spans="1:17" x14ac:dyDescent="0.2">
      <c r="A37" s="54"/>
    </row>
    <row r="38" spans="1:17" x14ac:dyDescent="0.2">
      <c r="A38" s="54"/>
    </row>
    <row r="39" spans="1:17" x14ac:dyDescent="0.2">
      <c r="A39" s="54"/>
    </row>
    <row r="40" spans="1:17" x14ac:dyDescent="0.2">
      <c r="A40" s="54"/>
    </row>
    <row r="41" spans="1:17" x14ac:dyDescent="0.2">
      <c r="A41" s="54"/>
    </row>
    <row r="42" spans="1:17" x14ac:dyDescent="0.2">
      <c r="A42" s="54"/>
    </row>
    <row r="43" spans="1:17" x14ac:dyDescent="0.2">
      <c r="A43" s="54"/>
    </row>
    <row r="44" spans="1:17" x14ac:dyDescent="0.2">
      <c r="A44" s="54"/>
    </row>
    <row r="45" spans="1:17" x14ac:dyDescent="0.2">
      <c r="A45" s="54"/>
    </row>
    <row r="53" spans="1:17" x14ac:dyDescent="0.2">
      <c r="A53" s="3"/>
      <c r="B53" s="3"/>
      <c r="C53" s="3"/>
      <c r="D53" s="2" t="s">
        <v>65</v>
      </c>
      <c r="E53" s="2" t="s">
        <v>66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>
        <v>1990</v>
      </c>
      <c r="B54" s="3"/>
      <c r="C54" s="3"/>
      <c r="D54" s="2">
        <v>190718.7</v>
      </c>
      <c r="E54" s="2">
        <v>47153.03</v>
      </c>
      <c r="F54" s="3"/>
      <c r="G54" s="3"/>
      <c r="H54" s="3"/>
      <c r="I54" s="3"/>
      <c r="J54" s="2">
        <v>665.1</v>
      </c>
      <c r="K54" s="2">
        <v>78.3</v>
      </c>
      <c r="L54" s="2">
        <v>190.71870000000001</v>
      </c>
      <c r="M54" s="2">
        <v>47.153030000000001</v>
      </c>
      <c r="N54" s="3"/>
      <c r="O54" s="3">
        <v>855.81870000000004</v>
      </c>
      <c r="P54" s="3">
        <v>91.401850299547547</v>
      </c>
      <c r="Q54" s="3">
        <v>0.85581870000000004</v>
      </c>
    </row>
    <row r="55" spans="1:17" x14ac:dyDescent="0.2">
      <c r="A55" s="3">
        <v>1991</v>
      </c>
      <c r="B55" s="3"/>
      <c r="C55" s="3"/>
      <c r="D55" s="2">
        <v>152812.9</v>
      </c>
      <c r="E55" s="2">
        <v>33718.26</v>
      </c>
      <c r="F55" s="3"/>
      <c r="G55" s="3"/>
      <c r="H55" s="3"/>
      <c r="I55" s="3"/>
      <c r="J55" s="2">
        <v>779.2</v>
      </c>
      <c r="K55" s="2">
        <v>88.3</v>
      </c>
      <c r="L55" s="2">
        <v>152.81289999999998</v>
      </c>
      <c r="M55" s="2">
        <v>33.718260000000001</v>
      </c>
      <c r="N55" s="3"/>
      <c r="O55" s="3">
        <v>932.01290000000006</v>
      </c>
      <c r="P55" s="3">
        <v>94.518839695732609</v>
      </c>
      <c r="Q55" s="3">
        <v>0.93201290000000003</v>
      </c>
    </row>
    <row r="56" spans="1:17" x14ac:dyDescent="0.2">
      <c r="A56" s="3">
        <v>1992</v>
      </c>
      <c r="B56" s="3"/>
      <c r="C56" s="3"/>
      <c r="D56" s="2">
        <v>320287</v>
      </c>
      <c r="E56" s="2">
        <v>53023.38</v>
      </c>
      <c r="F56" s="3"/>
      <c r="G56" s="3"/>
      <c r="H56" s="3"/>
      <c r="I56" s="3"/>
      <c r="J56" s="2">
        <v>562.20000000000005</v>
      </c>
      <c r="K56" s="12">
        <v>47.9</v>
      </c>
      <c r="L56" s="2">
        <v>320.28699999999998</v>
      </c>
      <c r="M56" s="2">
        <v>53.023379999999996</v>
      </c>
      <c r="N56" s="13"/>
      <c r="O56" s="3">
        <v>882.48700000000008</v>
      </c>
      <c r="P56" s="3">
        <v>71.455502423707017</v>
      </c>
      <c r="Q56" s="3">
        <v>0.88248700000000013</v>
      </c>
    </row>
    <row r="57" spans="1:17" x14ac:dyDescent="0.2">
      <c r="A57" s="3">
        <v>1993</v>
      </c>
      <c r="B57" s="3">
        <v>686561.62930000003</v>
      </c>
      <c r="C57" s="3">
        <v>49870.476838000002</v>
      </c>
      <c r="D57" s="2">
        <v>292074</v>
      </c>
      <c r="E57" s="2">
        <v>48228.58</v>
      </c>
      <c r="F57" s="3"/>
      <c r="G57" s="3"/>
      <c r="H57" s="3"/>
      <c r="I57" s="3"/>
      <c r="J57" s="2">
        <v>686.56162930000005</v>
      </c>
      <c r="K57" s="2">
        <v>49.870476838000002</v>
      </c>
      <c r="L57" s="2">
        <v>292.07400000000001</v>
      </c>
      <c r="M57" s="2">
        <v>48.228580000000001</v>
      </c>
      <c r="N57" s="14"/>
      <c r="O57" s="3">
        <v>978.63562930000012</v>
      </c>
      <c r="P57" s="3">
        <v>69.376223512568743</v>
      </c>
      <c r="Q57" s="3">
        <v>0.97863562930000014</v>
      </c>
    </row>
    <row r="58" spans="1:17" x14ac:dyDescent="0.2">
      <c r="A58" s="3">
        <v>1994</v>
      </c>
      <c r="B58" s="3">
        <v>856312.93643999996</v>
      </c>
      <c r="C58" s="3">
        <v>62773.862021000001</v>
      </c>
      <c r="D58" s="2">
        <v>219478.39999999999</v>
      </c>
      <c r="E58" s="2">
        <v>28168.04</v>
      </c>
      <c r="F58" s="3"/>
      <c r="G58" s="3"/>
      <c r="H58" s="3"/>
      <c r="I58" s="3"/>
      <c r="J58" s="2">
        <v>856.31293643999993</v>
      </c>
      <c r="K58" s="2">
        <v>62.773862020999999</v>
      </c>
      <c r="L58" s="2">
        <v>219.47839999999999</v>
      </c>
      <c r="M58" s="2">
        <v>28.168040000000001</v>
      </c>
      <c r="N58" s="15"/>
      <c r="O58" s="3">
        <v>1075.7913364399999</v>
      </c>
      <c r="P58" s="3">
        <v>68.804042253875949</v>
      </c>
      <c r="Q58" s="3">
        <v>1.0757913364399998</v>
      </c>
    </row>
    <row r="59" spans="1:17" x14ac:dyDescent="0.2">
      <c r="A59" s="3">
        <v>1995</v>
      </c>
      <c r="B59" s="3">
        <v>864120.22248999996</v>
      </c>
      <c r="C59" s="3">
        <v>70395.444545000006</v>
      </c>
      <c r="D59" s="2">
        <v>184430.8</v>
      </c>
      <c r="E59" s="2">
        <v>40038.58</v>
      </c>
      <c r="F59" s="3"/>
      <c r="G59" s="3"/>
      <c r="H59" s="3"/>
      <c r="I59" s="3"/>
      <c r="J59" s="2">
        <v>864.12022248999995</v>
      </c>
      <c r="K59" s="2">
        <v>70.395444545000004</v>
      </c>
      <c r="L59" s="2">
        <v>184.43079999999998</v>
      </c>
      <c r="M59" s="2">
        <v>40.038580000000003</v>
      </c>
      <c r="N59" s="15"/>
      <c r="O59" s="3">
        <v>1048.5510224899999</v>
      </c>
      <c r="P59" s="3">
        <v>80.985223967737298</v>
      </c>
      <c r="Q59" s="3">
        <v>1.0485510224899999</v>
      </c>
    </row>
    <row r="60" spans="1:17" x14ac:dyDescent="0.2">
      <c r="A60" s="3">
        <v>1996</v>
      </c>
      <c r="B60" s="3">
        <v>848644.70236</v>
      </c>
      <c r="C60" s="3">
        <v>61073.912976</v>
      </c>
      <c r="D60" s="2">
        <v>283085.09999999998</v>
      </c>
      <c r="E60" s="2">
        <v>55658.96</v>
      </c>
      <c r="F60" s="3"/>
      <c r="G60" s="3"/>
      <c r="H60" s="3"/>
      <c r="I60" s="3"/>
      <c r="J60" s="2">
        <v>848.64470236</v>
      </c>
      <c r="K60" s="2">
        <v>61.073912976000003</v>
      </c>
      <c r="L60" s="2">
        <v>283.08509999999995</v>
      </c>
      <c r="M60" s="2">
        <v>55.65896</v>
      </c>
      <c r="N60" s="15"/>
      <c r="O60" s="3">
        <v>1131.7298023599999</v>
      </c>
      <c r="P60" s="3">
        <v>82.631366166133432</v>
      </c>
      <c r="Q60" s="3">
        <v>1.13172980236</v>
      </c>
    </row>
    <row r="61" spans="1:17" x14ac:dyDescent="0.2">
      <c r="A61" s="3">
        <v>1997</v>
      </c>
      <c r="B61" s="3">
        <v>795176.45389</v>
      </c>
      <c r="C61" s="3">
        <v>49595.545892000002</v>
      </c>
      <c r="D61" s="2">
        <v>212128.2</v>
      </c>
      <c r="E61" s="2">
        <v>39560.339999999997</v>
      </c>
      <c r="F61" s="3"/>
      <c r="G61" s="3"/>
      <c r="H61" s="3"/>
      <c r="I61" s="3"/>
      <c r="J61" s="2">
        <v>795.17645388999995</v>
      </c>
      <c r="K61" s="2">
        <v>49.595545892000004</v>
      </c>
      <c r="L61" s="2">
        <v>212.12820000000002</v>
      </c>
      <c r="M61" s="2">
        <v>39.560339999999997</v>
      </c>
      <c r="N61" s="15"/>
      <c r="O61" s="3">
        <v>1007.3046538899999</v>
      </c>
      <c r="P61" s="3">
        <v>63.440828125435736</v>
      </c>
      <c r="Q61" s="3">
        <v>1.0073046538899999</v>
      </c>
    </row>
    <row r="62" spans="1:17" x14ac:dyDescent="0.2">
      <c r="A62" s="3">
        <v>1998</v>
      </c>
      <c r="B62" s="3">
        <v>775213.30874000001</v>
      </c>
      <c r="C62" s="3">
        <v>49717.983526999997</v>
      </c>
      <c r="D62" s="2">
        <v>263821.5</v>
      </c>
      <c r="E62" s="2">
        <v>67192.929999999993</v>
      </c>
      <c r="F62" s="3"/>
      <c r="G62" s="3"/>
      <c r="H62" s="3"/>
      <c r="I62" s="3"/>
      <c r="J62" s="2">
        <v>775.21330874</v>
      </c>
      <c r="K62" s="2">
        <v>49.717983526999994</v>
      </c>
      <c r="L62" s="2">
        <v>263.82150000000001</v>
      </c>
      <c r="M62" s="2">
        <v>67.19292999999999</v>
      </c>
      <c r="N62" s="3"/>
      <c r="O62" s="3">
        <v>1039.03480874</v>
      </c>
      <c r="P62" s="3">
        <v>83.586887296847834</v>
      </c>
      <c r="Q62" s="3">
        <v>1.0390348087400001</v>
      </c>
    </row>
    <row r="63" spans="1:17" x14ac:dyDescent="0.2">
      <c r="A63" s="3">
        <v>1999</v>
      </c>
      <c r="B63" s="3">
        <v>879952.79044999997</v>
      </c>
      <c r="C63" s="3">
        <v>60173.084593</v>
      </c>
      <c r="D63" s="2">
        <v>212477.2</v>
      </c>
      <c r="E63" s="2">
        <v>36875.81</v>
      </c>
      <c r="F63" s="3"/>
      <c r="G63" s="3"/>
      <c r="H63" s="3"/>
      <c r="I63" s="3"/>
      <c r="J63" s="2">
        <v>879.95279044999995</v>
      </c>
      <c r="K63" s="2">
        <v>60.173084592999999</v>
      </c>
      <c r="L63" s="2">
        <v>212.47720000000001</v>
      </c>
      <c r="M63" s="2">
        <v>36.875809999999994</v>
      </c>
      <c r="N63" s="3"/>
      <c r="O63" s="3">
        <v>1092.4299904499999</v>
      </c>
      <c r="P63" s="3">
        <v>70.573546549627451</v>
      </c>
      <c r="Q63" s="3">
        <v>1.0924299904499999</v>
      </c>
    </row>
    <row r="64" spans="1:17" x14ac:dyDescent="0.2">
      <c r="A64" s="3">
        <v>2000</v>
      </c>
      <c r="B64" s="3">
        <v>762555.34635000001</v>
      </c>
      <c r="C64" s="3">
        <v>48700.779949000003</v>
      </c>
      <c r="D64" s="2">
        <v>132260.70000000001</v>
      </c>
      <c r="E64" s="2">
        <v>26367.03</v>
      </c>
      <c r="F64" s="3"/>
      <c r="G64" s="3"/>
      <c r="H64" s="3"/>
      <c r="I64" s="3"/>
      <c r="J64" s="2">
        <v>762.55534635000004</v>
      </c>
      <c r="K64" s="2">
        <v>48.700779949000001</v>
      </c>
      <c r="L64" s="2">
        <v>132.26070000000001</v>
      </c>
      <c r="M64" s="2">
        <v>26.36703</v>
      </c>
      <c r="N64" s="3"/>
      <c r="O64" s="3">
        <v>894.81604635000008</v>
      </c>
      <c r="P64" s="3">
        <v>55.380377740331646</v>
      </c>
      <c r="Q64" s="3">
        <v>0.89481604635000012</v>
      </c>
    </row>
    <row r="65" spans="1:17" x14ac:dyDescent="0.2">
      <c r="A65" s="3">
        <v>2001</v>
      </c>
      <c r="B65" s="3">
        <v>809438.24997999996</v>
      </c>
      <c r="C65" s="3">
        <v>51572.316463000003</v>
      </c>
      <c r="D65" s="2">
        <v>200227.8</v>
      </c>
      <c r="E65" s="2">
        <v>35588.019999999997</v>
      </c>
      <c r="F65" s="3"/>
      <c r="G65" s="3"/>
      <c r="H65" s="3"/>
      <c r="I65" s="3"/>
      <c r="J65" s="2">
        <v>809.43824997999991</v>
      </c>
      <c r="K65" s="2">
        <v>51.572316463</v>
      </c>
      <c r="L65" s="2">
        <v>200.2278</v>
      </c>
      <c r="M65" s="2">
        <v>35.58802</v>
      </c>
      <c r="N65" s="3"/>
      <c r="O65" s="3">
        <v>1009.6660499799999</v>
      </c>
      <c r="P65" s="3">
        <v>62.659484460696142</v>
      </c>
      <c r="Q65" s="3">
        <v>1.0096660499799999</v>
      </c>
    </row>
    <row r="66" spans="1:17" x14ac:dyDescent="0.2">
      <c r="A66" s="3">
        <v>2002</v>
      </c>
      <c r="B66" s="3">
        <v>833514.06238999998</v>
      </c>
      <c r="C66" s="3">
        <v>56235.101956999999</v>
      </c>
      <c r="D66" s="2">
        <v>191507.4</v>
      </c>
      <c r="E66" s="2">
        <v>31913.33</v>
      </c>
      <c r="F66" s="3"/>
      <c r="G66" s="3"/>
      <c r="H66" s="3"/>
      <c r="I66" s="3"/>
      <c r="J66" s="2">
        <v>833.51406238999994</v>
      </c>
      <c r="K66" s="2">
        <v>56.235101956999998</v>
      </c>
      <c r="L66" s="2">
        <v>191.50739999999999</v>
      </c>
      <c r="M66" s="2">
        <v>31.913330000000002</v>
      </c>
      <c r="N66" s="3"/>
      <c r="O66" s="3">
        <v>1025.0214623899999</v>
      </c>
      <c r="P66" s="3">
        <v>64.659472034676284</v>
      </c>
      <c r="Q66" s="3">
        <v>1.0250214623899998</v>
      </c>
    </row>
    <row r="67" spans="1:17" x14ac:dyDescent="0.2">
      <c r="A67" s="3">
        <v>2003</v>
      </c>
      <c r="B67" s="3">
        <v>731906.86667999998</v>
      </c>
      <c r="C67" s="3">
        <v>47024.901847000001</v>
      </c>
      <c r="D67" s="2">
        <v>308280.90000000002</v>
      </c>
      <c r="E67" s="2">
        <v>55366.01</v>
      </c>
      <c r="F67" s="3"/>
      <c r="G67" s="3"/>
      <c r="H67" s="3"/>
      <c r="I67" s="3"/>
      <c r="J67" s="2">
        <v>731.90686668000001</v>
      </c>
      <c r="K67" s="2">
        <v>47.024901847000002</v>
      </c>
      <c r="L67" s="2">
        <v>308.28090000000003</v>
      </c>
      <c r="M67" s="2">
        <v>55.366010000000003</v>
      </c>
      <c r="N67" s="3"/>
      <c r="O67" s="3">
        <v>1040.1877666800001</v>
      </c>
      <c r="P67" s="3">
        <v>72.641148511295469</v>
      </c>
      <c r="Q67" s="3">
        <v>1.0401877666800001</v>
      </c>
    </row>
    <row r="68" spans="1:17" x14ac:dyDescent="0.2">
      <c r="A68" s="3">
        <v>2004</v>
      </c>
      <c r="B68" s="3">
        <v>806553.68833000003</v>
      </c>
      <c r="C68" s="3">
        <v>51747.376050999999</v>
      </c>
      <c r="D68" s="2">
        <v>301521.59999999998</v>
      </c>
      <c r="E68" s="2">
        <v>53292.24</v>
      </c>
      <c r="F68" s="3"/>
      <c r="G68" s="3"/>
      <c r="H68" s="3"/>
      <c r="I68" s="3"/>
      <c r="J68" s="2">
        <v>806.55368833</v>
      </c>
      <c r="K68" s="2">
        <v>51.747376050999996</v>
      </c>
      <c r="L68" s="2">
        <v>301.52159999999998</v>
      </c>
      <c r="M68" s="2">
        <v>53.29224</v>
      </c>
      <c r="N68" s="3"/>
      <c r="O68" s="3">
        <v>1108.0752883299999</v>
      </c>
      <c r="P68" s="3">
        <v>74.282257453453909</v>
      </c>
      <c r="Q68" s="3">
        <v>1.10807528833</v>
      </c>
    </row>
    <row r="69" spans="1:17" x14ac:dyDescent="0.2">
      <c r="A69" s="3">
        <v>2005</v>
      </c>
      <c r="B69" s="3">
        <v>753621.71429999999</v>
      </c>
      <c r="C69" s="3">
        <v>53618.662351999999</v>
      </c>
      <c r="D69" s="2">
        <v>293411.5</v>
      </c>
      <c r="E69" s="2">
        <v>53097.23</v>
      </c>
      <c r="F69" s="3"/>
      <c r="G69" s="3"/>
      <c r="H69" s="3"/>
      <c r="I69" s="3"/>
      <c r="J69" s="2">
        <v>753.62171430000001</v>
      </c>
      <c r="K69" s="2">
        <v>53.618662352000001</v>
      </c>
      <c r="L69" s="2">
        <v>293.41149999999999</v>
      </c>
      <c r="M69" s="2">
        <v>53.097230000000003</v>
      </c>
      <c r="N69" s="3"/>
      <c r="O69" s="3">
        <v>1047.0332143000001</v>
      </c>
      <c r="P69" s="3">
        <v>75.460431923562979</v>
      </c>
      <c r="Q69" s="3">
        <v>1.0470332143000001</v>
      </c>
    </row>
    <row r="70" spans="1:17" x14ac:dyDescent="0.2">
      <c r="A70" s="3">
        <v>2006</v>
      </c>
      <c r="B70" s="3">
        <v>721402.05260000005</v>
      </c>
      <c r="C70" s="3">
        <v>47638.689047</v>
      </c>
      <c r="D70" s="2">
        <v>173961.7</v>
      </c>
      <c r="E70" s="2">
        <v>28413.26</v>
      </c>
      <c r="F70" s="3"/>
      <c r="G70" s="3"/>
      <c r="H70" s="3"/>
      <c r="I70" s="3"/>
      <c r="J70" s="2">
        <v>721.40205260000005</v>
      </c>
      <c r="K70" s="2">
        <v>47.638689047</v>
      </c>
      <c r="L70" s="2">
        <v>173.96170000000001</v>
      </c>
      <c r="M70" s="2">
        <v>28.413259999999998</v>
      </c>
      <c r="N70" s="3"/>
      <c r="O70" s="3">
        <v>895.3637526</v>
      </c>
      <c r="P70" s="3">
        <v>55.468531961323414</v>
      </c>
      <c r="Q70" s="3">
        <v>0.89536375260000001</v>
      </c>
    </row>
    <row r="71" spans="1:17" x14ac:dyDescent="0.2">
      <c r="A71" s="3">
        <v>2007</v>
      </c>
      <c r="B71" s="3">
        <v>687577.74678000004</v>
      </c>
      <c r="C71" s="3">
        <v>46723.624062000003</v>
      </c>
      <c r="D71" s="2">
        <v>219286.00439695211</v>
      </c>
      <c r="E71" s="2">
        <v>33646.918378387789</v>
      </c>
      <c r="F71" s="3"/>
      <c r="G71" s="3"/>
      <c r="H71" s="3"/>
      <c r="I71" s="3"/>
      <c r="J71" s="2">
        <v>687.5777467800001</v>
      </c>
      <c r="K71" s="2">
        <v>46.723624062000006</v>
      </c>
      <c r="L71" s="2">
        <v>219.28600439695211</v>
      </c>
      <c r="M71" s="2">
        <v>33.646918378387788</v>
      </c>
      <c r="N71" s="3"/>
      <c r="O71" s="3">
        <v>906.86375117695218</v>
      </c>
      <c r="P71" s="3">
        <v>57.577879101691437</v>
      </c>
      <c r="Q71" s="3">
        <v>0.90686375117695217</v>
      </c>
    </row>
    <row r="72" spans="1:17" x14ac:dyDescent="0.2">
      <c r="A72" s="3">
        <v>2008</v>
      </c>
      <c r="B72" s="3">
        <v>619094.87115000002</v>
      </c>
      <c r="C72" s="3">
        <v>40681.953931999997</v>
      </c>
      <c r="D72" s="2">
        <v>196022.01</v>
      </c>
      <c r="E72" s="2">
        <v>29958.480301911179</v>
      </c>
      <c r="F72" s="3"/>
      <c r="G72" s="3"/>
      <c r="H72" s="3"/>
      <c r="I72" s="3"/>
      <c r="J72" s="2">
        <v>619.09487115000002</v>
      </c>
      <c r="K72" s="2">
        <v>40.681953931999999</v>
      </c>
      <c r="L72" s="2">
        <v>196.02201000000002</v>
      </c>
      <c r="M72" s="2">
        <v>29.95848030191118</v>
      </c>
      <c r="N72" s="3"/>
      <c r="O72" s="3">
        <v>815.11688115000004</v>
      </c>
      <c r="P72" s="3">
        <v>50.522588193058461</v>
      </c>
      <c r="Q72" s="3">
        <v>0.81511688115000003</v>
      </c>
    </row>
    <row r="73" spans="1:17" x14ac:dyDescent="0.2">
      <c r="A73" s="3">
        <v>2009</v>
      </c>
      <c r="B73" s="3"/>
      <c r="C73" s="3"/>
      <c r="D73" s="3"/>
      <c r="E73" s="3"/>
      <c r="F73" s="3"/>
      <c r="G73" s="16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17"/>
      <c r="H74" s="3"/>
      <c r="I74" s="3"/>
      <c r="J74" s="9"/>
      <c r="K74" s="9"/>
      <c r="L74" s="9"/>
      <c r="M74" s="9"/>
      <c r="N74" s="3"/>
      <c r="O74" s="9"/>
      <c r="P74" s="9"/>
      <c r="Q74" s="9"/>
    </row>
    <row r="75" spans="1:17" x14ac:dyDescent="0.2">
      <c r="A75" s="3"/>
      <c r="B75" s="3"/>
      <c r="C75" s="3"/>
      <c r="D75" s="3"/>
      <c r="E75" s="3"/>
      <c r="F75" s="3"/>
      <c r="G75" s="17"/>
      <c r="H75" s="3"/>
      <c r="I75" s="3"/>
      <c r="J75" s="9"/>
      <c r="K75" s="9"/>
      <c r="L75" s="9"/>
      <c r="M75" s="9"/>
      <c r="N75" s="3"/>
      <c r="O75" s="9"/>
      <c r="P75" s="9"/>
      <c r="Q75" s="9"/>
    </row>
    <row r="76" spans="1:17" x14ac:dyDescent="0.2">
      <c r="A76" s="3"/>
      <c r="B76" s="3"/>
      <c r="C76" s="3"/>
      <c r="D76" s="3"/>
      <c r="E76" s="3"/>
      <c r="F76" s="3"/>
      <c r="G76" s="16"/>
      <c r="H76" s="3"/>
      <c r="I76" s="3"/>
      <c r="J76" s="9"/>
      <c r="K76" s="9"/>
      <c r="L76" s="9"/>
      <c r="M76" s="9"/>
      <c r="N76" s="3"/>
      <c r="O76" s="9"/>
      <c r="P76" s="9"/>
      <c r="Q76" s="9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9"/>
      <c r="K77" s="9"/>
      <c r="L77" s="9"/>
      <c r="M77" s="9"/>
      <c r="N77" s="3"/>
      <c r="O77" s="9"/>
      <c r="P77" s="9"/>
      <c r="Q77" s="9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9"/>
      <c r="K78" s="9"/>
      <c r="L78" s="9"/>
      <c r="M78" s="9"/>
      <c r="N78" s="3"/>
      <c r="O78" s="9"/>
      <c r="P78" s="9"/>
      <c r="Q78" s="9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9"/>
      <c r="K79" s="9"/>
      <c r="L79" s="9"/>
      <c r="M79" s="9"/>
      <c r="N79" s="3"/>
      <c r="O79" s="9"/>
      <c r="P79" s="9"/>
      <c r="Q79" s="9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9"/>
      <c r="K80" s="9"/>
      <c r="L80" s="9"/>
      <c r="M80" s="9"/>
      <c r="N80" s="3"/>
      <c r="O80" s="9"/>
      <c r="P80" s="9"/>
      <c r="Q80" s="9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9"/>
      <c r="K81" s="9"/>
      <c r="L81" s="9"/>
      <c r="M81" s="9"/>
      <c r="N81" s="3"/>
      <c r="O81" s="9"/>
      <c r="P81" s="9"/>
      <c r="Q81" s="9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9"/>
      <c r="K82" s="9"/>
      <c r="L82" s="9"/>
      <c r="M82" s="9"/>
      <c r="N82" s="3"/>
      <c r="O82" s="9"/>
      <c r="P82" s="9"/>
      <c r="Q82" s="9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9"/>
      <c r="K83" s="9"/>
      <c r="L83" s="9"/>
      <c r="M83" s="9"/>
      <c r="N83" s="3"/>
      <c r="O83" s="9"/>
      <c r="P83" s="9"/>
      <c r="Q83" s="9"/>
    </row>
    <row r="84" spans="1:17" x14ac:dyDescent="0.2">
      <c r="J84" s="9"/>
      <c r="K84" s="9"/>
      <c r="L84" s="9"/>
      <c r="M84" s="9"/>
      <c r="N84" s="3"/>
      <c r="O84" s="9"/>
      <c r="P84" s="9"/>
      <c r="Q84" s="9"/>
    </row>
    <row r="85" spans="1:17" x14ac:dyDescent="0.2">
      <c r="J85" s="9"/>
      <c r="K85" s="9"/>
      <c r="L85" s="9"/>
      <c r="M85" s="9"/>
      <c r="N85" s="3"/>
      <c r="O85" s="9"/>
      <c r="P85" s="9"/>
      <c r="Q85" s="9"/>
    </row>
    <row r="86" spans="1:17" x14ac:dyDescent="0.2">
      <c r="J86" s="9"/>
      <c r="K86" s="9"/>
      <c r="L86" s="9"/>
      <c r="M86" s="9"/>
      <c r="N86" s="3"/>
      <c r="O86" s="9"/>
      <c r="P86" s="9"/>
      <c r="Q86" s="9"/>
    </row>
    <row r="87" spans="1:17" x14ac:dyDescent="0.2">
      <c r="J87" s="9"/>
      <c r="K87" s="9"/>
      <c r="L87" s="9"/>
      <c r="M87" s="9"/>
      <c r="N87" s="3"/>
      <c r="O87" s="9"/>
      <c r="P87" s="9"/>
      <c r="Q87" s="9"/>
    </row>
    <row r="88" spans="1:17" x14ac:dyDescent="0.2">
      <c r="J88" s="9"/>
      <c r="K88" s="9"/>
      <c r="L88" s="9"/>
      <c r="M88" s="9"/>
      <c r="N88" s="3"/>
      <c r="O88" s="9"/>
      <c r="P88" s="9"/>
      <c r="Q88" s="9"/>
    </row>
    <row r="89" spans="1:17" x14ac:dyDescent="0.2">
      <c r="J89" s="9"/>
      <c r="K89" s="9"/>
      <c r="L89" s="9"/>
      <c r="M89" s="9"/>
      <c r="N89" s="3"/>
      <c r="O89" s="9"/>
      <c r="P89" s="9"/>
      <c r="Q89" s="9"/>
    </row>
    <row r="90" spans="1:17" x14ac:dyDescent="0.2">
      <c r="J90" s="9"/>
      <c r="K90" s="9"/>
      <c r="L90" s="9"/>
      <c r="M90" s="9"/>
      <c r="N90" s="3"/>
      <c r="O90" s="9"/>
      <c r="P90" s="9"/>
      <c r="Q90" s="9"/>
    </row>
    <row r="91" spans="1:17" x14ac:dyDescent="0.2">
      <c r="J91" s="9"/>
      <c r="K91" s="9"/>
      <c r="L91" s="9"/>
      <c r="M91" s="9"/>
      <c r="N91" s="3"/>
      <c r="O91" s="9"/>
      <c r="P91" s="9"/>
      <c r="Q91" s="9"/>
    </row>
    <row r="92" spans="1:17" x14ac:dyDescent="0.2">
      <c r="J92" s="9"/>
      <c r="K92" s="9"/>
      <c r="L92" s="9"/>
      <c r="M92" s="9"/>
      <c r="N92" s="3"/>
      <c r="O92" s="9"/>
      <c r="P92" s="9"/>
      <c r="Q9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updating</vt:lpstr>
      <vt:lpstr>BPOP</vt:lpstr>
    </vt:vector>
  </TitlesOfParts>
  <Company>USGS Patuxent Wildlife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Runge</dc:creator>
  <cp:lastModifiedBy>Zimpfer, Nathan</cp:lastModifiedBy>
  <cp:lastPrinted>2012-07-09T16:53:42Z</cp:lastPrinted>
  <dcterms:created xsi:type="dcterms:W3CDTF">2002-03-28T15:33:17Z</dcterms:created>
  <dcterms:modified xsi:type="dcterms:W3CDTF">2016-04-15T12:38:23Z</dcterms:modified>
</cp:coreProperties>
</file>